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winslow\AppData\Local\Temp\B6Run\FY2023\"/>
    </mc:Choice>
  </mc:AlternateContent>
  <xr:revisionPtr revIDLastSave="0" documentId="13_ncr:1_{FBF0B4DF-8DDD-4392-85D2-87DFC9E1C3A1}" xr6:coauthVersionLast="45" xr6:coauthVersionMax="45" xr10:uidLastSave="{00000000-0000-0000-0000-000000000000}"/>
  <bookViews>
    <workbookView xWindow="4896" yWindow="1368" windowWidth="17280" windowHeight="8964" xr2:uid="{00000000-000D-0000-FFFF-FFFF00000000}"/>
  </bookViews>
  <sheets>
    <sheet name="SWCC|0001-00" sheetId="12" r:id="rId1"/>
    <sheet name="SWCC|0522-00" sheetId="13" r:id="rId2"/>
    <sheet name="Data" sheetId="5" r:id="rId3"/>
    <sheet name="Benefits" sheetId="7" r:id="rId4"/>
    <sheet name="B6" sheetId="9" r:id="rId5"/>
    <sheet name="Summary" sheetId="10" r:id="rId6"/>
    <sheet name="FundSummary" sheetId="11" r:id="rId7"/>
  </sheets>
  <definedNames>
    <definedName name="AdjGroupHlth" localSheetId="0">'SWCC|0001-00'!$H$39</definedName>
    <definedName name="AdjGroupHlth" localSheetId="1">'SWCC|0522-00'!$H$39</definedName>
    <definedName name="AdjGroupHlth">'B6'!$H$39</definedName>
    <definedName name="AdjGroupSalary" localSheetId="0">'SWCC|0001-00'!$G$39</definedName>
    <definedName name="AdjGroupSalary" localSheetId="1">'SWCC|0522-00'!$G$39</definedName>
    <definedName name="AdjGroupSalary">'B6'!$G$39</definedName>
    <definedName name="AdjGroupVB" localSheetId="0">'SWCC|0001-00'!$I$39</definedName>
    <definedName name="AdjGroupVB" localSheetId="1">'SWCC|0522-00'!$I$39</definedName>
    <definedName name="AdjGroupVB">'B6'!$I$39</definedName>
    <definedName name="AdjGroupVBBY" localSheetId="0">'SWCC|0001-00'!$M$39</definedName>
    <definedName name="AdjGroupVBBY" localSheetId="1">'SWCC|0522-00'!$M$39</definedName>
    <definedName name="AdjGroupVBBY">'B6'!$M$39</definedName>
    <definedName name="AdjPermHlth" localSheetId="0">'SWCC|0001-00'!$H$38</definedName>
    <definedName name="AdjPermHlth" localSheetId="1">'SWCC|0522-00'!$H$38</definedName>
    <definedName name="AdjPermHlth">'B6'!$H$38</definedName>
    <definedName name="AdjPermHlthBY" localSheetId="0">'SWCC|0001-00'!$L$38</definedName>
    <definedName name="AdjPermHlthBY" localSheetId="1">'SWCC|0522-00'!$L$38</definedName>
    <definedName name="AdjPermHlthBY">'B6'!$L$38</definedName>
    <definedName name="AdjPermSalary" localSheetId="0">'SWCC|0001-00'!$G$38</definedName>
    <definedName name="AdjPermSalary" localSheetId="1">'SWCC|0522-00'!$G$38</definedName>
    <definedName name="AdjPermSalary">'B6'!$G$38</definedName>
    <definedName name="AdjPermVB" localSheetId="0">'SWCC|0001-00'!$I$38</definedName>
    <definedName name="AdjPermVB" localSheetId="1">'SWCC|0522-00'!$I$38</definedName>
    <definedName name="AdjPermVB">'B6'!$I$38</definedName>
    <definedName name="AdjPermVBBY" localSheetId="0">'SWCC|0001-00'!$M$38</definedName>
    <definedName name="AdjPermVBBY" localSheetId="1">'SWCC|0522-00'!$M$38</definedName>
    <definedName name="AdjPermVBBY">'B6'!$M$38</definedName>
    <definedName name="AdjustedTotal" localSheetId="0">'SWCC|0001-00'!$J$16</definedName>
    <definedName name="AdjustedTotal" localSheetId="1">'SWCC|0522-00'!$J$16</definedName>
    <definedName name="AdjustedTotal">'B6'!$J$16</definedName>
    <definedName name="AgencyNum" localSheetId="0">'SWCC|0001-00'!$M$1</definedName>
    <definedName name="AgencyNum" localSheetId="1">'SWCC|0522-00'!$M$1</definedName>
    <definedName name="AgencyNum">'B6'!$M$1</definedName>
    <definedName name="AppropFTP" localSheetId="0">'SWCC|0001-00'!$F$15</definedName>
    <definedName name="AppropFTP" localSheetId="1">'SWCC|0522-00'!$F$15</definedName>
    <definedName name="AppropFTP">'B6'!$F$15</definedName>
    <definedName name="AppropTotal" localSheetId="0">'SWCC|0001-00'!$J$15</definedName>
    <definedName name="AppropTotal" localSheetId="1">'SWCC|0522-00'!$J$15</definedName>
    <definedName name="AppropTotal">'B6'!$J$15</definedName>
    <definedName name="AtZHealth" localSheetId="0">'SWCC|0001-00'!$H$45</definedName>
    <definedName name="AtZHealth" localSheetId="1">'SWCC|0522-00'!$H$45</definedName>
    <definedName name="AtZHealth">'B6'!$H$45</definedName>
    <definedName name="AtZSalary" localSheetId="0">'SWCC|0001-00'!$G$45</definedName>
    <definedName name="AtZSalary" localSheetId="1">'SWCC|0522-00'!$G$45</definedName>
    <definedName name="AtZSalary">'B6'!$G$45</definedName>
    <definedName name="AtZTotal" localSheetId="0">'SWCC|0001-00'!$J$45</definedName>
    <definedName name="AtZTotal" localSheetId="1">'SWCC|0522-00'!$J$45</definedName>
    <definedName name="AtZTotal">'B6'!$J$45</definedName>
    <definedName name="AtZVarBen" localSheetId="0">'SWCC|0001-00'!$I$45</definedName>
    <definedName name="AtZVarBen" localSheetId="1">'SWCC|0522-00'!$I$45</definedName>
    <definedName name="AtZVarBen">'B6'!$I$45</definedName>
    <definedName name="BudgetUnit" localSheetId="0">'SWCC|0001-00'!$M$3</definedName>
    <definedName name="BudgetUnit" localSheetId="1">'SWCC|0522-00'!$M$3</definedName>
    <definedName name="BudgetUnit">'B6'!$M$3</definedName>
    <definedName name="BudgetYear">Benefits!$D$4</definedName>
    <definedName name="CECGroup">Benefits!$C$39</definedName>
    <definedName name="CECOrigElectSalary" localSheetId="0">'SWCC|0001-00'!$G$74</definedName>
    <definedName name="CECOrigElectSalary" localSheetId="1">'SWCC|0522-00'!$G$74</definedName>
    <definedName name="CECOrigElectSalary">'B6'!$G$74</definedName>
    <definedName name="CECOrigElectVB" localSheetId="0">'SWCC|0001-00'!$I$74</definedName>
    <definedName name="CECOrigElectVB" localSheetId="1">'SWCC|0522-00'!$I$74</definedName>
    <definedName name="CECOrigElectVB">'B6'!$I$74</definedName>
    <definedName name="CECOrigGroupSalary" localSheetId="0">'SWCC|0001-00'!$G$73</definedName>
    <definedName name="CECOrigGroupSalary" localSheetId="1">'SWCC|0522-00'!$G$73</definedName>
    <definedName name="CECOrigGroupSalary">'B6'!$G$73</definedName>
    <definedName name="CECOrigGroupVB" localSheetId="0">'SWCC|0001-00'!$I$73</definedName>
    <definedName name="CECOrigGroupVB" localSheetId="1">'SWCC|0522-00'!$I$73</definedName>
    <definedName name="CECOrigGroupVB">'B6'!$I$73</definedName>
    <definedName name="CECOrigPermSalary" localSheetId="0">'SWCC|0001-00'!$G$72</definedName>
    <definedName name="CECOrigPermSalary" localSheetId="1">'SWCC|0522-00'!$G$72</definedName>
    <definedName name="CECOrigPermSalary">'B6'!$G$72</definedName>
    <definedName name="CECOrigPermVB" localSheetId="0">'SWCC|0001-00'!$I$72</definedName>
    <definedName name="CECOrigPermVB" localSheetId="1">'SWCC|0522-00'!$I$72</definedName>
    <definedName name="CECOrigPermVB">'B6'!$I$72</definedName>
    <definedName name="CECPerm">Benefits!$C$38</definedName>
    <definedName name="CECpermCalc" localSheetId="0">'SWCC|0001-00'!$E$72</definedName>
    <definedName name="CECpermCalc" localSheetId="1">'SWCC|0522-00'!$E$72</definedName>
    <definedName name="CECpermCalc">'B6'!$E$72</definedName>
    <definedName name="Department" localSheetId="0">'SWCC|0001-00'!$D$1</definedName>
    <definedName name="Department" localSheetId="1">'SWCC|0522-00'!$D$1</definedName>
    <definedName name="Department">'B6'!$D$1</definedName>
    <definedName name="DHR">Benefits!$C$11</definedName>
    <definedName name="DHRBY">Benefits!$D$11</definedName>
    <definedName name="DHRCHG">Benefits!$E$11</definedName>
    <definedName name="Division" localSheetId="0">'SWCC|0001-00'!$D$2</definedName>
    <definedName name="Division" localSheetId="1">'SWCC|0522-00'!$D$2</definedName>
    <definedName name="Division">'B6'!$D$2</definedName>
    <definedName name="DUCECElect" localSheetId="0">'SWCC|0001-00'!$J$74</definedName>
    <definedName name="DUCECElect" localSheetId="1">'SWCC|0522-00'!$J$74</definedName>
    <definedName name="DUCECElect">'B6'!$J$74</definedName>
    <definedName name="DUCECGroup" localSheetId="0">'SWCC|0001-00'!$J$73</definedName>
    <definedName name="DUCECGroup" localSheetId="1">'SWCC|0522-00'!$J$73</definedName>
    <definedName name="DUCECGroup">'B6'!$J$73</definedName>
    <definedName name="DUCECPerm" localSheetId="0">'SWCC|0001-00'!$J$72</definedName>
    <definedName name="DUCECPerm" localSheetId="1">'SWCC|0522-00'!$J$72</definedName>
    <definedName name="DUCECPerm">'B6'!$J$72</definedName>
    <definedName name="DUEleven" localSheetId="0">'SWCC|0001-00'!$J$75</definedName>
    <definedName name="DUEleven" localSheetId="1">'SWCC|0522-00'!$J$75</definedName>
    <definedName name="DUEleven">'B6'!$J$75</definedName>
    <definedName name="DUHealthBen" localSheetId="0">'SWCC|0001-00'!$J$68</definedName>
    <definedName name="DUHealthBen" localSheetId="1">'SWCC|0522-00'!$J$68</definedName>
    <definedName name="DUHealthBen">'B6'!$J$68</definedName>
    <definedName name="DUNine" localSheetId="0">'SWCC|0001-00'!$J$67</definedName>
    <definedName name="DUNine" localSheetId="1">'SWCC|0522-00'!$J$67</definedName>
    <definedName name="DUNine">'B6'!$J$67</definedName>
    <definedName name="DUThirteen" localSheetId="0">'SWCC|0001-00'!$J$80</definedName>
    <definedName name="DUThirteen" localSheetId="1">'SWCC|0522-00'!$J$80</definedName>
    <definedName name="DUThirteen">'B6'!$J$80</definedName>
    <definedName name="DUVariableBen" localSheetId="0">'SWCC|0001-00'!$J$69</definedName>
    <definedName name="DUVariableBen" localSheetId="1">'SWCC|0522-00'!$J$69</definedName>
    <definedName name="DUVariableBen">'B6'!$J$69</definedName>
    <definedName name="Elect_chg_health" localSheetId="0">'SWCC|0001-00'!$L$12</definedName>
    <definedName name="Elect_chg_health" localSheetId="1">'SWCC|0522-00'!$L$12</definedName>
    <definedName name="Elect_chg_health">'B6'!$L$12</definedName>
    <definedName name="Elect_chg_Var" localSheetId="0">'SWCC|0001-00'!$M$12</definedName>
    <definedName name="Elect_chg_Var" localSheetId="1">'SWCC|0522-00'!$M$12</definedName>
    <definedName name="Elect_chg_Var">'B6'!$M$12</definedName>
    <definedName name="elect_FTP" localSheetId="0">'SWCC|0001-00'!$F$12</definedName>
    <definedName name="elect_FTP" localSheetId="1">'SWCC|0522-00'!$F$12</definedName>
    <definedName name="elect_FTP">'B6'!$F$12</definedName>
    <definedName name="Elect_health" localSheetId="0">'SWCC|0001-00'!$H$12</definedName>
    <definedName name="Elect_health" localSheetId="1">'SWCC|0522-00'!$H$12</definedName>
    <definedName name="Elect_health">'B6'!$H$12</definedName>
    <definedName name="Elect_name" localSheetId="0">'SWCC|0001-00'!$C$12</definedName>
    <definedName name="Elect_name" localSheetId="1">'SWCC|0522-00'!$C$12</definedName>
    <definedName name="Elect_name">'B6'!$C$12</definedName>
    <definedName name="Elect_salary" localSheetId="0">'SWCC|0001-00'!$G$12</definedName>
    <definedName name="Elect_salary" localSheetId="1">'SWCC|0522-00'!$G$12</definedName>
    <definedName name="Elect_salary">'B6'!$G$12</definedName>
    <definedName name="Elect_Var" localSheetId="0">'SWCC|0001-00'!$I$12</definedName>
    <definedName name="Elect_Var" localSheetId="1">'SWCC|0522-00'!$I$12</definedName>
    <definedName name="Elect_Var">'B6'!$I$12</definedName>
    <definedName name="Elect_VarBen" localSheetId="0">'SWCC|0001-00'!$I$12</definedName>
    <definedName name="Elect_VarBen" localSheetId="1">'SWCC|0522-00'!$I$12</definedName>
    <definedName name="Elect_VarBen">'B6'!$I$12</definedName>
    <definedName name="ElectVB">Benefits!$C$14</definedName>
    <definedName name="ElectVBBY">Benefits!$D$14</definedName>
    <definedName name="ElectVBCHG">Benefits!$E$14</definedName>
    <definedName name="FillRate_Avg">Benefits!$C$40</definedName>
    <definedName name="FillRateAvg_B6" localSheetId="0">'SWCC|0001-00'!#REF!</definedName>
    <definedName name="FillRateAvg_B6" localSheetId="1">'SWCC|0522-00'!#REF!</definedName>
    <definedName name="FillRateAvg_B6">'B6'!#REF!</definedName>
    <definedName name="FiscalYear" localSheetId="0">'SWCC|0001-00'!$M$4</definedName>
    <definedName name="FiscalYear" localSheetId="1">'SWCC|0522-00'!$M$4</definedName>
    <definedName name="FiscalYear">'B6'!$M$4</definedName>
    <definedName name="FundName" localSheetId="0">'SWCC|0001-00'!$I$5</definedName>
    <definedName name="FundName" localSheetId="1">'SWCC|0522-00'!$I$5</definedName>
    <definedName name="FundName">'B6'!$I$5</definedName>
    <definedName name="FundNum" localSheetId="0">'SWCC|0001-00'!$N$5</definedName>
    <definedName name="FundNum" localSheetId="1">'SWCC|0522-00'!$N$5</definedName>
    <definedName name="FundNum">'B6'!$N$5</definedName>
    <definedName name="FundNumber" localSheetId="0">'SWCC|0001-00'!$N$5</definedName>
    <definedName name="FundNumber" localSheetId="1">'SWCC|0522-00'!$N$5</definedName>
    <definedName name="FundNumber">'B6'!$N$5</definedName>
    <definedName name="FundSummaryEst">FundSummary!$H$5</definedName>
    <definedName name="FundSummaryLastColumn">FundSummary!$M$6</definedName>
    <definedName name="FundSummaryPermActual">FundSummary!$F$5</definedName>
    <definedName name="FundSummaryPermBY">FundSummary!$L$5</definedName>
    <definedName name="FundSummaryPermCY">FundSummary!$I$5</definedName>
    <definedName name="FundSummaryProj">FundSummary!$K$5</definedName>
    <definedName name="FundSummaryStartData">FundSummary!$E$8</definedName>
    <definedName name="Group_name" localSheetId="0">'SWCC|0001-00'!$C$11</definedName>
    <definedName name="Group_name" localSheetId="1">'SWCC|0522-00'!$C$11</definedName>
    <definedName name="Group_name">'B6'!$C$11</definedName>
    <definedName name="GroupFxdBen" localSheetId="0">'SWCC|0001-00'!$H$11</definedName>
    <definedName name="GroupFxdBen" localSheetId="1">'SWCC|0522-00'!$H$11</definedName>
    <definedName name="GroupFxdBen">'B6'!$H$11</definedName>
    <definedName name="GroupSalary" localSheetId="0">'SWCC|0001-00'!$G$11</definedName>
    <definedName name="GroupSalary" localSheetId="1">'SWCC|0522-00'!$G$11</definedName>
    <definedName name="GroupSalary">'B6'!$G$11</definedName>
    <definedName name="GroupVarBen" localSheetId="0">'SWCC|0001-00'!$I$11</definedName>
    <definedName name="GroupVarBen" localSheetId="1">'SWCC|0522-00'!$I$11</definedName>
    <definedName name="GroupVarBen">'B6'!$I$11</definedName>
    <definedName name="GroupVB">Benefits!$C$13</definedName>
    <definedName name="GroupVBBY">Benefits!$D$13</definedName>
    <definedName name="GroupVBCHG">Benefits!$E$13</definedName>
    <definedName name="Health">Benefits!$C$15</definedName>
    <definedName name="HealthBY">Benefits!$D$15</definedName>
    <definedName name="HealthCHG">Benefits!$E$15</definedName>
    <definedName name="Life">Benefits!$C$9</definedName>
    <definedName name="LifeBY">Benefits!$D$9</definedName>
    <definedName name="LifeCHG">Benefits!$E$9</definedName>
    <definedName name="LUMAFund" localSheetId="0">'SWCC|0001-00'!$M$2</definedName>
    <definedName name="LUMAFund" localSheetId="1">'SWCC|0522-00'!$M$2</definedName>
    <definedName name="LUMAFund">'B6'!$M$2</definedName>
    <definedName name="MAXSSDI">Benefits!$F$5</definedName>
    <definedName name="MAXSSDIBY">Benefits!$G$5</definedName>
    <definedName name="NEW_AdjGroup" localSheetId="0">'SWCC|0001-00'!$AC$39</definedName>
    <definedName name="NEW_AdjGroup" localSheetId="1">'SWCC|0522-00'!$AC$39</definedName>
    <definedName name="NEW_AdjGroup">'B6'!$AC$39</definedName>
    <definedName name="NEW_AdjGroupSalary" localSheetId="0">'SWCC|0001-00'!$AA$39</definedName>
    <definedName name="NEW_AdjGroupSalary" localSheetId="1">'SWCC|0522-00'!$AA$39</definedName>
    <definedName name="NEW_AdjGroupSalary">'B6'!$AA$39</definedName>
    <definedName name="NEW_AdjGroupVB" localSheetId="0">'SWCC|0001-00'!$AB$39</definedName>
    <definedName name="NEW_AdjGroupVB" localSheetId="1">'SWCC|0522-00'!$AB$39</definedName>
    <definedName name="NEW_AdjGroupVB">'B6'!$AB$39</definedName>
    <definedName name="NEW_AdjONLYGroup" localSheetId="0">'SWCC|0001-00'!$AC$45</definedName>
    <definedName name="NEW_AdjONLYGroup" localSheetId="1">'SWCC|0522-00'!$AC$45</definedName>
    <definedName name="NEW_AdjONLYGroup">'B6'!$AC$45</definedName>
    <definedName name="NEW_AdjONLYGroupSalary" localSheetId="0">'SWCC|0001-00'!$AA$45</definedName>
    <definedName name="NEW_AdjONLYGroupSalary" localSheetId="1">'SWCC|0522-00'!$AA$45</definedName>
    <definedName name="NEW_AdjONLYGroupSalary">'B6'!$AA$45</definedName>
    <definedName name="NEW_AdjONLYGroupVB" localSheetId="0">'SWCC|0001-00'!$AB$45</definedName>
    <definedName name="NEW_AdjONLYGroupVB" localSheetId="1">'SWCC|0522-00'!$AB$45</definedName>
    <definedName name="NEW_AdjONLYGroupVB">'B6'!$AB$45</definedName>
    <definedName name="NEW_AdjONLYPerm" localSheetId="0">'SWCC|0001-00'!$AC$44</definedName>
    <definedName name="NEW_AdjONLYPerm" localSheetId="1">'SWCC|0522-00'!$AC$44</definedName>
    <definedName name="NEW_AdjONLYPerm">'B6'!$AC$44</definedName>
    <definedName name="NEW_AdjONLYPermSalary" localSheetId="0">'SWCC|0001-00'!$AA$44</definedName>
    <definedName name="NEW_AdjONLYPermSalary" localSheetId="1">'SWCC|0522-00'!$AA$44</definedName>
    <definedName name="NEW_AdjONLYPermSalary">'B6'!$AA$44</definedName>
    <definedName name="NEW_AdjONLYPermVB" localSheetId="0">'SWCC|0001-00'!$AB$44</definedName>
    <definedName name="NEW_AdjONLYPermVB" localSheetId="1">'SWCC|0522-00'!$AB$44</definedName>
    <definedName name="NEW_AdjONLYPermVB">'B6'!$AB$44</definedName>
    <definedName name="NEW_AdjPerm" localSheetId="0">'SWCC|0001-00'!$AC$38</definedName>
    <definedName name="NEW_AdjPerm" localSheetId="1">'SWCC|0522-00'!$AC$38</definedName>
    <definedName name="NEW_AdjPerm">'B6'!$AC$38</definedName>
    <definedName name="NEW_AdjPermSalary" localSheetId="0">'SWCC|0001-00'!$AA$38</definedName>
    <definedName name="NEW_AdjPermSalary" localSheetId="1">'SWCC|0522-00'!$AA$38</definedName>
    <definedName name="NEW_AdjPermSalary">'B6'!$AA$38</definedName>
    <definedName name="NEW_AdjPermVB" localSheetId="0">'SWCC|0001-00'!$AB$38</definedName>
    <definedName name="NEW_AdjPermVB" localSheetId="1">'SWCC|0522-00'!$AB$38</definedName>
    <definedName name="NEW_AdjPermVB">'B6'!$AB$38</definedName>
    <definedName name="NEW_GroupFilled" localSheetId="0">'SWCC|0001-00'!$AC$11</definedName>
    <definedName name="NEW_GroupFilled" localSheetId="1">'SWCC|0522-00'!$AC$11</definedName>
    <definedName name="NEW_GroupFilled">'B6'!$AC$11</definedName>
    <definedName name="NEW_GroupSalaryFilled" localSheetId="0">'SWCC|0001-00'!$AA$11</definedName>
    <definedName name="NEW_GroupSalaryFilled" localSheetId="1">'SWCC|0522-00'!$AA$11</definedName>
    <definedName name="NEW_GroupSalaryFilled">'B6'!$AA$11</definedName>
    <definedName name="NEW_GroupVBFilled" localSheetId="0">'SWCC|0001-00'!$AB$11</definedName>
    <definedName name="NEW_GroupVBFilled" localSheetId="1">'SWCC|0522-00'!$AB$11</definedName>
    <definedName name="NEW_GroupVBFilled">'B6'!$AB$11</definedName>
    <definedName name="NEW_PermFilled" localSheetId="0">'SWCC|0001-00'!$AC$10</definedName>
    <definedName name="NEW_PermFilled" localSheetId="1">'SWCC|0522-00'!$AC$10</definedName>
    <definedName name="NEW_PermFilled">'B6'!$AC$10</definedName>
    <definedName name="NEW_PermSalaryFilled" localSheetId="0">'SWCC|0001-00'!$AA$10</definedName>
    <definedName name="NEW_PermSalaryFilled" localSheetId="1">'SWCC|0522-00'!$AA$10</definedName>
    <definedName name="NEW_PermSalaryFilled">'B6'!$AA$10</definedName>
    <definedName name="NEW_PermVBFilled" localSheetId="0">'SWCC|0001-00'!$AB$10</definedName>
    <definedName name="NEW_PermVBFilled" localSheetId="1">'SWCC|0522-00'!$AB$10</definedName>
    <definedName name="NEW_PermVBFilled">'B6'!$AB$10</definedName>
    <definedName name="OneTimePC_Total" localSheetId="0">'SWCC|0001-00'!$J$63</definedName>
    <definedName name="OneTimePC_Total" localSheetId="1">'SWCC|0522-00'!$J$63</definedName>
    <definedName name="OneTimePC_Total">'B6'!$J$63</definedName>
    <definedName name="OrigApprop" localSheetId="0">'SWCC|0001-00'!$E$15</definedName>
    <definedName name="OrigApprop" localSheetId="1">'SWCC|0522-00'!$E$15</definedName>
    <definedName name="OrigApprop">'B6'!$E$15</definedName>
    <definedName name="perm_name" localSheetId="0">'SWCC|0001-00'!$C$10</definedName>
    <definedName name="perm_name" localSheetId="1">'SWCC|0522-00'!$C$10</definedName>
    <definedName name="perm_name">'B6'!$C$10</definedName>
    <definedName name="PermFTP" localSheetId="0">'SWCC|0001-00'!$F$10</definedName>
    <definedName name="PermFTP" localSheetId="1">'SWCC|0522-00'!$F$10</definedName>
    <definedName name="PermFTP">'B6'!$F$10</definedName>
    <definedName name="PermFxdBen" localSheetId="0">'SWCC|0001-00'!$H$10</definedName>
    <definedName name="PermFxdBen" localSheetId="1">'SWCC|0522-00'!$H$10</definedName>
    <definedName name="PermFxdBen">'B6'!$H$10</definedName>
    <definedName name="PermFxdBenChg" localSheetId="0">'SWCC|0001-00'!$L$10</definedName>
    <definedName name="PermFxdBenChg" localSheetId="1">'SWCC|0522-00'!$L$10</definedName>
    <definedName name="PermFxdBenChg">'B6'!$L$10</definedName>
    <definedName name="PermFxdChg" localSheetId="0">'SWCC|0001-00'!$L$10</definedName>
    <definedName name="PermFxdChg" localSheetId="1">'SWCC|0522-00'!$L$10</definedName>
    <definedName name="PermFxdChg">'B6'!$L$10</definedName>
    <definedName name="PermSalary" localSheetId="0">'SWCC|0001-00'!$G$10</definedName>
    <definedName name="PermSalary" localSheetId="1">'SWCC|0522-00'!$G$10</definedName>
    <definedName name="PermSalary">'B6'!$G$10</definedName>
    <definedName name="PermVarBen" localSheetId="0">'SWCC|0001-00'!$I$10</definedName>
    <definedName name="PermVarBen" localSheetId="1">'SWCC|0522-00'!$I$10</definedName>
    <definedName name="PermVarBen">'B6'!$I$10</definedName>
    <definedName name="PermVarBenChg" localSheetId="0">'SWCC|0001-00'!$M$10</definedName>
    <definedName name="PermVarBenChg" localSheetId="1">'SWCC|0522-00'!$M$10</definedName>
    <definedName name="PermVarBenChg">'B6'!$M$10</definedName>
    <definedName name="PermVB">Benefits!$C$12</definedName>
    <definedName name="PermVBBY">Benefits!$D$12</definedName>
    <definedName name="PermVBCHG">Benefits!$E$12</definedName>
    <definedName name="_xlnm.Print_Area" localSheetId="4">'B6'!$A$1:$N$81</definedName>
    <definedName name="_xlnm.Print_Area" localSheetId="3">Benefits!$A$1:$G$36</definedName>
    <definedName name="_xlnm.Print_Area" localSheetId="0">'SWCC|0001-00'!$A$1:$N$81</definedName>
    <definedName name="_xlnm.Print_Area" localSheetId="1">'SWCC|0522-00'!$A$1:$N$81</definedName>
    <definedName name="Prog_Unadjusted_Total" localSheetId="0">'SWCC|0001-00'!$C$8:$N$16</definedName>
    <definedName name="Prog_Unadjusted_Total" localSheetId="1">'SWCC|0522-00'!$C$8:$N$16</definedName>
    <definedName name="Prog_Unadjusted_Total">'B6'!$C$8:$N$16</definedName>
    <definedName name="Program" localSheetId="0">'SWCC|0001-00'!$D$3</definedName>
    <definedName name="Program" localSheetId="1">'SWCC|0522-00'!$D$3</definedName>
    <definedName name="Program">'B6'!$D$3</definedName>
    <definedName name="PTHealth">Benefits!$C$16</definedName>
    <definedName name="PTHealthBY">Benefits!$D$16</definedName>
    <definedName name="PTHealthChg">Benefits!$E$16</definedName>
    <definedName name="Retire1">Benefits!$C$20</definedName>
    <definedName name="Retire1BY">Benefits!$D$20</definedName>
    <definedName name="Retire1CHG">Benefits!$E$20</definedName>
    <definedName name="Retire2">Benefits!$C$21</definedName>
    <definedName name="Retire2BY">Benefits!$D$21</definedName>
    <definedName name="Retire2CHG">Benefits!$E$21</definedName>
    <definedName name="Retire4">Benefits!$C$22</definedName>
    <definedName name="Retire4BY">Benefits!$D$22</definedName>
    <definedName name="Retire4CHG">Benefits!$E$22</definedName>
    <definedName name="Retire5">Benefits!$C$23</definedName>
    <definedName name="Retire5BY">Benefits!$D$23</definedName>
    <definedName name="Retire5CHG">Benefits!$E$23</definedName>
    <definedName name="Retire6">Benefits!$C$24</definedName>
    <definedName name="Retire6BY">Benefits!$D$24</definedName>
    <definedName name="Retire6CHG">Benefits!$E$24</definedName>
    <definedName name="Retire7">Benefits!$C$25</definedName>
    <definedName name="Retire7BY">Benefits!$D$25</definedName>
    <definedName name="Retire7CHG">Benefits!$E$25</definedName>
    <definedName name="Retire8">Benefits!$C$26</definedName>
    <definedName name="Retire8BY">Benefits!$D$26</definedName>
    <definedName name="Retire8CHG">Benefits!$E$26</definedName>
    <definedName name="Retirement_Rates">Benefits!$A$19:$E$26</definedName>
    <definedName name="RoundedAppropSalary" localSheetId="0">'SWCC|0001-00'!$G$52</definedName>
    <definedName name="RoundedAppropSalary" localSheetId="1">'SWCC|0522-00'!$G$52</definedName>
    <definedName name="RoundedAppropSalary">'B6'!$G$52</definedName>
    <definedName name="SalaryChg" localSheetId="0">'SWCC|0001-00'!$K$10</definedName>
    <definedName name="SalaryChg" localSheetId="1">'SWCC|0522-00'!$K$10</definedName>
    <definedName name="SalaryChg">'B6'!$K$10</definedName>
    <definedName name="Sick">Benefits!$C$10</definedName>
    <definedName name="SickBY">Benefits!$D$10</definedName>
    <definedName name="SickCHG">Benefits!$E$10</definedName>
    <definedName name="SSDI">Benefits!$C$5</definedName>
    <definedName name="SSDIBY">Benefits!$D$5</definedName>
    <definedName name="SSDICHG">Benefits!$E$5</definedName>
    <definedName name="SSHI">Benefits!$C$6</definedName>
    <definedName name="SSHIBY">Benefits!$D$6</definedName>
    <definedName name="SSHICHG">Benefits!$E$6</definedName>
    <definedName name="SubCECBase" localSheetId="0">'SWCC|0001-00'!#REF!</definedName>
    <definedName name="SubCECBase" localSheetId="1">'SWCC|0522-00'!#REF!</definedName>
    <definedName name="SubCECBase">'B6'!#REF!</definedName>
    <definedName name="SWCC000100col_1_27TH_PP">Data!$BA$39</definedName>
    <definedName name="SWCC000100col_DHR">Data!$BI$39</definedName>
    <definedName name="SWCC000100col_DHR_BY">Data!$BU$39</definedName>
    <definedName name="SWCC000100col_DHR_CHG">Data!$CG$39</definedName>
    <definedName name="SWCC000100col_FTI_SALARY_ELECT">Data!$AZ$39</definedName>
    <definedName name="SWCC000100col_FTI_SALARY_PERM">Data!$AY$39</definedName>
    <definedName name="SWCC000100col_FTI_SALARY_SSDI">Data!$AX$39</definedName>
    <definedName name="SWCC000100col_Group_Ben">Data!$CM$39</definedName>
    <definedName name="SWCC000100col_Group_Salary">Data!$CL$39</definedName>
    <definedName name="SWCC000100col_HEALTH_ELECT">Data!$BC$39</definedName>
    <definedName name="SWCC000100col_HEALTH_ELECT_BY">Data!$BO$39</definedName>
    <definedName name="SWCC000100col_HEALTH_ELECT_CHG">Data!$CA$39</definedName>
    <definedName name="SWCC000100col_HEALTH_PERM">Data!$BB$39</definedName>
    <definedName name="SWCC000100col_HEALTH_PERM_BY">Data!$BN$39</definedName>
    <definedName name="SWCC000100col_HEALTH_PERM_CHG">Data!$BZ$39</definedName>
    <definedName name="SWCC000100col_INC_FTI">Data!$AS$39</definedName>
    <definedName name="SWCC000100col_LIFE_INS">Data!$BG$39</definedName>
    <definedName name="SWCC000100col_LIFE_INS_BY">Data!$BS$39</definedName>
    <definedName name="SWCC000100col_LIFE_INS_CHG">Data!$CE$39</definedName>
    <definedName name="SWCC000100col_RETIREMENT">Data!$BF$39</definedName>
    <definedName name="SWCC000100col_RETIREMENT_BY">Data!$BR$39</definedName>
    <definedName name="SWCC000100col_RETIREMENT_CHG">Data!$CD$39</definedName>
    <definedName name="SWCC000100col_ROWS_PER_PCN">Data!$AW$39</definedName>
    <definedName name="SWCC000100col_SICK">Data!$BK$39</definedName>
    <definedName name="SWCC000100col_SICK_BY">Data!$BW$39</definedName>
    <definedName name="SWCC000100col_SICK_CHG">Data!$CI$39</definedName>
    <definedName name="SWCC000100col_SSDI">Data!$BD$39</definedName>
    <definedName name="SWCC000100col_SSDI_BY">Data!$BP$39</definedName>
    <definedName name="SWCC000100col_SSDI_CHG">Data!$CB$39</definedName>
    <definedName name="SWCC000100col_SSHI">Data!$BE$39</definedName>
    <definedName name="SWCC000100col_SSHI_BY">Data!$BQ$39</definedName>
    <definedName name="SWCC000100col_SSHI_CHGv">Data!$CC$39</definedName>
    <definedName name="SWCC000100col_TOT_VB_ELECT">Data!$BM$39</definedName>
    <definedName name="SWCC000100col_TOT_VB_ELECT_BY">Data!$BY$39</definedName>
    <definedName name="SWCC000100col_TOT_VB_ELECT_CHG">Data!$CK$39</definedName>
    <definedName name="SWCC000100col_TOT_VB_PERM">Data!$BL$39</definedName>
    <definedName name="SWCC000100col_TOT_VB_PERM_BY">Data!$BX$39</definedName>
    <definedName name="SWCC000100col_TOT_VB_PERM_CHG">Data!$CJ$39</definedName>
    <definedName name="SWCC000100col_TOTAL_ELECT_PCN_FTI">Data!$AT$39</definedName>
    <definedName name="SWCC000100col_TOTAL_ELECT_PCN_FTI_ALT">Data!$AV$39</definedName>
    <definedName name="SWCC000100col_TOTAL_PERM_PCN_FTI">Data!$AU$39</definedName>
    <definedName name="SWCC000100col_UNEMP_INS">Data!$BH$39</definedName>
    <definedName name="SWCC000100col_UNEMP_INS_BY">Data!$BT$39</definedName>
    <definedName name="SWCC000100col_UNEMP_INS_CHG">Data!$CF$39</definedName>
    <definedName name="SWCC000100col_WORKERS_COMP">Data!$BJ$39</definedName>
    <definedName name="SWCC000100col_WORKERS_COMP_BY">Data!$BV$39</definedName>
    <definedName name="SWCC000100col_WORKERS_COMP_CHG">Data!$CH$39</definedName>
    <definedName name="SWCC052200col_1_27TH_PP">Data!$BA$41</definedName>
    <definedName name="SWCC052200col_DHR">Data!$BI$41</definedName>
    <definedName name="SWCC052200col_DHR_BY">Data!$BU$41</definedName>
    <definedName name="SWCC052200col_DHR_CHG">Data!$CG$41</definedName>
    <definedName name="SWCC052200col_FTI_SALARY_ELECT">Data!$AZ$41</definedName>
    <definedName name="SWCC052200col_FTI_SALARY_PERM">Data!$AY$41</definedName>
    <definedName name="SWCC052200col_FTI_SALARY_SSDI">Data!$AX$41</definedName>
    <definedName name="SWCC052200col_Group_Ben">Data!$CM$41</definedName>
    <definedName name="SWCC052200col_Group_Salary">Data!$CL$41</definedName>
    <definedName name="SWCC052200col_HEALTH_ELECT">Data!$BC$41</definedName>
    <definedName name="SWCC052200col_HEALTH_ELECT_BY">Data!$BO$41</definedName>
    <definedName name="SWCC052200col_HEALTH_ELECT_CHG">Data!$CA$41</definedName>
    <definedName name="SWCC052200col_HEALTH_PERM">Data!$BB$41</definedName>
    <definedName name="SWCC052200col_HEALTH_PERM_BY">Data!$BN$41</definedName>
    <definedName name="SWCC052200col_HEALTH_PERM_CHG">Data!$BZ$41</definedName>
    <definedName name="SWCC052200col_INC_FTI">Data!$AS$41</definedName>
    <definedName name="SWCC052200col_LIFE_INS">Data!$BG$41</definedName>
    <definedName name="SWCC052200col_LIFE_INS_BY">Data!$BS$41</definedName>
    <definedName name="SWCC052200col_LIFE_INS_CHG">Data!$CE$41</definedName>
    <definedName name="SWCC052200col_RETIREMENT">Data!$BF$41</definedName>
    <definedName name="SWCC052200col_RETIREMENT_BY">Data!$BR$41</definedName>
    <definedName name="SWCC052200col_RETIREMENT_CHG">Data!$CD$41</definedName>
    <definedName name="SWCC052200col_ROWS_PER_PCN">Data!$AW$41</definedName>
    <definedName name="SWCC052200col_SICK">Data!$BK$41</definedName>
    <definedName name="SWCC052200col_SICK_BY">Data!$BW$41</definedName>
    <definedName name="SWCC052200col_SICK_CHG">Data!$CI$41</definedName>
    <definedName name="SWCC052200col_SSDI">Data!$BD$41</definedName>
    <definedName name="SWCC052200col_SSDI_BY">Data!$BP$41</definedName>
    <definedName name="SWCC052200col_SSDI_CHG">Data!$CB$41</definedName>
    <definedName name="SWCC052200col_SSHI">Data!$BE$41</definedName>
    <definedName name="SWCC052200col_SSHI_BY">Data!$BQ$41</definedName>
    <definedName name="SWCC052200col_SSHI_CHGv">Data!$CC$41</definedName>
    <definedName name="SWCC052200col_TOT_VB_ELECT">Data!$BM$41</definedName>
    <definedName name="SWCC052200col_TOT_VB_ELECT_BY">Data!$BY$41</definedName>
    <definedName name="SWCC052200col_TOT_VB_ELECT_CHG">Data!$CK$41</definedName>
    <definedName name="SWCC052200col_TOT_VB_PERM">Data!$BL$41</definedName>
    <definedName name="SWCC052200col_TOT_VB_PERM_BY">Data!$BX$41</definedName>
    <definedName name="SWCC052200col_TOT_VB_PERM_CHG">Data!$CJ$41</definedName>
    <definedName name="SWCC052200col_TOTAL_ELECT_PCN_FTI">Data!$AT$41</definedName>
    <definedName name="SWCC052200col_TOTAL_ELECT_PCN_FTI_ALT">Data!$AV$41</definedName>
    <definedName name="SWCC052200col_TOTAL_PERM_PCN_FTI">Data!$AU$41</definedName>
    <definedName name="SWCC052200col_UNEMP_INS">Data!$BH$41</definedName>
    <definedName name="SWCC052200col_UNEMP_INS_BY">Data!$BT$41</definedName>
    <definedName name="SWCC052200col_UNEMP_INS_CHG">Data!$CF$41</definedName>
    <definedName name="SWCC052200col_WORKERS_COMP">Data!$BJ$41</definedName>
    <definedName name="SWCC052200col_WORKERS_COMP_BY">Data!$BV$41</definedName>
    <definedName name="SWCC052200col_WORKERS_COMP_CHG">Data!$CH$41</definedName>
    <definedName name="UI">Benefits!$C$7</definedName>
    <definedName name="UIBY">Benefits!$D$7</definedName>
    <definedName name="UICHG">Benefits!$E$7</definedName>
    <definedName name="WC">Benefits!$C$8</definedName>
    <definedName name="WCBY">Benefits!$D$8</definedName>
    <definedName name="WCCHG">Benefits!$E$8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1" l="1"/>
  <c r="F8" i="11"/>
  <c r="G8" i="11"/>
  <c r="H8" i="11"/>
  <c r="I8" i="11"/>
  <c r="J8" i="11"/>
  <c r="K8" i="11"/>
  <c r="L8" i="11"/>
  <c r="M8" i="11"/>
  <c r="E9" i="11"/>
  <c r="F9" i="11"/>
  <c r="G9" i="11"/>
  <c r="H9" i="11"/>
  <c r="I9" i="11"/>
  <c r="J9" i="11"/>
  <c r="K9" i="11"/>
  <c r="L9" i="11"/>
  <c r="M9" i="11"/>
  <c r="E10" i="11"/>
  <c r="F10" i="11"/>
  <c r="G10" i="11"/>
  <c r="H10" i="11"/>
  <c r="I10" i="11"/>
  <c r="J10" i="11"/>
  <c r="K10" i="11"/>
  <c r="L10" i="11"/>
  <c r="M10" i="11"/>
  <c r="E11" i="11"/>
  <c r="F11" i="11"/>
  <c r="G11" i="11"/>
  <c r="H11" i="11"/>
  <c r="I11" i="11"/>
  <c r="J11" i="11"/>
  <c r="K11" i="11"/>
  <c r="L11" i="11"/>
  <c r="M11" i="11"/>
  <c r="E12" i="11"/>
  <c r="F12" i="11"/>
  <c r="G12" i="11"/>
  <c r="H12" i="11"/>
  <c r="I12" i="11"/>
  <c r="J12" i="11"/>
  <c r="K12" i="11"/>
  <c r="L12" i="11"/>
  <c r="M12" i="11"/>
  <c r="E13" i="11"/>
  <c r="F13" i="11"/>
  <c r="G13" i="11"/>
  <c r="H13" i="11"/>
  <c r="I13" i="11"/>
  <c r="J13" i="11"/>
  <c r="K13" i="11"/>
  <c r="L13" i="11"/>
  <c r="M13" i="11"/>
  <c r="E14" i="11"/>
  <c r="F14" i="11"/>
  <c r="G14" i="11"/>
  <c r="H14" i="11"/>
  <c r="I14" i="11"/>
  <c r="J14" i="11"/>
  <c r="K14" i="11"/>
  <c r="L14" i="11"/>
  <c r="M14" i="11"/>
  <c r="E15" i="11"/>
  <c r="F15" i="11"/>
  <c r="G15" i="11"/>
  <c r="H15" i="11"/>
  <c r="I15" i="11"/>
  <c r="J15" i="11"/>
  <c r="K15" i="11"/>
  <c r="L15" i="11"/>
  <c r="M15" i="11"/>
  <c r="E16" i="11"/>
  <c r="F16" i="11"/>
  <c r="G16" i="11"/>
  <c r="H16" i="11"/>
  <c r="I16" i="11"/>
  <c r="J16" i="11"/>
  <c r="K16" i="11"/>
  <c r="L16" i="11"/>
  <c r="M16" i="11"/>
  <c r="E17" i="11"/>
  <c r="F17" i="11"/>
  <c r="G17" i="11"/>
  <c r="H17" i="11"/>
  <c r="I17" i="11"/>
  <c r="J17" i="11"/>
  <c r="K17" i="11"/>
  <c r="L17" i="11"/>
  <c r="M17" i="11"/>
  <c r="E18" i="11"/>
  <c r="F18" i="11"/>
  <c r="G18" i="11"/>
  <c r="H18" i="11"/>
  <c r="I18" i="11"/>
  <c r="J18" i="11"/>
  <c r="K18" i="11"/>
  <c r="L18" i="11"/>
  <c r="M18" i="11"/>
  <c r="E19" i="11"/>
  <c r="F19" i="11"/>
  <c r="G19" i="11"/>
  <c r="H19" i="11"/>
  <c r="I19" i="11"/>
  <c r="J19" i="11"/>
  <c r="K19" i="11"/>
  <c r="L19" i="11"/>
  <c r="M19" i="11"/>
  <c r="E20" i="11"/>
  <c r="F20" i="11"/>
  <c r="G20" i="11"/>
  <c r="H20" i="11"/>
  <c r="I20" i="11"/>
  <c r="J20" i="11"/>
  <c r="K20" i="11"/>
  <c r="L20" i="11"/>
  <c r="M20" i="11"/>
  <c r="E21" i="11"/>
  <c r="F21" i="11"/>
  <c r="G21" i="11"/>
  <c r="H21" i="11"/>
  <c r="I21" i="11"/>
  <c r="J21" i="11"/>
  <c r="K21" i="11"/>
  <c r="L21" i="11"/>
  <c r="M21" i="11"/>
  <c r="E22" i="11"/>
  <c r="F22" i="11"/>
  <c r="G22" i="11"/>
  <c r="H22" i="11"/>
  <c r="I22" i="11"/>
  <c r="J22" i="11"/>
  <c r="K22" i="11"/>
  <c r="L22" i="11"/>
  <c r="M22" i="11"/>
  <c r="E23" i="11"/>
  <c r="F23" i="11"/>
  <c r="G23" i="11"/>
  <c r="H23" i="11"/>
  <c r="I23" i="11"/>
  <c r="J23" i="11"/>
  <c r="K23" i="11"/>
  <c r="L23" i="11"/>
  <c r="M23" i="11"/>
  <c r="BA64" i="5"/>
  <c r="AZ64" i="5"/>
  <c r="AY64" i="5"/>
  <c r="AX64" i="5"/>
  <c r="AW64" i="5"/>
  <c r="AV64" i="5"/>
  <c r="AU64" i="5"/>
  <c r="AT64" i="5"/>
  <c r="AS64" i="5"/>
  <c r="BA62" i="5"/>
  <c r="AZ62" i="5"/>
  <c r="AY62" i="5"/>
  <c r="AX62" i="5"/>
  <c r="AW62" i="5"/>
  <c r="AV62" i="5"/>
  <c r="AU62" i="5"/>
  <c r="AT62" i="5"/>
  <c r="AS62" i="5"/>
  <c r="BA54" i="5"/>
  <c r="AZ54" i="5"/>
  <c r="AY54" i="5"/>
  <c r="AX54" i="5"/>
  <c r="AW54" i="5"/>
  <c r="AV54" i="5"/>
  <c r="AU54" i="5"/>
  <c r="AT54" i="5"/>
  <c r="AS54" i="5"/>
  <c r="AZ60" i="5"/>
  <c r="AW60" i="5"/>
  <c r="AZ58" i="5"/>
  <c r="AW58" i="5"/>
  <c r="A20" i="10"/>
  <c r="K13" i="10"/>
  <c r="J13" i="10"/>
  <c r="I13" i="10"/>
  <c r="H13" i="10"/>
  <c r="G13" i="10"/>
  <c r="F13" i="10"/>
  <c r="E13" i="10"/>
  <c r="C80" i="13"/>
  <c r="J79" i="13"/>
  <c r="J78" i="13"/>
  <c r="J77" i="13"/>
  <c r="C75" i="13"/>
  <c r="I74" i="13"/>
  <c r="J74" i="13" s="1"/>
  <c r="E73" i="13"/>
  <c r="E72" i="13"/>
  <c r="I71" i="13"/>
  <c r="J71" i="13" s="1"/>
  <c r="J70" i="13"/>
  <c r="C67" i="13"/>
  <c r="J66" i="13"/>
  <c r="I66" i="13"/>
  <c r="H66" i="13"/>
  <c r="G66" i="13"/>
  <c r="N64" i="13"/>
  <c r="J64" i="13"/>
  <c r="N63" i="13"/>
  <c r="H63" i="13"/>
  <c r="G63" i="13" s="1"/>
  <c r="I63" i="13" s="1"/>
  <c r="N62" i="13"/>
  <c r="J62" i="13"/>
  <c r="C60" i="13"/>
  <c r="N59" i="13"/>
  <c r="J59" i="13"/>
  <c r="N58" i="13"/>
  <c r="J58" i="13"/>
  <c r="C56" i="13"/>
  <c r="N55" i="13"/>
  <c r="J55" i="13"/>
  <c r="J54" i="13"/>
  <c r="F51" i="13"/>
  <c r="E51" i="13"/>
  <c r="C51" i="13"/>
  <c r="M50" i="13"/>
  <c r="L50" i="13"/>
  <c r="K50" i="13"/>
  <c r="J50" i="13"/>
  <c r="I50" i="13"/>
  <c r="H50" i="13"/>
  <c r="G50" i="13"/>
  <c r="C40" i="13"/>
  <c r="M39" i="13"/>
  <c r="L39" i="13"/>
  <c r="H39" i="13"/>
  <c r="F39" i="13"/>
  <c r="C39" i="13"/>
  <c r="C38" i="13"/>
  <c r="M35" i="13"/>
  <c r="L35" i="13"/>
  <c r="N35" i="13" s="1"/>
  <c r="J35" i="13"/>
  <c r="I35" i="13"/>
  <c r="H35" i="13"/>
  <c r="M34" i="13"/>
  <c r="L34" i="13"/>
  <c r="N34" i="13" s="1"/>
  <c r="J34" i="13"/>
  <c r="I34" i="13"/>
  <c r="H34" i="13"/>
  <c r="M33" i="13"/>
  <c r="N33" i="13" s="1"/>
  <c r="L33" i="13"/>
  <c r="J33" i="13"/>
  <c r="I33" i="13"/>
  <c r="H33" i="13"/>
  <c r="N32" i="13"/>
  <c r="M32" i="13"/>
  <c r="L32" i="13"/>
  <c r="J32" i="13"/>
  <c r="I32" i="13"/>
  <c r="H32" i="13"/>
  <c r="M30" i="13"/>
  <c r="L30" i="13"/>
  <c r="N30" i="13" s="1"/>
  <c r="J30" i="13"/>
  <c r="I30" i="13"/>
  <c r="H30" i="13"/>
  <c r="M29" i="13"/>
  <c r="L29" i="13"/>
  <c r="N29" i="13" s="1"/>
  <c r="J29" i="13"/>
  <c r="I29" i="13"/>
  <c r="H29" i="13"/>
  <c r="M28" i="13"/>
  <c r="N28" i="13" s="1"/>
  <c r="L28" i="13"/>
  <c r="J28" i="13"/>
  <c r="I28" i="13"/>
  <c r="H28" i="13"/>
  <c r="N27" i="13"/>
  <c r="M27" i="13"/>
  <c r="L27" i="13"/>
  <c r="J27" i="13"/>
  <c r="I27" i="13"/>
  <c r="H27" i="13"/>
  <c r="M26" i="13"/>
  <c r="L26" i="13"/>
  <c r="N26" i="13" s="1"/>
  <c r="J26" i="13"/>
  <c r="I26" i="13"/>
  <c r="H26" i="13"/>
  <c r="M25" i="13"/>
  <c r="L25" i="13"/>
  <c r="N25" i="13" s="1"/>
  <c r="J25" i="13"/>
  <c r="I25" i="13"/>
  <c r="H25" i="13"/>
  <c r="M24" i="13"/>
  <c r="N24" i="13" s="1"/>
  <c r="L24" i="13"/>
  <c r="J24" i="13"/>
  <c r="I24" i="13"/>
  <c r="H24" i="13"/>
  <c r="N23" i="13"/>
  <c r="M23" i="13"/>
  <c r="L23" i="13"/>
  <c r="J23" i="13"/>
  <c r="I23" i="13"/>
  <c r="H23" i="13"/>
  <c r="M22" i="13"/>
  <c r="L22" i="13"/>
  <c r="N22" i="13" s="1"/>
  <c r="J22" i="13"/>
  <c r="I22" i="13"/>
  <c r="H22" i="13"/>
  <c r="M21" i="13"/>
  <c r="L21" i="13"/>
  <c r="N21" i="13" s="1"/>
  <c r="J21" i="13"/>
  <c r="I21" i="13"/>
  <c r="H21" i="13"/>
  <c r="M20" i="13"/>
  <c r="N20" i="13" s="1"/>
  <c r="L20" i="13"/>
  <c r="J20" i="13"/>
  <c r="I20" i="13"/>
  <c r="H20" i="13"/>
  <c r="C15" i="13"/>
  <c r="AC11" i="13"/>
  <c r="M8" i="13"/>
  <c r="L8" i="13"/>
  <c r="K8" i="13"/>
  <c r="J8" i="13"/>
  <c r="I8" i="13"/>
  <c r="H8" i="13"/>
  <c r="G8" i="13"/>
  <c r="A9" i="10"/>
  <c r="K2" i="10"/>
  <c r="J2" i="10"/>
  <c r="I2" i="10"/>
  <c r="H2" i="10"/>
  <c r="G2" i="10"/>
  <c r="F2" i="10"/>
  <c r="E2" i="10"/>
  <c r="C80" i="12"/>
  <c r="J79" i="12"/>
  <c r="J78" i="12"/>
  <c r="J77" i="12"/>
  <c r="C75" i="12"/>
  <c r="I74" i="12"/>
  <c r="J74" i="12" s="1"/>
  <c r="E73" i="12"/>
  <c r="E72" i="12"/>
  <c r="I71" i="12"/>
  <c r="J71" i="12" s="1"/>
  <c r="J70" i="12"/>
  <c r="C67" i="12"/>
  <c r="J66" i="12"/>
  <c r="I66" i="12"/>
  <c r="H66" i="12"/>
  <c r="G66" i="12"/>
  <c r="N64" i="12"/>
  <c r="J64" i="12"/>
  <c r="N63" i="12"/>
  <c r="H63" i="12"/>
  <c r="G63" i="12" s="1"/>
  <c r="I63" i="12" s="1"/>
  <c r="N62" i="12"/>
  <c r="J62" i="12"/>
  <c r="C60" i="12"/>
  <c r="N59" i="12"/>
  <c r="J59" i="12"/>
  <c r="N58" i="12"/>
  <c r="J58" i="12"/>
  <c r="C56" i="12"/>
  <c r="N55" i="12"/>
  <c r="J55" i="12"/>
  <c r="J54" i="12"/>
  <c r="F51" i="12"/>
  <c r="E51" i="12"/>
  <c r="C51" i="12"/>
  <c r="M50" i="12"/>
  <c r="L50" i="12"/>
  <c r="K50" i="12"/>
  <c r="J50" i="12"/>
  <c r="I50" i="12"/>
  <c r="H50" i="12"/>
  <c r="G50" i="12"/>
  <c r="C40" i="12"/>
  <c r="M39" i="12"/>
  <c r="L39" i="12"/>
  <c r="H39" i="12"/>
  <c r="F39" i="12"/>
  <c r="C39" i="12"/>
  <c r="C38" i="12"/>
  <c r="M35" i="12"/>
  <c r="L35" i="12"/>
  <c r="J35" i="12"/>
  <c r="I35" i="12"/>
  <c r="H35" i="12"/>
  <c r="M34" i="12"/>
  <c r="L34" i="12"/>
  <c r="J34" i="12"/>
  <c r="I34" i="12"/>
  <c r="H34" i="12"/>
  <c r="M33" i="12"/>
  <c r="L33" i="12"/>
  <c r="N33" i="12" s="1"/>
  <c r="J33" i="12"/>
  <c r="I33" i="12"/>
  <c r="H33" i="12"/>
  <c r="N32" i="12"/>
  <c r="M32" i="12"/>
  <c r="L32" i="12"/>
  <c r="J32" i="12"/>
  <c r="I32" i="12"/>
  <c r="H32" i="12"/>
  <c r="M30" i="12"/>
  <c r="L30" i="12"/>
  <c r="J30" i="12"/>
  <c r="I30" i="12"/>
  <c r="H30" i="12"/>
  <c r="M29" i="12"/>
  <c r="L29" i="12"/>
  <c r="N29" i="12" s="1"/>
  <c r="J29" i="12"/>
  <c r="I29" i="12"/>
  <c r="H29" i="12"/>
  <c r="M28" i="12"/>
  <c r="L28" i="12"/>
  <c r="J28" i="12"/>
  <c r="I28" i="12"/>
  <c r="H28" i="12"/>
  <c r="N27" i="12"/>
  <c r="M27" i="12"/>
  <c r="L27" i="12"/>
  <c r="J27" i="12"/>
  <c r="I27" i="12"/>
  <c r="H27" i="12"/>
  <c r="M26" i="12"/>
  <c r="L26" i="12"/>
  <c r="J26" i="12"/>
  <c r="I26" i="12"/>
  <c r="H26" i="12"/>
  <c r="N25" i="12"/>
  <c r="M25" i="12"/>
  <c r="L25" i="12"/>
  <c r="J25" i="12"/>
  <c r="I25" i="12"/>
  <c r="H25" i="12"/>
  <c r="M24" i="12"/>
  <c r="L24" i="12"/>
  <c r="N24" i="12" s="1"/>
  <c r="J24" i="12"/>
  <c r="I24" i="12"/>
  <c r="H24" i="12"/>
  <c r="M23" i="12"/>
  <c r="L23" i="12"/>
  <c r="N23" i="12" s="1"/>
  <c r="J23" i="12"/>
  <c r="I23" i="12"/>
  <c r="H23" i="12"/>
  <c r="M22" i="12"/>
  <c r="L22" i="12"/>
  <c r="J22" i="12"/>
  <c r="I22" i="12"/>
  <c r="H22" i="12"/>
  <c r="M21" i="12"/>
  <c r="L21" i="12"/>
  <c r="N21" i="12" s="1"/>
  <c r="J21" i="12"/>
  <c r="I21" i="12"/>
  <c r="H21" i="12"/>
  <c r="M20" i="12"/>
  <c r="L20" i="12"/>
  <c r="N20" i="12" s="1"/>
  <c r="J20" i="12"/>
  <c r="I20" i="12"/>
  <c r="H20" i="12"/>
  <c r="C15" i="12"/>
  <c r="AC11" i="12"/>
  <c r="M8" i="12"/>
  <c r="L8" i="12"/>
  <c r="K8" i="12"/>
  <c r="J8" i="12"/>
  <c r="I8" i="12"/>
  <c r="H8" i="12"/>
  <c r="G8" i="12"/>
  <c r="CN3" i="5"/>
  <c r="CN4" i="5"/>
  <c r="CN5" i="5"/>
  <c r="CN6" i="5"/>
  <c r="CN7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2" i="5"/>
  <c r="CM3" i="5"/>
  <c r="CM4" i="5"/>
  <c r="CM5" i="5"/>
  <c r="CM6" i="5"/>
  <c r="CM7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2" i="5"/>
  <c r="CL3" i="5"/>
  <c r="CL4" i="5"/>
  <c r="CL5" i="5"/>
  <c r="CL6" i="5"/>
  <c r="CL7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L32" i="5"/>
  <c r="CL33" i="5"/>
  <c r="CL34" i="5"/>
  <c r="CL35" i="5"/>
  <c r="CL2" i="5"/>
  <c r="AW35" i="5"/>
  <c r="AW34" i="5"/>
  <c r="AW33" i="5"/>
  <c r="AW32" i="5"/>
  <c r="AW31" i="5"/>
  <c r="AW30" i="5"/>
  <c r="AW29" i="5"/>
  <c r="AW28" i="5"/>
  <c r="AW27" i="5"/>
  <c r="AW26" i="5"/>
  <c r="AW25" i="5"/>
  <c r="AW24" i="5"/>
  <c r="AW23" i="5"/>
  <c r="AW22" i="5"/>
  <c r="AW21" i="5"/>
  <c r="AW20" i="5"/>
  <c r="AW19" i="5"/>
  <c r="AW18" i="5"/>
  <c r="AW17" i="5"/>
  <c r="AW16" i="5"/>
  <c r="AW15" i="5"/>
  <c r="AW14" i="5"/>
  <c r="AW13" i="5"/>
  <c r="AW12" i="5"/>
  <c r="AW11" i="5"/>
  <c r="AW10" i="5"/>
  <c r="AW9" i="5"/>
  <c r="AW8" i="5"/>
  <c r="AW7" i="5"/>
  <c r="AW6" i="5"/>
  <c r="AW5" i="5"/>
  <c r="AW4" i="5"/>
  <c r="AW3" i="5"/>
  <c r="AW2" i="5"/>
  <c r="AS3" i="5"/>
  <c r="AX3" i="5" s="1"/>
  <c r="AS4" i="5"/>
  <c r="AX4" i="5" s="1"/>
  <c r="AS5" i="5"/>
  <c r="AS6" i="5"/>
  <c r="AX6" i="5" s="1"/>
  <c r="AS7" i="5"/>
  <c r="AX7" i="5" s="1"/>
  <c r="AS8" i="5"/>
  <c r="AX8" i="5" s="1"/>
  <c r="AS9" i="5"/>
  <c r="AS10" i="5"/>
  <c r="AS11" i="5"/>
  <c r="AX11" i="5" s="1"/>
  <c r="AS12" i="5"/>
  <c r="AX12" i="5" s="1"/>
  <c r="AS13" i="5"/>
  <c r="AS14" i="5"/>
  <c r="AX14" i="5" s="1"/>
  <c r="AS15" i="5"/>
  <c r="AX15" i="5" s="1"/>
  <c r="AS16" i="5"/>
  <c r="AT16" i="5" s="1"/>
  <c r="AU16" i="5" s="1"/>
  <c r="AS17" i="5"/>
  <c r="AS18" i="5"/>
  <c r="AS19" i="5"/>
  <c r="AT19" i="5" s="1"/>
  <c r="AS20" i="5"/>
  <c r="AX20" i="5" s="1"/>
  <c r="AS21" i="5"/>
  <c r="AS22" i="5"/>
  <c r="AX22" i="5" s="1"/>
  <c r="AS23" i="5"/>
  <c r="AX23" i="5" s="1"/>
  <c r="AS24" i="5"/>
  <c r="AX24" i="5" s="1"/>
  <c r="AS25" i="5"/>
  <c r="AS26" i="5"/>
  <c r="AS27" i="5"/>
  <c r="AX27" i="5" s="1"/>
  <c r="AS28" i="5"/>
  <c r="AX28" i="5" s="1"/>
  <c r="AS29" i="5"/>
  <c r="AS30" i="5"/>
  <c r="AX30" i="5" s="1"/>
  <c r="AS31" i="5"/>
  <c r="AX31" i="5" s="1"/>
  <c r="AS32" i="5"/>
  <c r="AT32" i="5" s="1"/>
  <c r="BM32" i="5" s="1"/>
  <c r="AS33" i="5"/>
  <c r="AS34" i="5"/>
  <c r="AS35" i="5"/>
  <c r="AX35" i="5" s="1"/>
  <c r="AS2" i="5"/>
  <c r="AX2" i="5" s="1"/>
  <c r="AV59" i="5" l="1"/>
  <c r="AT49" i="5"/>
  <c r="AT50" i="5" s="1"/>
  <c r="AX59" i="5"/>
  <c r="AU49" i="5"/>
  <c r="AU50" i="5" s="1"/>
  <c r="AT57" i="5"/>
  <c r="AY59" i="5"/>
  <c r="AT51" i="5"/>
  <c r="AU57" i="5"/>
  <c r="AU58" i="5" s="1"/>
  <c r="BA59" i="5"/>
  <c r="AU51" i="5"/>
  <c r="AU52" i="5" s="1"/>
  <c r="AV57" i="5"/>
  <c r="AX57" i="5"/>
  <c r="AY57" i="5"/>
  <c r="AT59" i="5"/>
  <c r="AT60" i="5" s="1"/>
  <c r="AY60" i="5"/>
  <c r="BA57" i="5"/>
  <c r="AU59" i="5"/>
  <c r="AT58" i="5"/>
  <c r="AW40" i="5"/>
  <c r="AW41" i="5" s="1"/>
  <c r="N39" i="13"/>
  <c r="N30" i="12"/>
  <c r="N34" i="12"/>
  <c r="N26" i="12"/>
  <c r="N22" i="12"/>
  <c r="F52" i="13"/>
  <c r="F56" i="13" s="1"/>
  <c r="F60" i="13" s="1"/>
  <c r="N28" i="12"/>
  <c r="N35" i="12"/>
  <c r="CL40" i="5"/>
  <c r="CL41" i="5" s="1"/>
  <c r="CM40" i="5"/>
  <c r="CM41" i="5" s="1"/>
  <c r="AT3" i="5"/>
  <c r="AV3" i="5" s="1"/>
  <c r="CM38" i="5"/>
  <c r="CM39" i="5" s="1"/>
  <c r="I11" i="12" s="1"/>
  <c r="I39" i="12" s="1"/>
  <c r="AB39" i="12" s="1"/>
  <c r="AT7" i="5"/>
  <c r="BH7" i="5" s="1"/>
  <c r="BF19" i="5"/>
  <c r="AV19" i="5"/>
  <c r="BC19" i="5" s="1"/>
  <c r="AT23" i="5"/>
  <c r="CC23" i="5" s="1"/>
  <c r="AT35" i="5"/>
  <c r="BF35" i="5" s="1"/>
  <c r="AT14" i="5"/>
  <c r="CC14" i="5" s="1"/>
  <c r="AU32" i="5"/>
  <c r="BN32" i="5" s="1"/>
  <c r="AT31" i="5"/>
  <c r="AV31" i="5" s="1"/>
  <c r="BO31" i="5" s="1"/>
  <c r="AT11" i="5"/>
  <c r="BJ11" i="5" s="1"/>
  <c r="BM16" i="5"/>
  <c r="AT30" i="5"/>
  <c r="CD30" i="5" s="1"/>
  <c r="AX16" i="5"/>
  <c r="BD16" i="5" s="1"/>
  <c r="CL38" i="5"/>
  <c r="CL39" i="5" s="1"/>
  <c r="AT27" i="5"/>
  <c r="CG27" i="5" s="1"/>
  <c r="AT6" i="5"/>
  <c r="AV6" i="5" s="1"/>
  <c r="BO6" i="5" s="1"/>
  <c r="AX19" i="5"/>
  <c r="BD19" i="5" s="1"/>
  <c r="AX32" i="5"/>
  <c r="BD32" i="5" s="1"/>
  <c r="AT22" i="5"/>
  <c r="AV22" i="5" s="1"/>
  <c r="AT15" i="5"/>
  <c r="AV15" i="5" s="1"/>
  <c r="BO15" i="5" s="1"/>
  <c r="N39" i="12"/>
  <c r="F52" i="12"/>
  <c r="F56" i="12" s="1"/>
  <c r="F60" i="12" s="1"/>
  <c r="AX33" i="5"/>
  <c r="AT33" i="5"/>
  <c r="AX25" i="5"/>
  <c r="AT25" i="5"/>
  <c r="AX17" i="5"/>
  <c r="AT17" i="5"/>
  <c r="AX9" i="5"/>
  <c r="AT9" i="5"/>
  <c r="CF19" i="5"/>
  <c r="BU19" i="5"/>
  <c r="CJ19" i="5"/>
  <c r="CE19" i="5"/>
  <c r="CA19" i="5"/>
  <c r="BT19" i="5"/>
  <c r="CH19" i="5"/>
  <c r="CG19" i="5"/>
  <c r="CK19" i="5"/>
  <c r="CD19" i="5"/>
  <c r="BZ19" i="5"/>
  <c r="BW19" i="5"/>
  <c r="BS19" i="5"/>
  <c r="CI19" i="5"/>
  <c r="CC19" i="5"/>
  <c r="BY19" i="5"/>
  <c r="BX19" i="5"/>
  <c r="BV19" i="5"/>
  <c r="BK19" i="5"/>
  <c r="BG19" i="5"/>
  <c r="AY19" i="5"/>
  <c r="BI19" i="5"/>
  <c r="BE19" i="5"/>
  <c r="BA19" i="5"/>
  <c r="BH19" i="5"/>
  <c r="AZ19" i="5"/>
  <c r="BL19" i="5"/>
  <c r="AU19" i="5"/>
  <c r="BN19" i="5" s="1"/>
  <c r="BQ19" i="5"/>
  <c r="BR19" i="5"/>
  <c r="BM19" i="5"/>
  <c r="BJ19" i="5"/>
  <c r="AX29" i="5"/>
  <c r="AT29" i="5"/>
  <c r="AS51" i="5" s="1"/>
  <c r="AS52" i="5" s="1"/>
  <c r="AX13" i="5"/>
  <c r="AT13" i="5"/>
  <c r="AX21" i="5"/>
  <c r="AT21" i="5"/>
  <c r="AT34" i="5"/>
  <c r="AX34" i="5"/>
  <c r="AX26" i="5"/>
  <c r="AT26" i="5"/>
  <c r="AT18" i="5"/>
  <c r="AX18" i="5"/>
  <c r="AX10" i="5"/>
  <c r="AT10" i="5"/>
  <c r="AT2" i="5"/>
  <c r="AT20" i="5"/>
  <c r="AT4" i="5"/>
  <c r="CE32" i="5"/>
  <c r="CA32" i="5"/>
  <c r="BT32" i="5"/>
  <c r="CK32" i="5"/>
  <c r="CD32" i="5"/>
  <c r="BW32" i="5"/>
  <c r="BS32" i="5"/>
  <c r="CI32" i="5"/>
  <c r="CC32" i="5"/>
  <c r="BY32" i="5"/>
  <c r="BV32" i="5"/>
  <c r="BR32" i="5"/>
  <c r="CF32" i="5"/>
  <c r="BU32" i="5"/>
  <c r="BJ32" i="5"/>
  <c r="BF32" i="5"/>
  <c r="BH32" i="5"/>
  <c r="AZ32" i="5"/>
  <c r="BG32" i="5"/>
  <c r="AY32" i="5"/>
  <c r="AV32" i="5"/>
  <c r="BC32" i="5" s="1"/>
  <c r="BE32" i="5"/>
  <c r="BK32" i="5"/>
  <c r="BI32" i="5"/>
  <c r="BA32" i="5"/>
  <c r="BQ32" i="5"/>
  <c r="CE16" i="5"/>
  <c r="CA16" i="5"/>
  <c r="BT16" i="5"/>
  <c r="CK16" i="5"/>
  <c r="CD16" i="5"/>
  <c r="BW16" i="5"/>
  <c r="BS16" i="5"/>
  <c r="CI16" i="5"/>
  <c r="CC16" i="5"/>
  <c r="BY16" i="5"/>
  <c r="BV16" i="5"/>
  <c r="BR16" i="5"/>
  <c r="CF16" i="5"/>
  <c r="BU16" i="5"/>
  <c r="BQ16" i="5"/>
  <c r="BN16" i="5"/>
  <c r="BJ16" i="5"/>
  <c r="BF16" i="5"/>
  <c r="BB16" i="5"/>
  <c r="BH16" i="5"/>
  <c r="AZ16" i="5"/>
  <c r="AV16" i="5"/>
  <c r="BO16" i="5" s="1"/>
  <c r="BG16" i="5"/>
  <c r="AY16" i="5"/>
  <c r="BE16" i="5"/>
  <c r="BK16" i="5"/>
  <c r="BI16" i="5"/>
  <c r="BA16" i="5"/>
  <c r="AW38" i="5"/>
  <c r="AW39" i="5" s="1"/>
  <c r="AT28" i="5"/>
  <c r="AT12" i="5"/>
  <c r="AX5" i="5"/>
  <c r="AT5" i="5"/>
  <c r="BE22" i="5"/>
  <c r="AT24" i="5"/>
  <c r="AT8" i="5"/>
  <c r="C12" i="7"/>
  <c r="C13" i="7"/>
  <c r="C14" i="7"/>
  <c r="E51" i="9"/>
  <c r="BA60" i="5" l="1"/>
  <c r="AX60" i="5"/>
  <c r="BF22" i="5"/>
  <c r="BA58" i="5"/>
  <c r="AV60" i="5"/>
  <c r="AY58" i="5"/>
  <c r="BU30" i="5"/>
  <c r="BD22" i="5"/>
  <c r="AS49" i="5"/>
  <c r="AS50" i="5" s="1"/>
  <c r="AV58" i="5"/>
  <c r="AU60" i="5"/>
  <c r="AX58" i="5"/>
  <c r="AT52" i="5"/>
  <c r="CF27" i="5"/>
  <c r="CA15" i="5"/>
  <c r="BG30" i="5"/>
  <c r="AY22" i="5"/>
  <c r="BU22" i="5"/>
  <c r="CE35" i="5"/>
  <c r="BU35" i="5"/>
  <c r="I11" i="13"/>
  <c r="I39" i="13" s="1"/>
  <c r="AB39" i="13" s="1"/>
  <c r="G16" i="10"/>
  <c r="G11" i="13"/>
  <c r="E16" i="10"/>
  <c r="F67" i="13"/>
  <c r="AZ14" i="5"/>
  <c r="BM14" i="5"/>
  <c r="BW14" i="5"/>
  <c r="CE14" i="5"/>
  <c r="BK14" i="5"/>
  <c r="CF14" i="5"/>
  <c r="CI14" i="5"/>
  <c r="BJ14" i="5"/>
  <c r="AY14" i="5"/>
  <c r="BV14" i="5"/>
  <c r="BG14" i="5"/>
  <c r="BY14" i="5"/>
  <c r="BA14" i="5"/>
  <c r="BP14" i="5" s="1"/>
  <c r="BU27" i="5"/>
  <c r="BI14" i="5"/>
  <c r="BS14" i="5"/>
  <c r="BH14" i="5"/>
  <c r="CA14" i="5"/>
  <c r="CD14" i="5"/>
  <c r="AT40" i="5"/>
  <c r="AT41" i="5" s="1"/>
  <c r="AS40" i="5"/>
  <c r="AS41" i="5" s="1"/>
  <c r="AX40" i="5"/>
  <c r="AX41" i="5" s="1"/>
  <c r="BF14" i="5"/>
  <c r="BU14" i="5"/>
  <c r="BI22" i="5"/>
  <c r="BW22" i="5"/>
  <c r="BS7" i="5"/>
  <c r="CH23" i="5"/>
  <c r="BF23" i="5"/>
  <c r="BJ30" i="5"/>
  <c r="AZ15" i="5"/>
  <c r="CE30" i="5"/>
  <c r="BR15" i="5"/>
  <c r="BA7" i="5"/>
  <c r="BP7" i="5" s="1"/>
  <c r="BD15" i="5"/>
  <c r="BK30" i="5"/>
  <c r="CF15" i="5"/>
  <c r="AU3" i="5"/>
  <c r="BB3" i="5" s="1"/>
  <c r="BT23" i="5"/>
  <c r="BR6" i="5"/>
  <c r="BT30" i="5"/>
  <c r="BY3" i="5"/>
  <c r="BG7" i="5"/>
  <c r="BS11" i="5"/>
  <c r="BK23" i="5"/>
  <c r="BS30" i="5"/>
  <c r="BD35" i="5"/>
  <c r="AZ23" i="5"/>
  <c r="BI23" i="5"/>
  <c r="BU7" i="5"/>
  <c r="CI23" i="5"/>
  <c r="BA35" i="5"/>
  <c r="BP35" i="5" s="1"/>
  <c r="CC7" i="5"/>
  <c r="BS23" i="5"/>
  <c r="CC35" i="5"/>
  <c r="BZ22" i="5"/>
  <c r="CF7" i="5"/>
  <c r="BY23" i="5"/>
  <c r="AV35" i="5"/>
  <c r="BC35" i="5" s="1"/>
  <c r="BP32" i="5"/>
  <c r="CB32" i="5" s="1"/>
  <c r="AY35" i="5"/>
  <c r="CF22" i="5"/>
  <c r="BM7" i="5"/>
  <c r="CJ22" i="5"/>
  <c r="AU7" i="5"/>
  <c r="BB7" i="5" s="1"/>
  <c r="BG23" i="5"/>
  <c r="CD23" i="5"/>
  <c r="CK11" i="5"/>
  <c r="BE23" i="5"/>
  <c r="BZ23" i="5"/>
  <c r="BV30" i="5"/>
  <c r="CC15" i="5"/>
  <c r="BO19" i="5"/>
  <c r="AU23" i="5"/>
  <c r="BB23" i="5" s="1"/>
  <c r="BV23" i="5"/>
  <c r="BQ30" i="5"/>
  <c r="AU15" i="5"/>
  <c r="BB15" i="5" s="1"/>
  <c r="CK3" i="5"/>
  <c r="CI35" i="5"/>
  <c r="BT3" i="5"/>
  <c r="BG35" i="5"/>
  <c r="AZ11" i="5"/>
  <c r="BM35" i="5"/>
  <c r="BS35" i="5"/>
  <c r="AY7" i="5"/>
  <c r="BR23" i="5"/>
  <c r="BU23" i="5"/>
  <c r="BY11" i="5"/>
  <c r="AZ35" i="5"/>
  <c r="BZ35" i="5"/>
  <c r="BO22" i="5"/>
  <c r="BF6" i="5"/>
  <c r="CE7" i="5"/>
  <c r="BJ23" i="5"/>
  <c r="CF23" i="5"/>
  <c r="BF30" i="5"/>
  <c r="CK30" i="5"/>
  <c r="CD15" i="5"/>
  <c r="BU3" i="5"/>
  <c r="BP16" i="5"/>
  <c r="BX16" i="5" s="1"/>
  <c r="BC22" i="5"/>
  <c r="CG22" i="5"/>
  <c r="BX22" i="5"/>
  <c r="CK6" i="5"/>
  <c r="BM22" i="5"/>
  <c r="BL22" i="5"/>
  <c r="CE22" i="5"/>
  <c r="CI22" i="5"/>
  <c r="BK22" i="5"/>
  <c r="CH22" i="5"/>
  <c r="BS22" i="5"/>
  <c r="AU22" i="5"/>
  <c r="BN22" i="5" s="1"/>
  <c r="AZ22" i="5"/>
  <c r="BY22" i="5"/>
  <c r="BH22" i="5"/>
  <c r="BT22" i="5"/>
  <c r="CC22" i="5"/>
  <c r="CA11" i="5"/>
  <c r="CH3" i="5"/>
  <c r="BL3" i="5"/>
  <c r="BI6" i="5"/>
  <c r="BR7" i="5"/>
  <c r="BY7" i="5"/>
  <c r="BD30" i="5"/>
  <c r="BR30" i="5"/>
  <c r="BM15" i="5"/>
  <c r="BA3" i="5"/>
  <c r="BP3" i="5" s="1"/>
  <c r="BG6" i="5"/>
  <c r="BU6" i="5"/>
  <c r="BR11" i="5"/>
  <c r="BC3" i="5"/>
  <c r="BV6" i="5"/>
  <c r="BK7" i="5"/>
  <c r="CK7" i="5"/>
  <c r="BI30" i="5"/>
  <c r="BW30" i="5"/>
  <c r="BU15" i="5"/>
  <c r="BH11" i="5"/>
  <c r="CC3" i="5"/>
  <c r="AZ3" i="5"/>
  <c r="CJ3" i="5"/>
  <c r="BD6" i="5"/>
  <c r="BY6" i="5"/>
  <c r="BD3" i="5"/>
  <c r="BZ3" i="5"/>
  <c r="BA6" i="5"/>
  <c r="BP6" i="5" s="1"/>
  <c r="BQ23" i="5"/>
  <c r="CA23" i="5"/>
  <c r="BW23" i="5"/>
  <c r="BA30" i="5"/>
  <c r="BP30" i="5" s="1"/>
  <c r="BY30" i="5"/>
  <c r="AY15" i="5"/>
  <c r="BR31" i="5"/>
  <c r="BG3" i="5"/>
  <c r="CE3" i="5"/>
  <c r="CJ35" i="5"/>
  <c r="BK15" i="5"/>
  <c r="BU31" i="5"/>
  <c r="BO3" i="5"/>
  <c r="BK3" i="5"/>
  <c r="BQ3" i="5"/>
  <c r="CC31" i="5"/>
  <c r="AY11" i="5"/>
  <c r="BE35" i="5"/>
  <c r="BW35" i="5"/>
  <c r="AU31" i="5"/>
  <c r="BB31" i="5" s="1"/>
  <c r="BR35" i="5"/>
  <c r="BK35" i="5"/>
  <c r="CK35" i="5"/>
  <c r="BJ31" i="5"/>
  <c r="BW11" i="5"/>
  <c r="AV11" i="5"/>
  <c r="BC11" i="5" s="1"/>
  <c r="CA7" i="5"/>
  <c r="BM23" i="5"/>
  <c r="BA23" i="5"/>
  <c r="BP23" i="5" s="1"/>
  <c r="CJ23" i="5"/>
  <c r="CK23" i="5"/>
  <c r="BK31" i="5"/>
  <c r="AU11" i="5"/>
  <c r="BN11" i="5" s="1"/>
  <c r="CD11" i="5"/>
  <c r="AU35" i="5"/>
  <c r="BN35" i="5" s="1"/>
  <c r="BV35" i="5"/>
  <c r="BX35" i="5"/>
  <c r="CF31" i="5"/>
  <c r="BQ31" i="5"/>
  <c r="BB32" i="5"/>
  <c r="BZ32" i="5" s="1"/>
  <c r="BI11" i="5"/>
  <c r="BH35" i="5"/>
  <c r="CG35" i="5"/>
  <c r="CA35" i="5"/>
  <c r="BJ22" i="5"/>
  <c r="BQ22" i="5"/>
  <c r="BR22" i="5"/>
  <c r="CK22" i="5"/>
  <c r="BT6" i="5"/>
  <c r="BD7" i="5"/>
  <c r="BI7" i="5"/>
  <c r="BW7" i="5"/>
  <c r="BL23" i="5"/>
  <c r="CG23" i="5"/>
  <c r="BX23" i="5"/>
  <c r="AZ30" i="5"/>
  <c r="BM30" i="5"/>
  <c r="CC30" i="5"/>
  <c r="BJ15" i="5"/>
  <c r="CI15" i="5"/>
  <c r="BE31" i="5"/>
  <c r="BG11" i="5"/>
  <c r="BU11" i="5"/>
  <c r="BF3" i="5"/>
  <c r="BE3" i="5"/>
  <c r="BS3" i="5"/>
  <c r="BX3" i="5"/>
  <c r="BD31" i="5"/>
  <c r="CA31" i="5"/>
  <c r="BK11" i="5"/>
  <c r="CF11" i="5"/>
  <c r="BM3" i="5"/>
  <c r="AY3" i="5"/>
  <c r="BW3" i="5"/>
  <c r="CG3" i="5"/>
  <c r="BM31" i="5"/>
  <c r="BY31" i="5"/>
  <c r="BP19" i="5"/>
  <c r="CB19" i="5" s="1"/>
  <c r="BG22" i="5"/>
  <c r="BA22" i="5"/>
  <c r="BP22" i="5" s="1"/>
  <c r="CB22" i="5" s="1"/>
  <c r="CA22" i="5"/>
  <c r="BV22" i="5"/>
  <c r="CD22" i="5"/>
  <c r="BE6" i="5"/>
  <c r="BS6" i="5"/>
  <c r="BJ7" i="5"/>
  <c r="BT7" i="5"/>
  <c r="CI7" i="5"/>
  <c r="BQ14" i="5"/>
  <c r="BE14" i="5"/>
  <c r="BR14" i="5"/>
  <c r="CK14" i="5"/>
  <c r="AY30" i="5"/>
  <c r="CA30" i="5"/>
  <c r="CI30" i="5"/>
  <c r="BG31" i="5"/>
  <c r="BV31" i="5"/>
  <c r="BJ3" i="5"/>
  <c r="BH3" i="5"/>
  <c r="BV3" i="5"/>
  <c r="CD3" i="5"/>
  <c r="CF3" i="5"/>
  <c r="BJ35" i="5"/>
  <c r="BL35" i="5"/>
  <c r="BY35" i="5"/>
  <c r="CD35" i="5"/>
  <c r="CF35" i="5"/>
  <c r="AV7" i="5"/>
  <c r="BO7" i="5" s="1"/>
  <c r="BJ27" i="5"/>
  <c r="BK27" i="5"/>
  <c r="AX38" i="5"/>
  <c r="AX39" i="5" s="1"/>
  <c r="BQ6" i="5"/>
  <c r="AV27" i="5"/>
  <c r="BO27" i="5" s="1"/>
  <c r="BQ7" i="5"/>
  <c r="CD7" i="5"/>
  <c r="BD14" i="5"/>
  <c r="BT14" i="5"/>
  <c r="BH30" i="5"/>
  <c r="BE30" i="5"/>
  <c r="CF30" i="5"/>
  <c r="AZ31" i="5"/>
  <c r="BA31" i="5"/>
  <c r="BP31" i="5" s="1"/>
  <c r="BW31" i="5"/>
  <c r="BR3" i="5"/>
  <c r="BI3" i="5"/>
  <c r="CI3" i="5"/>
  <c r="CA3" i="5"/>
  <c r="BQ35" i="5"/>
  <c r="BI35" i="5"/>
  <c r="CH35" i="5"/>
  <c r="BT35" i="5"/>
  <c r="BV27" i="5"/>
  <c r="G5" i="10"/>
  <c r="AZ6" i="5"/>
  <c r="BM6" i="5"/>
  <c r="CI6" i="5"/>
  <c r="AU6" i="5"/>
  <c r="BB6" i="5" s="1"/>
  <c r="BA15" i="5"/>
  <c r="BP15" i="5" s="1"/>
  <c r="BS15" i="5"/>
  <c r="BF31" i="5"/>
  <c r="BI31" i="5"/>
  <c r="BS31" i="5"/>
  <c r="BD11" i="5"/>
  <c r="BV11" i="5"/>
  <c r="BT11" i="5"/>
  <c r="BQ27" i="5"/>
  <c r="BW27" i="5"/>
  <c r="AZ27" i="5"/>
  <c r="BZ27" i="5"/>
  <c r="BJ6" i="5"/>
  <c r="CE6" i="5"/>
  <c r="BW6" i="5"/>
  <c r="BF7" i="5"/>
  <c r="BE7" i="5"/>
  <c r="BV7" i="5"/>
  <c r="BD23" i="5"/>
  <c r="AY23" i="5"/>
  <c r="CE23" i="5"/>
  <c r="BL27" i="5"/>
  <c r="BH15" i="5"/>
  <c r="BT15" i="5"/>
  <c r="CK15" i="5"/>
  <c r="BC31" i="5"/>
  <c r="CE31" i="5"/>
  <c r="CD31" i="5"/>
  <c r="BF11" i="5"/>
  <c r="BA11" i="5"/>
  <c r="BP11" i="5" s="1"/>
  <c r="CC11" i="5"/>
  <c r="CE11" i="5"/>
  <c r="BD27" i="5"/>
  <c r="CD27" i="5"/>
  <c r="BC6" i="5"/>
  <c r="CK31" i="5"/>
  <c r="BM11" i="5"/>
  <c r="BE11" i="5"/>
  <c r="CI11" i="5"/>
  <c r="BQ11" i="5"/>
  <c r="BA27" i="5"/>
  <c r="BP27" i="5" s="1"/>
  <c r="CB27" i="5" s="1"/>
  <c r="BT27" i="5"/>
  <c r="BG27" i="5"/>
  <c r="CH27" i="5"/>
  <c r="AZ7" i="5"/>
  <c r="CC27" i="5"/>
  <c r="BB19" i="5"/>
  <c r="BC15" i="5"/>
  <c r="E5" i="10"/>
  <c r="G11" i="12"/>
  <c r="AU14" i="5"/>
  <c r="AV14" i="5"/>
  <c r="AY6" i="5"/>
  <c r="BK6" i="5"/>
  <c r="CA6" i="5"/>
  <c r="CC6" i="5"/>
  <c r="BQ15" i="5"/>
  <c r="BG15" i="5"/>
  <c r="CE15" i="5"/>
  <c r="BW15" i="5"/>
  <c r="BF27" i="5"/>
  <c r="BH27" i="5"/>
  <c r="BY27" i="5"/>
  <c r="CK27" i="5"/>
  <c r="CJ27" i="5"/>
  <c r="BH23" i="5"/>
  <c r="AV23" i="5"/>
  <c r="BR27" i="5"/>
  <c r="BE27" i="5"/>
  <c r="CI27" i="5"/>
  <c r="CA27" i="5"/>
  <c r="AU30" i="5"/>
  <c r="AV30" i="5"/>
  <c r="BE15" i="5"/>
  <c r="BV15" i="5"/>
  <c r="BC16" i="5"/>
  <c r="BM27" i="5"/>
  <c r="BI27" i="5"/>
  <c r="BX27" i="5"/>
  <c r="CE27" i="5"/>
  <c r="BH6" i="5"/>
  <c r="CF6" i="5"/>
  <c r="CD6" i="5"/>
  <c r="BF15" i="5"/>
  <c r="BI15" i="5"/>
  <c r="BY15" i="5"/>
  <c r="BH31" i="5"/>
  <c r="AY31" i="5"/>
  <c r="BT31" i="5"/>
  <c r="CI31" i="5"/>
  <c r="AU27" i="5"/>
  <c r="AY27" i="5"/>
  <c r="BS27" i="5"/>
  <c r="BL16" i="5"/>
  <c r="F67" i="12"/>
  <c r="BZ16" i="5"/>
  <c r="CI28" i="5"/>
  <c r="CC28" i="5"/>
  <c r="BY28" i="5"/>
  <c r="BV28" i="5"/>
  <c r="BR28" i="5"/>
  <c r="CJ28" i="5"/>
  <c r="CF28" i="5"/>
  <c r="BU28" i="5"/>
  <c r="CH28" i="5"/>
  <c r="CG28" i="5"/>
  <c r="CE28" i="5"/>
  <c r="CA28" i="5"/>
  <c r="BT28" i="5"/>
  <c r="CK28" i="5"/>
  <c r="CD28" i="5"/>
  <c r="BZ28" i="5"/>
  <c r="BW28" i="5"/>
  <c r="BS28" i="5"/>
  <c r="BX28" i="5"/>
  <c r="BQ28" i="5"/>
  <c r="BM28" i="5"/>
  <c r="BH28" i="5"/>
  <c r="BD28" i="5"/>
  <c r="AZ28" i="5"/>
  <c r="BF28" i="5"/>
  <c r="BE28" i="5"/>
  <c r="BK28" i="5"/>
  <c r="BL28" i="5"/>
  <c r="BJ28" i="5"/>
  <c r="BI28" i="5"/>
  <c r="BG28" i="5"/>
  <c r="AY28" i="5"/>
  <c r="AU28" i="5"/>
  <c r="BN28" i="5" s="1"/>
  <c r="AV28" i="5"/>
  <c r="BO28" i="5" s="1"/>
  <c r="BA28" i="5"/>
  <c r="BP28" i="5" s="1"/>
  <c r="BL32" i="5"/>
  <c r="CJ5" i="5"/>
  <c r="CI5" i="5"/>
  <c r="CC5" i="5"/>
  <c r="BY5" i="5"/>
  <c r="BV5" i="5"/>
  <c r="BR5" i="5"/>
  <c r="CH5" i="5"/>
  <c r="CG5" i="5"/>
  <c r="CF5" i="5"/>
  <c r="BX5" i="5"/>
  <c r="BU5" i="5"/>
  <c r="CE5" i="5"/>
  <c r="CA5" i="5"/>
  <c r="BT5" i="5"/>
  <c r="CK5" i="5"/>
  <c r="CD5" i="5"/>
  <c r="BZ5" i="5"/>
  <c r="BW5" i="5"/>
  <c r="BS5" i="5"/>
  <c r="BH5" i="5"/>
  <c r="BD5" i="5"/>
  <c r="AZ5" i="5"/>
  <c r="BJ5" i="5"/>
  <c r="BF5" i="5"/>
  <c r="BQ5" i="5"/>
  <c r="BI5" i="5"/>
  <c r="BE5" i="5"/>
  <c r="BA5" i="5"/>
  <c r="BP5" i="5" s="1"/>
  <c r="BM5" i="5"/>
  <c r="AV5" i="5"/>
  <c r="BC5" i="5" s="1"/>
  <c r="BL5" i="5"/>
  <c r="BK5" i="5"/>
  <c r="AY5" i="5"/>
  <c r="BG5" i="5"/>
  <c r="AU5" i="5"/>
  <c r="BN5" i="5" s="1"/>
  <c r="BO32" i="5"/>
  <c r="CI13" i="5"/>
  <c r="CC13" i="5"/>
  <c r="BY13" i="5"/>
  <c r="BV13" i="5"/>
  <c r="BR13" i="5"/>
  <c r="CF13" i="5"/>
  <c r="BU13" i="5"/>
  <c r="CE13" i="5"/>
  <c r="CA13" i="5"/>
  <c r="BT13" i="5"/>
  <c r="CK13" i="5"/>
  <c r="CD13" i="5"/>
  <c r="BW13" i="5"/>
  <c r="BQ13" i="5"/>
  <c r="BH13" i="5"/>
  <c r="BD13" i="5"/>
  <c r="AZ13" i="5"/>
  <c r="BJ13" i="5"/>
  <c r="BF13" i="5"/>
  <c r="BI13" i="5"/>
  <c r="BE13" i="5"/>
  <c r="BA13" i="5"/>
  <c r="BP13" i="5" s="1"/>
  <c r="BS13" i="5"/>
  <c r="BM13" i="5"/>
  <c r="AV13" i="5"/>
  <c r="BO13" i="5" s="1"/>
  <c r="BG13" i="5"/>
  <c r="AY13" i="5"/>
  <c r="AU13" i="5"/>
  <c r="BN13" i="5" s="1"/>
  <c r="BK13" i="5"/>
  <c r="CE9" i="5"/>
  <c r="CA9" i="5"/>
  <c r="BT9" i="5"/>
  <c r="CK9" i="5"/>
  <c r="CD9" i="5"/>
  <c r="BW9" i="5"/>
  <c r="CI9" i="5"/>
  <c r="CC9" i="5"/>
  <c r="BY9" i="5"/>
  <c r="BV9" i="5"/>
  <c r="BR9" i="5"/>
  <c r="CF9" i="5"/>
  <c r="BU9" i="5"/>
  <c r="BJ9" i="5"/>
  <c r="BF9" i="5"/>
  <c r="BH9" i="5"/>
  <c r="BD9" i="5"/>
  <c r="AZ9" i="5"/>
  <c r="BS9" i="5"/>
  <c r="BK9" i="5"/>
  <c r="BG9" i="5"/>
  <c r="AY9" i="5"/>
  <c r="BQ9" i="5"/>
  <c r="BM9" i="5"/>
  <c r="AV9" i="5"/>
  <c r="BC9" i="5" s="1"/>
  <c r="BE9" i="5"/>
  <c r="BA9" i="5"/>
  <c r="BP9" i="5" s="1"/>
  <c r="BI9" i="5"/>
  <c r="AU9" i="5"/>
  <c r="BB9" i="5" s="1"/>
  <c r="CE8" i="5"/>
  <c r="CA8" i="5"/>
  <c r="BT8" i="5"/>
  <c r="CK8" i="5"/>
  <c r="CD8" i="5"/>
  <c r="BW8" i="5"/>
  <c r="BS8" i="5"/>
  <c r="CI8" i="5"/>
  <c r="CC8" i="5"/>
  <c r="BY8" i="5"/>
  <c r="BV8" i="5"/>
  <c r="BR8" i="5"/>
  <c r="CF8" i="5"/>
  <c r="BU8" i="5"/>
  <c r="BQ8" i="5"/>
  <c r="BJ8" i="5"/>
  <c r="BF8" i="5"/>
  <c r="BD8" i="5"/>
  <c r="BK8" i="5"/>
  <c r="AV8" i="5"/>
  <c r="BO8" i="5" s="1"/>
  <c r="BI8" i="5"/>
  <c r="BA8" i="5"/>
  <c r="BP8" i="5" s="1"/>
  <c r="BH8" i="5"/>
  <c r="AZ8" i="5"/>
  <c r="BG8" i="5"/>
  <c r="BE8" i="5"/>
  <c r="BM8" i="5"/>
  <c r="AU8" i="5"/>
  <c r="BB8" i="5" s="1"/>
  <c r="AY8" i="5"/>
  <c r="CH24" i="5"/>
  <c r="CG24" i="5"/>
  <c r="CE24" i="5"/>
  <c r="CA24" i="5"/>
  <c r="BT24" i="5"/>
  <c r="CK24" i="5"/>
  <c r="CD24" i="5"/>
  <c r="BZ24" i="5"/>
  <c r="BW24" i="5"/>
  <c r="BS24" i="5"/>
  <c r="BX24" i="5"/>
  <c r="CI24" i="5"/>
  <c r="CC24" i="5"/>
  <c r="BY24" i="5"/>
  <c r="BV24" i="5"/>
  <c r="BR24" i="5"/>
  <c r="CJ24" i="5"/>
  <c r="CF24" i="5"/>
  <c r="BU24" i="5"/>
  <c r="BL24" i="5"/>
  <c r="BJ24" i="5"/>
  <c r="BF24" i="5"/>
  <c r="BD24" i="5"/>
  <c r="BK24" i="5"/>
  <c r="AV24" i="5"/>
  <c r="BO24" i="5" s="1"/>
  <c r="BI24" i="5"/>
  <c r="BA24" i="5"/>
  <c r="BP24" i="5" s="1"/>
  <c r="BQ24" i="5"/>
  <c r="BH24" i="5"/>
  <c r="AZ24" i="5"/>
  <c r="BG24" i="5"/>
  <c r="BE24" i="5"/>
  <c r="BM24" i="5"/>
  <c r="AU24" i="5"/>
  <c r="BB24" i="5" s="1"/>
  <c r="AY24" i="5"/>
  <c r="CJ26" i="5"/>
  <c r="CF26" i="5"/>
  <c r="BU26" i="5"/>
  <c r="CH26" i="5"/>
  <c r="CG26" i="5"/>
  <c r="CE26" i="5"/>
  <c r="CA26" i="5"/>
  <c r="BT26" i="5"/>
  <c r="CK26" i="5"/>
  <c r="CD26" i="5"/>
  <c r="BZ26" i="5"/>
  <c r="BW26" i="5"/>
  <c r="BS26" i="5"/>
  <c r="BX26" i="5"/>
  <c r="CI26" i="5"/>
  <c r="CC26" i="5"/>
  <c r="BY26" i="5"/>
  <c r="BV26" i="5"/>
  <c r="BR26" i="5"/>
  <c r="BQ26" i="5"/>
  <c r="BM26" i="5"/>
  <c r="BK26" i="5"/>
  <c r="BG26" i="5"/>
  <c r="AY26" i="5"/>
  <c r="BE26" i="5"/>
  <c r="BD26" i="5"/>
  <c r="AU26" i="5"/>
  <c r="BB26" i="5" s="1"/>
  <c r="BL26" i="5"/>
  <c r="BJ26" i="5"/>
  <c r="BI26" i="5"/>
  <c r="BA26" i="5"/>
  <c r="BP26" i="5" s="1"/>
  <c r="BH26" i="5"/>
  <c r="BF26" i="5"/>
  <c r="AV26" i="5"/>
  <c r="BC26" i="5" s="1"/>
  <c r="AZ26" i="5"/>
  <c r="BX29" i="5"/>
  <c r="CI29" i="5"/>
  <c r="CC29" i="5"/>
  <c r="BY29" i="5"/>
  <c r="BV29" i="5"/>
  <c r="BR29" i="5"/>
  <c r="CJ29" i="5"/>
  <c r="CF29" i="5"/>
  <c r="BU29" i="5"/>
  <c r="CH29" i="5"/>
  <c r="CG29" i="5"/>
  <c r="CE29" i="5"/>
  <c r="CA29" i="5"/>
  <c r="BT29" i="5"/>
  <c r="CK29" i="5"/>
  <c r="CD29" i="5"/>
  <c r="BZ29" i="5"/>
  <c r="BW29" i="5"/>
  <c r="BH29" i="5"/>
  <c r="BD29" i="5"/>
  <c r="AZ29" i="5"/>
  <c r="BL29" i="5"/>
  <c r="BJ29" i="5"/>
  <c r="BF29" i="5"/>
  <c r="BI29" i="5"/>
  <c r="BE29" i="5"/>
  <c r="BA29" i="5"/>
  <c r="BQ29" i="5"/>
  <c r="BM29" i="5"/>
  <c r="BS29" i="5"/>
  <c r="AV29" i="5"/>
  <c r="BG29" i="5"/>
  <c r="AY29" i="5"/>
  <c r="AU29" i="5"/>
  <c r="BK29" i="5"/>
  <c r="CE17" i="5"/>
  <c r="CA17" i="5"/>
  <c r="BT17" i="5"/>
  <c r="CK17" i="5"/>
  <c r="CD17" i="5"/>
  <c r="BW17" i="5"/>
  <c r="CI17" i="5"/>
  <c r="CC17" i="5"/>
  <c r="BY17" i="5"/>
  <c r="BV17" i="5"/>
  <c r="BR17" i="5"/>
  <c r="CF17" i="5"/>
  <c r="BU17" i="5"/>
  <c r="BS17" i="5"/>
  <c r="BJ17" i="5"/>
  <c r="BF17" i="5"/>
  <c r="BH17" i="5"/>
  <c r="BD17" i="5"/>
  <c r="AZ17" i="5"/>
  <c r="BK17" i="5"/>
  <c r="BG17" i="5"/>
  <c r="AY17" i="5"/>
  <c r="BQ17" i="5"/>
  <c r="AV17" i="5"/>
  <c r="BC17" i="5" s="1"/>
  <c r="BM17" i="5"/>
  <c r="BI17" i="5"/>
  <c r="BA17" i="5"/>
  <c r="BP17" i="5" s="1"/>
  <c r="BE17" i="5"/>
  <c r="AU17" i="5"/>
  <c r="BN17" i="5" s="1"/>
  <c r="CJ4" i="5"/>
  <c r="CI4" i="5"/>
  <c r="CC4" i="5"/>
  <c r="BY4" i="5"/>
  <c r="BV4" i="5"/>
  <c r="BR4" i="5"/>
  <c r="CH4" i="5"/>
  <c r="CG4" i="5"/>
  <c r="CF4" i="5"/>
  <c r="BX4" i="5"/>
  <c r="BU4" i="5"/>
  <c r="BQ4" i="5"/>
  <c r="CE4" i="5"/>
  <c r="CA4" i="5"/>
  <c r="BT4" i="5"/>
  <c r="CK4" i="5"/>
  <c r="CD4" i="5"/>
  <c r="BZ4" i="5"/>
  <c r="BW4" i="5"/>
  <c r="BS4" i="5"/>
  <c r="BL4" i="5"/>
  <c r="BM4" i="5"/>
  <c r="BH4" i="5"/>
  <c r="BD4" i="5"/>
  <c r="AZ4" i="5"/>
  <c r="BJ4" i="5"/>
  <c r="BI4" i="5"/>
  <c r="BA4" i="5"/>
  <c r="BP4" i="5" s="1"/>
  <c r="BG4" i="5"/>
  <c r="AY4" i="5"/>
  <c r="BF4" i="5"/>
  <c r="BE4" i="5"/>
  <c r="BK4" i="5"/>
  <c r="AU4" i="5"/>
  <c r="BN4" i="5" s="1"/>
  <c r="AV4" i="5"/>
  <c r="BO4" i="5" s="1"/>
  <c r="CF18" i="5"/>
  <c r="BU18" i="5"/>
  <c r="CE18" i="5"/>
  <c r="CA18" i="5"/>
  <c r="BT18" i="5"/>
  <c r="CK18" i="5"/>
  <c r="CD18" i="5"/>
  <c r="BW18" i="5"/>
  <c r="BS18" i="5"/>
  <c r="CI18" i="5"/>
  <c r="CC18" i="5"/>
  <c r="BY18" i="5"/>
  <c r="BV18" i="5"/>
  <c r="BR18" i="5"/>
  <c r="BQ18" i="5"/>
  <c r="BM18" i="5"/>
  <c r="BK18" i="5"/>
  <c r="BG18" i="5"/>
  <c r="AY18" i="5"/>
  <c r="BI18" i="5"/>
  <c r="BA18" i="5"/>
  <c r="BP18" i="5" s="1"/>
  <c r="AU18" i="5"/>
  <c r="BB18" i="5" s="1"/>
  <c r="BH18" i="5"/>
  <c r="AZ18" i="5"/>
  <c r="BF18" i="5"/>
  <c r="BE18" i="5"/>
  <c r="BD18" i="5"/>
  <c r="BJ18" i="5"/>
  <c r="AV18" i="5"/>
  <c r="BC18" i="5" s="1"/>
  <c r="CI20" i="5"/>
  <c r="CC20" i="5"/>
  <c r="BY20" i="5"/>
  <c r="BV20" i="5"/>
  <c r="BR20" i="5"/>
  <c r="CF20" i="5"/>
  <c r="BU20" i="5"/>
  <c r="CE20" i="5"/>
  <c r="CA20" i="5"/>
  <c r="BT20" i="5"/>
  <c r="CK20" i="5"/>
  <c r="CD20" i="5"/>
  <c r="BW20" i="5"/>
  <c r="BS20" i="5"/>
  <c r="BQ20" i="5"/>
  <c r="BM20" i="5"/>
  <c r="BH20" i="5"/>
  <c r="BD20" i="5"/>
  <c r="AZ20" i="5"/>
  <c r="BJ20" i="5"/>
  <c r="BI20" i="5"/>
  <c r="BA20" i="5"/>
  <c r="BP20" i="5" s="1"/>
  <c r="BG20" i="5"/>
  <c r="AY20" i="5"/>
  <c r="BF20" i="5"/>
  <c r="BE20" i="5"/>
  <c r="BK20" i="5"/>
  <c r="AU20" i="5"/>
  <c r="BB20" i="5" s="1"/>
  <c r="AV20" i="5"/>
  <c r="BC20" i="5" s="1"/>
  <c r="CH25" i="5"/>
  <c r="CG25" i="5"/>
  <c r="CE25" i="5"/>
  <c r="CA25" i="5"/>
  <c r="BT25" i="5"/>
  <c r="CK25" i="5"/>
  <c r="CD25" i="5"/>
  <c r="BZ25" i="5"/>
  <c r="BW25" i="5"/>
  <c r="BX25" i="5"/>
  <c r="CI25" i="5"/>
  <c r="CC25" i="5"/>
  <c r="BY25" i="5"/>
  <c r="BV25" i="5"/>
  <c r="BR25" i="5"/>
  <c r="CJ25" i="5"/>
  <c r="CF25" i="5"/>
  <c r="BU25" i="5"/>
  <c r="BL25" i="5"/>
  <c r="BJ25" i="5"/>
  <c r="BF25" i="5"/>
  <c r="BH25" i="5"/>
  <c r="BD25" i="5"/>
  <c r="AZ25" i="5"/>
  <c r="BK25" i="5"/>
  <c r="BG25" i="5"/>
  <c r="AY25" i="5"/>
  <c r="BM25" i="5"/>
  <c r="AV25" i="5"/>
  <c r="BC25" i="5" s="1"/>
  <c r="BQ25" i="5"/>
  <c r="BS25" i="5"/>
  <c r="BE25" i="5"/>
  <c r="BI25" i="5"/>
  <c r="BA25" i="5"/>
  <c r="BP25" i="5" s="1"/>
  <c r="AU25" i="5"/>
  <c r="BN25" i="5" s="1"/>
  <c r="BN23" i="5"/>
  <c r="CI2" i="5"/>
  <c r="CH2" i="5"/>
  <c r="CG2" i="5"/>
  <c r="CC2" i="5"/>
  <c r="BY2" i="5"/>
  <c r="BV2" i="5"/>
  <c r="BR2" i="5"/>
  <c r="CF2" i="5"/>
  <c r="BU2" i="5"/>
  <c r="CE2" i="5"/>
  <c r="CA2" i="5"/>
  <c r="BX2" i="5"/>
  <c r="BT2" i="5"/>
  <c r="AT38" i="5"/>
  <c r="AT39" i="5" s="1"/>
  <c r="AS38" i="5"/>
  <c r="AS39" i="5" s="1"/>
  <c r="CK2" i="5"/>
  <c r="CJ2" i="5"/>
  <c r="CD2" i="5"/>
  <c r="BZ2" i="5"/>
  <c r="BW2" i="5"/>
  <c r="BS2" i="5"/>
  <c r="BQ2" i="5"/>
  <c r="BM2" i="5"/>
  <c r="BL2" i="5"/>
  <c r="BH2" i="5"/>
  <c r="BD2" i="5"/>
  <c r="AZ2" i="5"/>
  <c r="BJ2" i="5"/>
  <c r="AU2" i="5"/>
  <c r="BN2" i="5" s="1"/>
  <c r="BI2" i="5"/>
  <c r="BA2" i="5"/>
  <c r="BP2" i="5" s="1"/>
  <c r="BG2" i="5"/>
  <c r="AY2" i="5"/>
  <c r="BF2" i="5"/>
  <c r="BE2" i="5"/>
  <c r="BK2" i="5"/>
  <c r="AV2" i="5"/>
  <c r="BO2" i="5" s="1"/>
  <c r="CF34" i="5"/>
  <c r="BU34" i="5"/>
  <c r="CE34" i="5"/>
  <c r="CA34" i="5"/>
  <c r="BX34" i="5"/>
  <c r="BT34" i="5"/>
  <c r="CK34" i="5"/>
  <c r="CJ34" i="5"/>
  <c r="CD34" i="5"/>
  <c r="BZ34" i="5"/>
  <c r="BW34" i="5"/>
  <c r="BS34" i="5"/>
  <c r="CI34" i="5"/>
  <c r="CH34" i="5"/>
  <c r="CG34" i="5"/>
  <c r="CC34" i="5"/>
  <c r="BY34" i="5"/>
  <c r="BV34" i="5"/>
  <c r="BR34" i="5"/>
  <c r="BQ34" i="5"/>
  <c r="BM34" i="5"/>
  <c r="BK34" i="5"/>
  <c r="BG34" i="5"/>
  <c r="AY34" i="5"/>
  <c r="BI34" i="5"/>
  <c r="BA34" i="5"/>
  <c r="BP34" i="5" s="1"/>
  <c r="AV34" i="5"/>
  <c r="BC34" i="5" s="1"/>
  <c r="AU34" i="5"/>
  <c r="BN34" i="5" s="1"/>
  <c r="BH34" i="5"/>
  <c r="AZ34" i="5"/>
  <c r="BF34" i="5"/>
  <c r="BE34" i="5"/>
  <c r="BL34" i="5"/>
  <c r="BD34" i="5"/>
  <c r="BJ34" i="5"/>
  <c r="CI12" i="5"/>
  <c r="CC12" i="5"/>
  <c r="BY12" i="5"/>
  <c r="BV12" i="5"/>
  <c r="BR12" i="5"/>
  <c r="CF12" i="5"/>
  <c r="BU12" i="5"/>
  <c r="BQ12" i="5"/>
  <c r="CE12" i="5"/>
  <c r="CA12" i="5"/>
  <c r="BT12" i="5"/>
  <c r="CK12" i="5"/>
  <c r="CD12" i="5"/>
  <c r="BW12" i="5"/>
  <c r="BS12" i="5"/>
  <c r="BM12" i="5"/>
  <c r="BH12" i="5"/>
  <c r="BD12" i="5"/>
  <c r="AZ12" i="5"/>
  <c r="BF12" i="5"/>
  <c r="BE12" i="5"/>
  <c r="BK12" i="5"/>
  <c r="BJ12" i="5"/>
  <c r="BI12" i="5"/>
  <c r="BG12" i="5"/>
  <c r="AY12" i="5"/>
  <c r="AU12" i="5"/>
  <c r="BN12" i="5" s="1"/>
  <c r="BA12" i="5"/>
  <c r="BP12" i="5" s="1"/>
  <c r="AV12" i="5"/>
  <c r="BC12" i="5" s="1"/>
  <c r="CF10" i="5"/>
  <c r="BU10" i="5"/>
  <c r="BQ10" i="5"/>
  <c r="CE10" i="5"/>
  <c r="CA10" i="5"/>
  <c r="BT10" i="5"/>
  <c r="CK10" i="5"/>
  <c r="CD10" i="5"/>
  <c r="BW10" i="5"/>
  <c r="BS10" i="5"/>
  <c r="CI10" i="5"/>
  <c r="CC10" i="5"/>
  <c r="BY10" i="5"/>
  <c r="BV10" i="5"/>
  <c r="BR10" i="5"/>
  <c r="BM10" i="5"/>
  <c r="BK10" i="5"/>
  <c r="BG10" i="5"/>
  <c r="AY10" i="5"/>
  <c r="BE10" i="5"/>
  <c r="BD10" i="5"/>
  <c r="AU10" i="5"/>
  <c r="BN10" i="5" s="1"/>
  <c r="BJ10" i="5"/>
  <c r="BI10" i="5"/>
  <c r="BA10" i="5"/>
  <c r="BP10" i="5" s="1"/>
  <c r="BH10" i="5"/>
  <c r="BF10" i="5"/>
  <c r="AV10" i="5"/>
  <c r="BC10" i="5" s="1"/>
  <c r="AZ10" i="5"/>
  <c r="BX21" i="5"/>
  <c r="CI21" i="5"/>
  <c r="CC21" i="5"/>
  <c r="BY21" i="5"/>
  <c r="BV21" i="5"/>
  <c r="BR21" i="5"/>
  <c r="CJ21" i="5"/>
  <c r="CF21" i="5"/>
  <c r="BU21" i="5"/>
  <c r="CH21" i="5"/>
  <c r="CG21" i="5"/>
  <c r="CE21" i="5"/>
  <c r="CA21" i="5"/>
  <c r="BT21" i="5"/>
  <c r="CK21" i="5"/>
  <c r="CD21" i="5"/>
  <c r="BZ21" i="5"/>
  <c r="BW21" i="5"/>
  <c r="BH21" i="5"/>
  <c r="BD21" i="5"/>
  <c r="AZ21" i="5"/>
  <c r="BL21" i="5"/>
  <c r="BJ21" i="5"/>
  <c r="BF21" i="5"/>
  <c r="BI21" i="5"/>
  <c r="BE21" i="5"/>
  <c r="BA21" i="5"/>
  <c r="BP21" i="5" s="1"/>
  <c r="BQ21" i="5"/>
  <c r="BM21" i="5"/>
  <c r="AV21" i="5"/>
  <c r="BC21" i="5" s="1"/>
  <c r="BS21" i="5"/>
  <c r="BK21" i="5"/>
  <c r="BG21" i="5"/>
  <c r="AY21" i="5"/>
  <c r="AU21" i="5"/>
  <c r="BB21" i="5" s="1"/>
  <c r="CE33" i="5"/>
  <c r="CA33" i="5"/>
  <c r="BT33" i="5"/>
  <c r="CK33" i="5"/>
  <c r="CD33" i="5"/>
  <c r="BW33" i="5"/>
  <c r="CI33" i="5"/>
  <c r="CC33" i="5"/>
  <c r="BY33" i="5"/>
  <c r="BV33" i="5"/>
  <c r="BR33" i="5"/>
  <c r="CF33" i="5"/>
  <c r="BU33" i="5"/>
  <c r="BJ33" i="5"/>
  <c r="BF33" i="5"/>
  <c r="AV33" i="5"/>
  <c r="BO33" i="5" s="1"/>
  <c r="BS33" i="5"/>
  <c r="BH33" i="5"/>
  <c r="BD33" i="5"/>
  <c r="AZ33" i="5"/>
  <c r="BK33" i="5"/>
  <c r="BG33" i="5"/>
  <c r="AY33" i="5"/>
  <c r="BQ33" i="5"/>
  <c r="BM33" i="5"/>
  <c r="BI33" i="5"/>
  <c r="BA33" i="5"/>
  <c r="BP33" i="5" s="1"/>
  <c r="BE33" i="5"/>
  <c r="AU33" i="5"/>
  <c r="BN33" i="5" s="1"/>
  <c r="D14" i="7"/>
  <c r="BN3" i="5" l="1"/>
  <c r="AY49" i="5"/>
  <c r="AY50" i="5" s="1"/>
  <c r="AV51" i="5"/>
  <c r="AV49" i="5"/>
  <c r="AV50" i="5" s="1"/>
  <c r="AY51" i="5"/>
  <c r="AY52" i="5" s="1"/>
  <c r="CB11" i="5"/>
  <c r="CB31" i="5"/>
  <c r="H16" i="10"/>
  <c r="F10" i="13"/>
  <c r="D15" i="10"/>
  <c r="AA11" i="13"/>
  <c r="J11" i="13"/>
  <c r="G39" i="13"/>
  <c r="AB11" i="13"/>
  <c r="AB45" i="13" s="1"/>
  <c r="F12" i="13"/>
  <c r="F40" i="13" s="1"/>
  <c r="D17" i="10"/>
  <c r="F75" i="13"/>
  <c r="F80" i="13" s="1"/>
  <c r="BM40" i="5"/>
  <c r="BM41" i="5" s="1"/>
  <c r="CA40" i="5"/>
  <c r="CA41" i="5" s="1"/>
  <c r="BV40" i="5"/>
  <c r="BV41" i="5" s="1"/>
  <c r="AY40" i="5"/>
  <c r="AY41" i="5" s="1"/>
  <c r="BB29" i="5"/>
  <c r="AU40" i="5"/>
  <c r="AU41" i="5" s="1"/>
  <c r="BE40" i="5"/>
  <c r="BE41" i="5" s="1"/>
  <c r="BW40" i="5"/>
  <c r="BW41" i="5" s="1"/>
  <c r="CI40" i="5"/>
  <c r="CI41" i="5" s="1"/>
  <c r="BI40" i="5"/>
  <c r="BI41" i="5" s="1"/>
  <c r="BU40" i="5"/>
  <c r="BU41" i="5" s="1"/>
  <c r="CB6" i="5"/>
  <c r="BG40" i="5"/>
  <c r="BG41" i="5" s="1"/>
  <c r="BF40" i="5"/>
  <c r="BF41" i="5" s="1"/>
  <c r="CD40" i="5"/>
  <c r="CD41" i="5" s="1"/>
  <c r="CF40" i="5"/>
  <c r="CF41" i="5" s="1"/>
  <c r="BO29" i="5"/>
  <c r="AV40" i="5"/>
  <c r="AV41" i="5" s="1"/>
  <c r="BJ40" i="5"/>
  <c r="BJ41" i="5" s="1"/>
  <c r="CK40" i="5"/>
  <c r="CK41" i="5" s="1"/>
  <c r="AZ40" i="5"/>
  <c r="AZ41" i="5" s="1"/>
  <c r="BS40" i="5"/>
  <c r="BS41" i="5" s="1"/>
  <c r="BT40" i="5"/>
  <c r="BT41" i="5" s="1"/>
  <c r="BR40" i="5"/>
  <c r="BR41" i="5" s="1"/>
  <c r="BQ40" i="5"/>
  <c r="BQ41" i="5" s="1"/>
  <c r="BD40" i="5"/>
  <c r="BD41" i="5" s="1"/>
  <c r="CE40" i="5"/>
  <c r="CE41" i="5" s="1"/>
  <c r="BY40" i="5"/>
  <c r="BY41" i="5" s="1"/>
  <c r="BK40" i="5"/>
  <c r="BK41" i="5" s="1"/>
  <c r="BP29" i="5"/>
  <c r="BP40" i="5" s="1"/>
  <c r="BP41" i="5" s="1"/>
  <c r="BA40" i="5"/>
  <c r="BA41" i="5" s="1"/>
  <c r="BH40" i="5"/>
  <c r="BH41" i="5" s="1"/>
  <c r="CC40" i="5"/>
  <c r="CC41" i="5" s="1"/>
  <c r="BN7" i="5"/>
  <c r="BZ7" i="5" s="1"/>
  <c r="BO35" i="5"/>
  <c r="BL7" i="5"/>
  <c r="CB15" i="5"/>
  <c r="BX32" i="5"/>
  <c r="CB30" i="5"/>
  <c r="BX11" i="5"/>
  <c r="CB3" i="5"/>
  <c r="CB16" i="5"/>
  <c r="CB35" i="5"/>
  <c r="CB7" i="5"/>
  <c r="BX30" i="5"/>
  <c r="BB35" i="5"/>
  <c r="BN31" i="5"/>
  <c r="BZ31" i="5" s="1"/>
  <c r="BN15" i="5"/>
  <c r="BZ15" i="5" s="1"/>
  <c r="BL15" i="5"/>
  <c r="BX14" i="5"/>
  <c r="CB23" i="5"/>
  <c r="BC7" i="5"/>
  <c r="BO11" i="5"/>
  <c r="BB22" i="5"/>
  <c r="BC27" i="5"/>
  <c r="BN26" i="5"/>
  <c r="BB34" i="5"/>
  <c r="BB11" i="5"/>
  <c r="BZ11" i="5" s="1"/>
  <c r="CB5" i="5"/>
  <c r="BL14" i="5"/>
  <c r="BL6" i="5"/>
  <c r="BL11" i="5"/>
  <c r="BL30" i="5"/>
  <c r="BB5" i="5"/>
  <c r="BX6" i="5"/>
  <c r="BX31" i="5"/>
  <c r="BX7" i="5"/>
  <c r="BB25" i="5"/>
  <c r="CB14" i="5"/>
  <c r="BB12" i="5"/>
  <c r="BZ12" i="5" s="1"/>
  <c r="CB18" i="5"/>
  <c r="BC4" i="5"/>
  <c r="BB2" i="5"/>
  <c r="BL31" i="5"/>
  <c r="BC8" i="5"/>
  <c r="CB20" i="5"/>
  <c r="CB4" i="5"/>
  <c r="BC24" i="5"/>
  <c r="H5" i="10"/>
  <c r="BJ38" i="5"/>
  <c r="BJ39" i="5" s="1"/>
  <c r="CB25" i="5"/>
  <c r="CB34" i="5"/>
  <c r="CB28" i="5"/>
  <c r="BO26" i="5"/>
  <c r="BC2" i="5"/>
  <c r="BO17" i="5"/>
  <c r="BX15" i="5"/>
  <c r="BN18" i="5"/>
  <c r="BZ18" i="5" s="1"/>
  <c r="BN6" i="5"/>
  <c r="BZ6" i="5" s="1"/>
  <c r="BO34" i="5"/>
  <c r="BO12" i="5"/>
  <c r="BN8" i="5"/>
  <c r="BZ8" i="5" s="1"/>
  <c r="BC13" i="5"/>
  <c r="BB33" i="5"/>
  <c r="BZ33" i="5" s="1"/>
  <c r="BB28" i="5"/>
  <c r="BN27" i="5"/>
  <c r="BB27" i="5"/>
  <c r="CB26" i="5"/>
  <c r="BC14" i="5"/>
  <c r="BO14" i="5"/>
  <c r="D4" i="10"/>
  <c r="F10" i="12"/>
  <c r="BC23" i="5"/>
  <c r="BO23" i="5"/>
  <c r="BB14" i="5"/>
  <c r="BN14" i="5"/>
  <c r="D6" i="10"/>
  <c r="F12" i="12"/>
  <c r="F40" i="12" s="1"/>
  <c r="BO25" i="5"/>
  <c r="BB17" i="5"/>
  <c r="BZ17" i="5" s="1"/>
  <c r="BN9" i="5"/>
  <c r="BZ9" i="5" s="1"/>
  <c r="AB11" i="12"/>
  <c r="AB45" i="12" s="1"/>
  <c r="AA11" i="12"/>
  <c r="J11" i="12"/>
  <c r="G39" i="12"/>
  <c r="BO30" i="5"/>
  <c r="BC30" i="5"/>
  <c r="BB4" i="5"/>
  <c r="BB30" i="5"/>
  <c r="BN30" i="5"/>
  <c r="BN21" i="5"/>
  <c r="CB21" i="5"/>
  <c r="CB13" i="5"/>
  <c r="CB24" i="5"/>
  <c r="BE38" i="5"/>
  <c r="BE39" i="5" s="1"/>
  <c r="BV38" i="5"/>
  <c r="BV39" i="5" s="1"/>
  <c r="BX12" i="5"/>
  <c r="BD38" i="5"/>
  <c r="BD39" i="5" s="1"/>
  <c r="F75" i="12"/>
  <c r="F80" i="12" s="1"/>
  <c r="CB33" i="5"/>
  <c r="BX33" i="5"/>
  <c r="CB8" i="5"/>
  <c r="BX8" i="5"/>
  <c r="CB9" i="5"/>
  <c r="BX9" i="5"/>
  <c r="BC33" i="5"/>
  <c r="BB10" i="5"/>
  <c r="BZ10" i="5" s="1"/>
  <c r="CB2" i="5"/>
  <c r="BP38" i="5"/>
  <c r="BP39" i="5" s="1"/>
  <c r="BO21" i="5"/>
  <c r="CB10" i="5"/>
  <c r="BX10" i="5"/>
  <c r="BF38" i="5"/>
  <c r="BF39" i="5" s="1"/>
  <c r="AZ38" i="5"/>
  <c r="AZ39" i="5" s="1"/>
  <c r="BS38" i="5"/>
  <c r="BS39" i="5" s="1"/>
  <c r="BT38" i="5"/>
  <c r="BT39" i="5" s="1"/>
  <c r="BY38" i="5"/>
  <c r="BY39" i="5" s="1"/>
  <c r="BX20" i="5"/>
  <c r="BX18" i="5"/>
  <c r="BW38" i="5"/>
  <c r="BW39" i="5" s="1"/>
  <c r="CC38" i="5"/>
  <c r="CC39" i="5" s="1"/>
  <c r="BO20" i="5"/>
  <c r="AY38" i="5"/>
  <c r="AY39" i="5" s="1"/>
  <c r="BO10" i="5"/>
  <c r="BH38" i="5"/>
  <c r="BH39" i="5" s="1"/>
  <c r="CA38" i="5"/>
  <c r="CA39" i="5" s="1"/>
  <c r="BN24" i="5"/>
  <c r="BL10" i="5"/>
  <c r="BG38" i="5"/>
  <c r="BG39" i="5" s="1"/>
  <c r="CE38" i="5"/>
  <c r="CE39" i="5" s="1"/>
  <c r="BN20" i="5"/>
  <c r="BZ20" i="5" s="1"/>
  <c r="BN29" i="5"/>
  <c r="BO9" i="5"/>
  <c r="BL9" i="5"/>
  <c r="BO5" i="5"/>
  <c r="BC28" i="5"/>
  <c r="BL33" i="5"/>
  <c r="BL12" i="5"/>
  <c r="BA38" i="5"/>
  <c r="BA39" i="5" s="1"/>
  <c r="CD38" i="5"/>
  <c r="CD39" i="5" s="1"/>
  <c r="AV38" i="5"/>
  <c r="AV39" i="5" s="1"/>
  <c r="BI38" i="5"/>
  <c r="BI39" i="5" s="1"/>
  <c r="BM38" i="5"/>
  <c r="BM39" i="5" s="1"/>
  <c r="BU38" i="5"/>
  <c r="BU39" i="5" s="1"/>
  <c r="CI38" i="5"/>
  <c r="CI39" i="5" s="1"/>
  <c r="BO18" i="5"/>
  <c r="BC29" i="5"/>
  <c r="CB12" i="5"/>
  <c r="AU38" i="5"/>
  <c r="AU39" i="5" s="1"/>
  <c r="BQ38" i="5"/>
  <c r="BQ39" i="5" s="1"/>
  <c r="CK38" i="5"/>
  <c r="CK39" i="5" s="1"/>
  <c r="CF38" i="5"/>
  <c r="CF39" i="5" s="1"/>
  <c r="BL18" i="5"/>
  <c r="BB13" i="5"/>
  <c r="BZ13" i="5" s="1"/>
  <c r="BK38" i="5"/>
  <c r="BK39" i="5" s="1"/>
  <c r="BR38" i="5"/>
  <c r="BR39" i="5" s="1"/>
  <c r="CB17" i="5"/>
  <c r="BX17" i="5"/>
  <c r="BL8" i="5"/>
  <c r="BX13" i="5"/>
  <c r="BL20" i="5"/>
  <c r="BL17" i="5"/>
  <c r="BL13" i="5"/>
  <c r="AB10" i="9"/>
  <c r="AX51" i="5" l="1"/>
  <c r="AX52" i="5" s="1"/>
  <c r="AV52" i="5"/>
  <c r="AX49" i="5"/>
  <c r="AX50" i="5" s="1"/>
  <c r="AZ51" i="5"/>
  <c r="BA49" i="5"/>
  <c r="BA50" i="5" s="1"/>
  <c r="BA51" i="5"/>
  <c r="AW51" i="5"/>
  <c r="AW49" i="5"/>
  <c r="AW50" i="5" s="1"/>
  <c r="AZ49" i="5"/>
  <c r="AZ50" i="5" s="1"/>
  <c r="BL40" i="5"/>
  <c r="BL41" i="5" s="1"/>
  <c r="G15" i="10" s="1"/>
  <c r="D18" i="10"/>
  <c r="D21" i="10" s="1"/>
  <c r="CB29" i="5"/>
  <c r="CB40" i="5" s="1"/>
  <c r="CB41" i="5" s="1"/>
  <c r="I15" i="10"/>
  <c r="K10" i="13"/>
  <c r="G12" i="13"/>
  <c r="E17" i="10"/>
  <c r="M12" i="13"/>
  <c r="M40" i="13" s="1"/>
  <c r="K17" i="10"/>
  <c r="G10" i="13"/>
  <c r="E15" i="10"/>
  <c r="J39" i="13"/>
  <c r="AA39" i="13"/>
  <c r="J17" i="10"/>
  <c r="L12" i="13"/>
  <c r="G17" i="10"/>
  <c r="I12" i="13"/>
  <c r="I40" i="13" s="1"/>
  <c r="F38" i="13"/>
  <c r="F41" i="13" s="1"/>
  <c r="F13" i="13"/>
  <c r="F16" i="13" s="1"/>
  <c r="BX40" i="5"/>
  <c r="BX41" i="5" s="1"/>
  <c r="BO40" i="5"/>
  <c r="BO41" i="5" s="1"/>
  <c r="BN40" i="5"/>
  <c r="BN41" i="5" s="1"/>
  <c r="BC40" i="5"/>
  <c r="BC41" i="5" s="1"/>
  <c r="BB40" i="5"/>
  <c r="BB41" i="5" s="1"/>
  <c r="BC38" i="5"/>
  <c r="BC39" i="5" s="1"/>
  <c r="H12" i="12" s="1"/>
  <c r="H40" i="12" s="1"/>
  <c r="BB38" i="5"/>
  <c r="BB39" i="5" s="1"/>
  <c r="F4" i="10" s="1"/>
  <c r="BN38" i="5"/>
  <c r="BN39" i="5" s="1"/>
  <c r="D7" i="10"/>
  <c r="D10" i="10" s="1"/>
  <c r="BZ14" i="5"/>
  <c r="BZ38" i="5" s="1"/>
  <c r="BZ39" i="5" s="1"/>
  <c r="E6" i="10"/>
  <c r="G12" i="12"/>
  <c r="G40" i="12" s="1"/>
  <c r="BZ30" i="5"/>
  <c r="BZ40" i="5" s="1"/>
  <c r="BZ41" i="5" s="1"/>
  <c r="K6" i="10"/>
  <c r="M12" i="12"/>
  <c r="M40" i="12" s="1"/>
  <c r="G6" i="10"/>
  <c r="I12" i="12"/>
  <c r="F38" i="12"/>
  <c r="F41" i="12" s="1"/>
  <c r="F13" i="12"/>
  <c r="F16" i="12" s="1"/>
  <c r="J6" i="10"/>
  <c r="L12" i="12"/>
  <c r="AA39" i="12"/>
  <c r="J39" i="12"/>
  <c r="I4" i="10"/>
  <c r="K10" i="12"/>
  <c r="G10" i="12"/>
  <c r="E4" i="10"/>
  <c r="CB38" i="5"/>
  <c r="CB39" i="5" s="1"/>
  <c r="BL38" i="5"/>
  <c r="BL39" i="5" s="1"/>
  <c r="BX38" i="5"/>
  <c r="BX39" i="5" s="1"/>
  <c r="BO38" i="5"/>
  <c r="BO39" i="5" s="1"/>
  <c r="AA11" i="9"/>
  <c r="AC11" i="9"/>
  <c r="AA10" i="9"/>
  <c r="BA52" i="5" l="1"/>
  <c r="AZ52" i="5"/>
  <c r="AW52" i="5"/>
  <c r="I10" i="13"/>
  <c r="I38" i="13" s="1"/>
  <c r="L17" i="10"/>
  <c r="F15" i="10"/>
  <c r="H15" i="10" s="1"/>
  <c r="H10" i="13"/>
  <c r="N12" i="13"/>
  <c r="L40" i="13"/>
  <c r="N40" i="13" s="1"/>
  <c r="L10" i="13"/>
  <c r="J15" i="10"/>
  <c r="F17" i="10"/>
  <c r="H17" i="10" s="1"/>
  <c r="H12" i="13"/>
  <c r="H40" i="13" s="1"/>
  <c r="G40" i="13"/>
  <c r="AC39" i="13"/>
  <c r="AA45" i="13"/>
  <c r="AC45" i="13" s="1"/>
  <c r="G18" i="10"/>
  <c r="E18" i="10"/>
  <c r="F43" i="13"/>
  <c r="F44" i="13"/>
  <c r="F45" i="13"/>
  <c r="G38" i="13"/>
  <c r="AA10" i="13"/>
  <c r="G13" i="13"/>
  <c r="F6" i="10"/>
  <c r="F7" i="10" s="1"/>
  <c r="H10" i="12"/>
  <c r="H13" i="12" s="1"/>
  <c r="I10" i="12"/>
  <c r="G4" i="10"/>
  <c r="G7" i="10" s="1"/>
  <c r="AC39" i="12"/>
  <c r="AA45" i="12"/>
  <c r="AC45" i="12" s="1"/>
  <c r="J12" i="12"/>
  <c r="I40" i="12"/>
  <c r="J40" i="12" s="1"/>
  <c r="E7" i="10"/>
  <c r="N12" i="12"/>
  <c r="L40" i="12"/>
  <c r="AA10" i="12"/>
  <c r="G38" i="12"/>
  <c r="G13" i="12"/>
  <c r="L6" i="10"/>
  <c r="L10" i="12"/>
  <c r="J4" i="10"/>
  <c r="F43" i="12"/>
  <c r="F44" i="12"/>
  <c r="F45" i="12"/>
  <c r="AC10" i="9"/>
  <c r="I13" i="13" l="1"/>
  <c r="J10" i="13"/>
  <c r="J12" i="13"/>
  <c r="J40" i="13"/>
  <c r="H13" i="13"/>
  <c r="H38" i="13"/>
  <c r="H41" i="13" s="1"/>
  <c r="I41" i="13"/>
  <c r="F18" i="10"/>
  <c r="AA38" i="13"/>
  <c r="G41" i="13"/>
  <c r="J18" i="10"/>
  <c r="L13" i="13"/>
  <c r="L38" i="13"/>
  <c r="L41" i="13" s="1"/>
  <c r="H6" i="10"/>
  <c r="H38" i="12"/>
  <c r="H41" i="12" s="1"/>
  <c r="J10" i="12"/>
  <c r="H4" i="10"/>
  <c r="L38" i="12"/>
  <c r="L13" i="12"/>
  <c r="H7" i="10"/>
  <c r="E9" i="10" s="1"/>
  <c r="G41" i="12"/>
  <c r="AA38" i="12"/>
  <c r="J7" i="10"/>
  <c r="N40" i="12"/>
  <c r="I38" i="12"/>
  <c r="I13" i="12"/>
  <c r="J13" i="12" s="1"/>
  <c r="E73" i="9"/>
  <c r="E72" i="9"/>
  <c r="J13" i="13" l="1"/>
  <c r="G15" i="13" s="1"/>
  <c r="J38" i="13"/>
  <c r="J41" i="13" s="1"/>
  <c r="G51" i="13" s="1"/>
  <c r="G43" i="13" s="1"/>
  <c r="H15" i="13"/>
  <c r="H16" i="13" s="1"/>
  <c r="F9" i="10"/>
  <c r="F10" i="10" s="1"/>
  <c r="AA44" i="13"/>
  <c r="H18" i="10"/>
  <c r="E20" i="10" s="1"/>
  <c r="G9" i="10"/>
  <c r="G10" i="10" s="1"/>
  <c r="E10" i="10"/>
  <c r="H15" i="12"/>
  <c r="H16" i="12" s="1"/>
  <c r="G15" i="12"/>
  <c r="AA44" i="12"/>
  <c r="L41" i="12"/>
  <c r="I41" i="12"/>
  <c r="J38" i="12"/>
  <c r="J41" i="12" s="1"/>
  <c r="H51" i="12" s="1"/>
  <c r="J79" i="9"/>
  <c r="J78" i="9"/>
  <c r="J77" i="9"/>
  <c r="H51" i="13" l="1"/>
  <c r="H43" i="13" s="1"/>
  <c r="G52" i="13"/>
  <c r="G56" i="13" s="1"/>
  <c r="G60" i="13" s="1"/>
  <c r="G44" i="13" s="1"/>
  <c r="I51" i="13"/>
  <c r="I43" i="13" s="1"/>
  <c r="I15" i="13"/>
  <c r="I16" i="13" s="1"/>
  <c r="G16" i="13"/>
  <c r="G20" i="10"/>
  <c r="G21" i="10" s="1"/>
  <c r="E21" i="10"/>
  <c r="F20" i="10"/>
  <c r="F21" i="10" s="1"/>
  <c r="H9" i="10"/>
  <c r="H10" i="10" s="1"/>
  <c r="G51" i="12"/>
  <c r="H52" i="12"/>
  <c r="H56" i="12" s="1"/>
  <c r="H60" i="12" s="1"/>
  <c r="H43" i="12"/>
  <c r="G16" i="12"/>
  <c r="I15" i="12"/>
  <c r="I16" i="12" s="1"/>
  <c r="I51" i="12"/>
  <c r="H63" i="9"/>
  <c r="J15" i="13" l="1"/>
  <c r="J16" i="13" s="1"/>
  <c r="L16" i="13" s="1"/>
  <c r="H52" i="13"/>
  <c r="H56" i="13" s="1"/>
  <c r="H60" i="13" s="1"/>
  <c r="H67" i="13" s="1"/>
  <c r="J51" i="13"/>
  <c r="J52" i="13" s="1"/>
  <c r="J56" i="13" s="1"/>
  <c r="J60" i="13" s="1"/>
  <c r="J67" i="13" s="1"/>
  <c r="G73" i="13" s="1"/>
  <c r="I73" i="13" s="1"/>
  <c r="J73" i="13" s="1"/>
  <c r="I52" i="13"/>
  <c r="I56" i="13" s="1"/>
  <c r="I60" i="13" s="1"/>
  <c r="I67" i="13" s="1"/>
  <c r="G67" i="13"/>
  <c r="G45" i="13" s="1"/>
  <c r="H20" i="10"/>
  <c r="H21" i="10" s="1"/>
  <c r="J43" i="13"/>
  <c r="J15" i="12"/>
  <c r="J16" i="12" s="1"/>
  <c r="J10" i="10" s="1"/>
  <c r="J51" i="12"/>
  <c r="J52" i="12" s="1"/>
  <c r="J56" i="12" s="1"/>
  <c r="J60" i="12" s="1"/>
  <c r="J67" i="12" s="1"/>
  <c r="G43" i="12"/>
  <c r="G52" i="12"/>
  <c r="G56" i="12" s="1"/>
  <c r="G60" i="12" s="1"/>
  <c r="I52" i="12"/>
  <c r="I56" i="12" s="1"/>
  <c r="I60" i="12" s="1"/>
  <c r="I43" i="12"/>
  <c r="H67" i="12"/>
  <c r="H44" i="12"/>
  <c r="K8" i="9"/>
  <c r="J21" i="10" l="1"/>
  <c r="H44" i="13"/>
  <c r="I44" i="13"/>
  <c r="G72" i="13"/>
  <c r="I72" i="13" s="1"/>
  <c r="J72" i="13" s="1"/>
  <c r="M72" i="13"/>
  <c r="H68" i="13"/>
  <c r="J68" i="13" s="1"/>
  <c r="K43" i="13"/>
  <c r="O72" i="13"/>
  <c r="H45" i="13"/>
  <c r="L16" i="12"/>
  <c r="I45" i="13"/>
  <c r="J43" i="12"/>
  <c r="K43" i="12" s="1"/>
  <c r="O72" i="12"/>
  <c r="M72" i="12"/>
  <c r="G73" i="12"/>
  <c r="I73" i="12" s="1"/>
  <c r="J73" i="12" s="1"/>
  <c r="G72" i="12"/>
  <c r="I72" i="12" s="1"/>
  <c r="J72" i="12" s="1"/>
  <c r="H68" i="12"/>
  <c r="J68" i="12" s="1"/>
  <c r="H45" i="12"/>
  <c r="I44" i="12"/>
  <c r="I67" i="12"/>
  <c r="G44" i="12"/>
  <c r="G67" i="12"/>
  <c r="I35" i="9"/>
  <c r="G63" i="9"/>
  <c r="I63" i="9" s="1"/>
  <c r="J44" i="13" l="1"/>
  <c r="K44" i="13" s="1"/>
  <c r="G75" i="13"/>
  <c r="G80" i="13" s="1"/>
  <c r="H75" i="13"/>
  <c r="H80" i="13" s="1"/>
  <c r="J45" i="13"/>
  <c r="K45" i="13" s="1"/>
  <c r="H75" i="12"/>
  <c r="H80" i="12" s="1"/>
  <c r="G75" i="12"/>
  <c r="G80" i="12" s="1"/>
  <c r="G45" i="12"/>
  <c r="J44" i="12"/>
  <c r="K44" i="12" s="1"/>
  <c r="I45" i="12"/>
  <c r="K50" i="9"/>
  <c r="K46" i="13" l="1"/>
  <c r="J45" i="12"/>
  <c r="G8" i="9"/>
  <c r="H8" i="9"/>
  <c r="M20" i="9"/>
  <c r="K46" i="12" l="1"/>
  <c r="K45" i="12"/>
  <c r="I71" i="9"/>
  <c r="F38" i="9" l="1"/>
  <c r="N64" i="9" l="1"/>
  <c r="I40" i="9" l="1"/>
  <c r="G38" i="9"/>
  <c r="AA38" i="9" s="1"/>
  <c r="M40" i="9"/>
  <c r="L40" i="9"/>
  <c r="H40" i="9"/>
  <c r="G40" i="9"/>
  <c r="G39" i="9"/>
  <c r="AA39" i="9" l="1"/>
  <c r="AA45" i="9" s="1"/>
  <c r="AA44" i="9"/>
  <c r="N63" i="9"/>
  <c r="N62" i="9"/>
  <c r="N55" i="9"/>
  <c r="N59" i="9"/>
  <c r="M8" i="9" l="1"/>
  <c r="L8" i="9"/>
  <c r="D12" i="7" l="1"/>
  <c r="M21" i="9" l="1"/>
  <c r="M22" i="9"/>
  <c r="M23" i="9"/>
  <c r="M24" i="9"/>
  <c r="M25" i="9"/>
  <c r="M26" i="9"/>
  <c r="M27" i="9"/>
  <c r="M28" i="9"/>
  <c r="M29" i="9"/>
  <c r="M30" i="9"/>
  <c r="M32" i="9"/>
  <c r="M33" i="9"/>
  <c r="M34" i="9"/>
  <c r="I21" i="9"/>
  <c r="I22" i="9"/>
  <c r="I23" i="9"/>
  <c r="I24" i="9"/>
  <c r="I25" i="9"/>
  <c r="I26" i="9"/>
  <c r="I27" i="9"/>
  <c r="I28" i="9"/>
  <c r="I29" i="9"/>
  <c r="I30" i="9"/>
  <c r="I32" i="9"/>
  <c r="I33" i="9"/>
  <c r="I34" i="9"/>
  <c r="I20" i="9"/>
  <c r="I39" i="9" l="1"/>
  <c r="AB39" i="9" s="1"/>
  <c r="AC39" i="9" s="1"/>
  <c r="I38" i="9"/>
  <c r="J21" i="9"/>
  <c r="J23" i="9"/>
  <c r="J24" i="9"/>
  <c r="J25" i="9"/>
  <c r="J26" i="9"/>
  <c r="J27" i="9"/>
  <c r="J28" i="9"/>
  <c r="J29" i="9"/>
  <c r="J30" i="9"/>
  <c r="C15" i="9" l="1"/>
  <c r="J8" i="9" l="1"/>
  <c r="I8" i="9"/>
  <c r="D13" i="7" l="1"/>
  <c r="AB11" i="9" s="1"/>
  <c r="AB45" i="9" s="1"/>
  <c r="AC45" i="9" s="1"/>
  <c r="I74" i="9"/>
  <c r="H21" i="9"/>
  <c r="H22" i="9"/>
  <c r="H23" i="9"/>
  <c r="H24" i="9"/>
  <c r="H25" i="9"/>
  <c r="H26" i="9"/>
  <c r="H27" i="9"/>
  <c r="H28" i="9"/>
  <c r="H29" i="9"/>
  <c r="H30" i="9"/>
  <c r="H32" i="9"/>
  <c r="H33" i="9"/>
  <c r="J33" i="9" s="1"/>
  <c r="H34" i="9"/>
  <c r="J34" i="9" s="1"/>
  <c r="H35" i="9"/>
  <c r="J35" i="9" s="1"/>
  <c r="L21" i="9"/>
  <c r="L22" i="9"/>
  <c r="L23" i="9"/>
  <c r="L24" i="9"/>
  <c r="L25" i="9"/>
  <c r="L26" i="9"/>
  <c r="L27" i="9"/>
  <c r="L28" i="9"/>
  <c r="L29" i="9"/>
  <c r="L30" i="9"/>
  <c r="L32" i="9"/>
  <c r="L33" i="9"/>
  <c r="L34" i="9"/>
  <c r="L35" i="9"/>
  <c r="L20" i="9"/>
  <c r="H20" i="9"/>
  <c r="L39" i="9" l="1"/>
  <c r="H39" i="9"/>
  <c r="J22" i="9"/>
  <c r="J20" i="9"/>
  <c r="H38" i="9"/>
  <c r="L38" i="9"/>
  <c r="J32" i="9"/>
  <c r="E12" i="7"/>
  <c r="M35" i="9" s="1"/>
  <c r="M13" i="9"/>
  <c r="L13" i="9"/>
  <c r="I13" i="9"/>
  <c r="H13" i="9"/>
  <c r="G13" i="9"/>
  <c r="F13" i="9"/>
  <c r="N12" i="9"/>
  <c r="J12" i="9"/>
  <c r="J11" i="9"/>
  <c r="N10" i="9"/>
  <c r="J10" i="9"/>
  <c r="L41" i="9" l="1"/>
  <c r="M38" i="9"/>
  <c r="AB38" i="9" s="1"/>
  <c r="M39" i="9"/>
  <c r="J38" i="9"/>
  <c r="H41" i="9"/>
  <c r="N13" i="9"/>
  <c r="J13" i="9"/>
  <c r="H15" i="9" s="1"/>
  <c r="E26" i="7"/>
  <c r="E25" i="7"/>
  <c r="E24" i="7"/>
  <c r="E22" i="7"/>
  <c r="E21" i="7"/>
  <c r="E20" i="7"/>
  <c r="G15" i="9" l="1"/>
  <c r="I15" i="9" s="1"/>
  <c r="M41" i="9"/>
  <c r="AB44" i="9"/>
  <c r="AC44" i="9" s="1"/>
  <c r="AC38" i="9"/>
  <c r="E16" i="7"/>
  <c r="J15" i="9" l="1"/>
  <c r="F39" i="9" l="1"/>
  <c r="D4" i="7" l="1"/>
  <c r="D19" i="7" l="1"/>
  <c r="G4" i="7"/>
  <c r="F16" i="9"/>
  <c r="N23" i="9"/>
  <c r="N24" i="9"/>
  <c r="N25" i="9"/>
  <c r="N26" i="9"/>
  <c r="N27" i="9"/>
  <c r="N28" i="9"/>
  <c r="N30" i="9"/>
  <c r="N32" i="9"/>
  <c r="N33" i="9"/>
  <c r="N35" i="9"/>
  <c r="C38" i="9"/>
  <c r="C39" i="9"/>
  <c r="C40" i="9"/>
  <c r="F40" i="9"/>
  <c r="G50" i="9"/>
  <c r="H50" i="9"/>
  <c r="I50" i="9"/>
  <c r="J50" i="9"/>
  <c r="L50" i="9"/>
  <c r="M50" i="9"/>
  <c r="C51" i="9"/>
  <c r="F51" i="9"/>
  <c r="J54" i="9"/>
  <c r="J55" i="9"/>
  <c r="C56" i="9"/>
  <c r="J58" i="9"/>
  <c r="N58" i="9"/>
  <c r="J59" i="9"/>
  <c r="C60" i="9"/>
  <c r="J62" i="9"/>
  <c r="J64" i="9"/>
  <c r="G66" i="9"/>
  <c r="H66" i="9"/>
  <c r="I66" i="9"/>
  <c r="J66" i="9"/>
  <c r="C67" i="9"/>
  <c r="J70" i="9"/>
  <c r="J71" i="9"/>
  <c r="C75" i="9"/>
  <c r="C80" i="9"/>
  <c r="G16" i="9" l="1"/>
  <c r="H16" i="9"/>
  <c r="F52" i="9"/>
  <c r="F56" i="9" s="1"/>
  <c r="F60" i="9" s="1"/>
  <c r="F41" i="9"/>
  <c r="N39" i="9"/>
  <c r="I16" i="9"/>
  <c r="J40" i="9"/>
  <c r="J39" i="9"/>
  <c r="N29" i="9"/>
  <c r="N34" i="9"/>
  <c r="N40" i="9"/>
  <c r="I41" i="9"/>
  <c r="G41" i="9"/>
  <c r="E14" i="7"/>
  <c r="E15" i="7"/>
  <c r="E11" i="7"/>
  <c r="E10" i="7"/>
  <c r="E9" i="7"/>
  <c r="E8" i="7"/>
  <c r="E7" i="7"/>
  <c r="E6" i="7"/>
  <c r="E5" i="7"/>
  <c r="C4" i="7"/>
  <c r="CH9" i="5" l="1"/>
  <c r="CH17" i="5"/>
  <c r="CH33" i="5"/>
  <c r="CH15" i="5"/>
  <c r="CH10" i="5"/>
  <c r="CH18" i="5"/>
  <c r="CH31" i="5"/>
  <c r="CH11" i="5"/>
  <c r="CH7" i="5"/>
  <c r="CH12" i="5"/>
  <c r="CH20" i="5"/>
  <c r="CH13" i="5"/>
  <c r="CH6" i="5"/>
  <c r="CH14" i="5"/>
  <c r="CH30" i="5"/>
  <c r="CH8" i="5"/>
  <c r="CH16" i="5"/>
  <c r="CH32" i="5"/>
  <c r="CG13" i="5"/>
  <c r="CG6" i="5"/>
  <c r="CG14" i="5"/>
  <c r="CG30" i="5"/>
  <c r="CG40" i="5" s="1"/>
  <c r="CG41" i="5" s="1"/>
  <c r="CG7" i="5"/>
  <c r="CG15" i="5"/>
  <c r="CG31" i="5"/>
  <c r="CG8" i="5"/>
  <c r="CG16" i="5"/>
  <c r="CG32" i="5"/>
  <c r="CG9" i="5"/>
  <c r="CG17" i="5"/>
  <c r="CG33" i="5"/>
  <c r="CG10" i="5"/>
  <c r="CG18" i="5"/>
  <c r="CG11" i="5"/>
  <c r="CG12" i="5"/>
  <c r="CG20" i="5"/>
  <c r="F43" i="9"/>
  <c r="F44" i="9"/>
  <c r="C19" i="7"/>
  <c r="F4" i="7"/>
  <c r="J74" i="9"/>
  <c r="J41" i="9"/>
  <c r="E13" i="7"/>
  <c r="J16" i="9"/>
  <c r="L16" i="9" s="1"/>
  <c r="F67" i="9"/>
  <c r="F75" i="9" s="1"/>
  <c r="E4" i="7"/>
  <c r="E19" i="7" s="1"/>
  <c r="CH40" i="5" l="1"/>
  <c r="CH41" i="5" s="1"/>
  <c r="CH38" i="5"/>
  <c r="CH39" i="5" s="1"/>
  <c r="CJ33" i="5"/>
  <c r="CJ20" i="5"/>
  <c r="CG38" i="5"/>
  <c r="CG39" i="5" s="1"/>
  <c r="CJ15" i="5"/>
  <c r="CJ18" i="5"/>
  <c r="CJ31" i="5"/>
  <c r="CJ10" i="5"/>
  <c r="CJ6" i="5"/>
  <c r="CJ11" i="5"/>
  <c r="CJ8" i="5"/>
  <c r="CJ7" i="5"/>
  <c r="CJ17" i="5"/>
  <c r="CJ30" i="5"/>
  <c r="CJ9" i="5"/>
  <c r="CJ14" i="5"/>
  <c r="CJ32" i="5"/>
  <c r="CJ12" i="5"/>
  <c r="CJ16" i="5"/>
  <c r="CJ13" i="5"/>
  <c r="F80" i="9"/>
  <c r="F45" i="9"/>
  <c r="N22" i="9"/>
  <c r="N21" i="9"/>
  <c r="H51" i="9"/>
  <c r="I51" i="9"/>
  <c r="G51" i="9"/>
  <c r="G43" i="9" s="1"/>
  <c r="CJ40" i="5" l="1"/>
  <c r="CJ41" i="5" s="1"/>
  <c r="CJ38" i="5"/>
  <c r="CJ39" i="5" s="1"/>
  <c r="K4" i="10" s="1"/>
  <c r="H52" i="9"/>
  <c r="H56" i="9" s="1"/>
  <c r="H60" i="9" s="1"/>
  <c r="H43" i="9"/>
  <c r="N20" i="9"/>
  <c r="G52" i="9"/>
  <c r="G56" i="9" s="1"/>
  <c r="G60" i="9" s="1"/>
  <c r="G44" i="9" s="1"/>
  <c r="J51" i="9"/>
  <c r="J52" i="9" s="1"/>
  <c r="J56" i="9" s="1"/>
  <c r="J60" i="9" s="1"/>
  <c r="I43" i="9"/>
  <c r="I52" i="9"/>
  <c r="I56" i="9" s="1"/>
  <c r="I60" i="9" s="1"/>
  <c r="M10" i="13" l="1"/>
  <c r="K15" i="10"/>
  <c r="M10" i="12"/>
  <c r="M38" i="12" s="1"/>
  <c r="K7" i="10"/>
  <c r="L4" i="10"/>
  <c r="L7" i="10" s="1"/>
  <c r="H44" i="9"/>
  <c r="N41" i="9"/>
  <c r="N38" i="9"/>
  <c r="J43" i="9"/>
  <c r="K43" i="9" s="1"/>
  <c r="I44" i="9"/>
  <c r="I67" i="9"/>
  <c r="K18" i="10" l="1"/>
  <c r="L15" i="10"/>
  <c r="L18" i="10" s="1"/>
  <c r="M13" i="13"/>
  <c r="M38" i="13"/>
  <c r="AB10" i="13"/>
  <c r="AC10" i="13" s="1"/>
  <c r="N10" i="13"/>
  <c r="N13" i="13" s="1"/>
  <c r="AB10" i="12"/>
  <c r="AC10" i="12" s="1"/>
  <c r="M13" i="12"/>
  <c r="N10" i="12"/>
  <c r="N13" i="12" s="1"/>
  <c r="M41" i="12"/>
  <c r="AB38" i="12"/>
  <c r="N38" i="12"/>
  <c r="I45" i="9"/>
  <c r="J44" i="9"/>
  <c r="K44" i="9" s="1"/>
  <c r="N38" i="13" l="1"/>
  <c r="M41" i="13"/>
  <c r="AB38" i="13"/>
  <c r="AB44" i="12"/>
  <c r="AC44" i="12" s="1"/>
  <c r="AC38" i="12"/>
  <c r="N41" i="12"/>
  <c r="I69" i="12"/>
  <c r="J67" i="9"/>
  <c r="AB44" i="13" l="1"/>
  <c r="AC44" i="13" s="1"/>
  <c r="AC38" i="13"/>
  <c r="N41" i="13"/>
  <c r="I69" i="13"/>
  <c r="J69" i="12"/>
  <c r="J75" i="12" s="1"/>
  <c r="J80" i="12" s="1"/>
  <c r="I75" i="12"/>
  <c r="I80" i="12" s="1"/>
  <c r="G73" i="9"/>
  <c r="G72" i="9"/>
  <c r="H68" i="9"/>
  <c r="J68" i="9" s="1"/>
  <c r="I69" i="9"/>
  <c r="H67" i="9"/>
  <c r="G67" i="9"/>
  <c r="J69" i="13" l="1"/>
  <c r="J75" i="13" s="1"/>
  <c r="J80" i="13" s="1"/>
  <c r="I75" i="13"/>
  <c r="I80" i="13" s="1"/>
  <c r="H75" i="9"/>
  <c r="H80" i="9" s="1"/>
  <c r="G75" i="9"/>
  <c r="H45" i="9"/>
  <c r="G45" i="9"/>
  <c r="J69" i="9"/>
  <c r="J45" i="9" l="1"/>
  <c r="K45" i="9" s="1"/>
  <c r="I73" i="9"/>
  <c r="J73" i="9" s="1"/>
  <c r="O72" i="9"/>
  <c r="I72" i="9"/>
  <c r="M72" i="9"/>
  <c r="I75" i="9" l="1"/>
  <c r="I80" i="9" s="1"/>
  <c r="K46" i="9"/>
  <c r="G80" i="9"/>
  <c r="J72" i="9"/>
  <c r="J75" i="9" l="1"/>
  <c r="J80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8A8F131C-7C8B-4BF8-97BF-B65D41324B52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4679102D-8812-4D35-9099-4E5C9E059427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87679C54-1C61-4CB2-BE7B-041291B6503F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4E335D96-94C6-40C0-880F-32145E3F60C8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FC25E88D-EAA1-41BE-B06D-3EF6CB07DB52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B57566C2-A47A-4087-AB6F-FDD4F097E675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66E57BFE-9F90-476F-BEE2-1E8BF8064797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F4B3C3C0-7688-4D4A-AE65-FCD667188605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F472BBF5-13AA-464D-AA22-45537EECE536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C9AC63BC-5C40-4D8C-AA68-1E92DD2AFDCC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B007F352-EC81-4D1F-8014-F8187F65DE33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E70B99AE-61D3-4DDA-901E-D4EE9A5E9592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3803BE4A-8C42-4FF9-91AB-7C3EB640561E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D78FCEFF-4BE8-466A-B24C-900E8FB11A44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168A46CE-05B5-4184-9B7E-8CD5F7CC745F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808234F4-FAED-4815-B2E1-EDCEF6CB4C7B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454F8174-E75C-4E10-8BF7-9C4138651F73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27779791-B4A9-42E7-982D-085ACD6FF85E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00000000-0006-0000-0200-000001000000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00000000-0006-0000-0200-000002000000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00000000-0006-0000-0200-000003000000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00000000-0006-0000-0200-000004000000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00000000-0006-0000-0200-000005000000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00000000-0006-0000-0200-000006000000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00000000-0006-0000-0200-000007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00000000-0006-0000-0200-000008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A0A843D4-16DB-40DB-A22A-E9933DF2D2C0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mfreeman</author>
  </authors>
  <commentList>
    <comment ref="C2" authorId="0" shapeId="0" xr:uid="{639630DA-F678-43B4-B2AF-B0DAAF73624C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3" authorId="0" shapeId="0" xr:uid="{8C104908-EA7A-4E6B-9283-3EB386725B72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</commentList>
</comments>
</file>

<file path=xl/sharedStrings.xml><?xml version="1.0" encoding="utf-8"?>
<sst xmlns="http://schemas.openxmlformats.org/spreadsheetml/2006/main" count="1177" uniqueCount="384">
  <si>
    <t>Current Year</t>
  </si>
  <si>
    <t>Budgeted Year</t>
  </si>
  <si>
    <t>FICA SSDI Rate</t>
  </si>
  <si>
    <t>FICA SSHI Rate</t>
  </si>
  <si>
    <t>Unemployment Rate</t>
  </si>
  <si>
    <t>Workers Comp Rate</t>
  </si>
  <si>
    <t>Life Insurance Rate</t>
  </si>
  <si>
    <t>Unused sick leave rate</t>
  </si>
  <si>
    <t>DHR rate</t>
  </si>
  <si>
    <t>Total Group</t>
  </si>
  <si>
    <t>Agency Benefit Information</t>
  </si>
  <si>
    <t>Total Permanent</t>
  </si>
  <si>
    <t>Full Time Health Costs</t>
  </si>
  <si>
    <t>Agency/Department:</t>
  </si>
  <si>
    <t>Agency Number:</t>
  </si>
  <si>
    <t>Fiscal Year:</t>
  </si>
  <si>
    <t>Original Request Date:</t>
  </si>
  <si>
    <t>Fund Name:</t>
  </si>
  <si>
    <t>Revision Date:</t>
  </si>
  <si>
    <t>Revision #:</t>
  </si>
  <si>
    <t>PCN</t>
  </si>
  <si>
    <t>CLASS CODE</t>
  </si>
  <si>
    <t>DESCRIPTION</t>
  </si>
  <si>
    <t>Indicator Code</t>
  </si>
  <si>
    <t>FTP</t>
  </si>
  <si>
    <t>TOTAL BENEFIT CHANGES</t>
  </si>
  <si>
    <t>Totals from Wage and Salary Report (WSR):</t>
  </si>
  <si>
    <t>Permanent Positions</t>
  </si>
  <si>
    <t>Board &amp; Group Positions</t>
  </si>
  <si>
    <t>Elected Officials &amp; Full Time Commissioners</t>
  </si>
  <si>
    <t>TOTAL FROM WSR</t>
  </si>
  <si>
    <t>ORIGINAL APPROPRIATION</t>
  </si>
  <si>
    <t>Unadjusted Over or (Under) Funded:</t>
  </si>
  <si>
    <t>Est Difference</t>
  </si>
  <si>
    <t>Adjustments to Wage &amp; Salary:</t>
  </si>
  <si>
    <t>Add Funded / Subtract Unfunded - Vacant or Authorized - Positions:</t>
  </si>
  <si>
    <t>Other Adjustments:</t>
  </si>
  <si>
    <t>Estimated Salary Needs:</t>
  </si>
  <si>
    <t>Estimated Salary and Benefits</t>
  </si>
  <si>
    <t>Adjusted Over or (Under) Funding:</t>
  </si>
  <si>
    <t>Orig. Approp</t>
  </si>
  <si>
    <t>Est. Expend</t>
  </si>
  <si>
    <t>DU</t>
  </si>
  <si>
    <t>Original Appropriation</t>
  </si>
  <si>
    <t>Total Benefit Change</t>
  </si>
  <si>
    <t xml:space="preserve"> </t>
  </si>
  <si>
    <t>Rounded Appropriation</t>
  </si>
  <si>
    <t>Appropriation Adjustments:</t>
  </si>
  <si>
    <t>Reappropriation</t>
  </si>
  <si>
    <t>Supplemental</t>
  </si>
  <si>
    <t>TOTAL APPROPRIATION</t>
  </si>
  <si>
    <t>Expenditure Adjustments:</t>
  </si>
  <si>
    <t>FTP or Fund Adjustment</t>
  </si>
  <si>
    <t>ESTIMATED EXPENDITURES</t>
  </si>
  <si>
    <t>Base Adjustments:</t>
  </si>
  <si>
    <t>Removal of One-Time Expenditures</t>
  </si>
  <si>
    <t>Base Reduction</t>
  </si>
  <si>
    <t>BASE</t>
  </si>
  <si>
    <t>Change in Health Benefit Costs</t>
  </si>
  <si>
    <t>Change in Variable Benefits Costs</t>
  </si>
  <si>
    <t>Annualization</t>
  </si>
  <si>
    <t>CEC for Group Positions</t>
  </si>
  <si>
    <t>CEC for Elected Officials &amp; Commissioners</t>
  </si>
  <si>
    <t>PROGRAM MAINTENANCE</t>
  </si>
  <si>
    <t>Line Items:</t>
  </si>
  <si>
    <t>TOTAL REQUEST</t>
  </si>
  <si>
    <t>Transfer Between Programs</t>
  </si>
  <si>
    <t xml:space="preserve">Transfer Between Programs </t>
  </si>
  <si>
    <t>R1</t>
  </si>
  <si>
    <t>R6</t>
  </si>
  <si>
    <t>R2</t>
  </si>
  <si>
    <t>R4</t>
  </si>
  <si>
    <t>R5</t>
  </si>
  <si>
    <t>R8</t>
  </si>
  <si>
    <t>R7</t>
  </si>
  <si>
    <t>Regular Retirement</t>
  </si>
  <si>
    <t>Police/Fire Retirement</t>
  </si>
  <si>
    <t>Former Public Safety (1985)</t>
  </si>
  <si>
    <t xml:space="preserve">Dept of Labor </t>
  </si>
  <si>
    <t>Judges Retirement</t>
  </si>
  <si>
    <t>Optional Retirement</t>
  </si>
  <si>
    <t>RETIREMENT RATES</t>
  </si>
  <si>
    <t>Part Time Health Costs</t>
  </si>
  <si>
    <t>FTI</t>
  </si>
  <si>
    <t>Budget Submission Page #</t>
  </si>
  <si>
    <t>of</t>
  </si>
  <si>
    <t>Retire Cd</t>
  </si>
  <si>
    <t>Adjustment Description / Position Title</t>
  </si>
  <si>
    <t>** MESSAGE CODES:</t>
  </si>
  <si>
    <t>1 = POSITION WITH MULTIPLE DISTRIBUTIONS</t>
  </si>
  <si>
    <t>2 = DELETED POSITION WITH ACTUAL DOLLARS</t>
  </si>
  <si>
    <t>3 = INCUMBENT IS AN UNDERFILL</t>
  </si>
  <si>
    <t>5 = SHIFT DIFFERENTIAL</t>
  </si>
  <si>
    <t>6 = MULTIPLE FILL CALCULATION</t>
  </si>
  <si>
    <t>Salary</t>
  </si>
  <si>
    <t>Variable Benefits</t>
  </si>
  <si>
    <t>Total Benefits</t>
  </si>
  <si>
    <t>Totals by Fund</t>
  </si>
  <si>
    <t>Health Benefits</t>
  </si>
  <si>
    <t>Base</t>
  </si>
  <si>
    <t xml:space="preserve">Personnel Cost Reconciliation - Relation to Zero Variance  ---&gt; </t>
  </si>
  <si>
    <t>CEC for Permanent Positions</t>
  </si>
  <si>
    <t>Elected Officials</t>
  </si>
  <si>
    <t>Permanent Position CEC Rate</t>
  </si>
  <si>
    <t>Group Position CEC Rate</t>
  </si>
  <si>
    <t>Filled</t>
  </si>
  <si>
    <t>Total</t>
  </si>
  <si>
    <t>Filled and Adjustments</t>
  </si>
  <si>
    <t>Adjustments Only</t>
  </si>
  <si>
    <t>Percent of Filled Positions</t>
  </si>
  <si>
    <t>FTP = POSITION FTE = (PAY PERIOD HOURS/80) * FTE PCT OF YEAR * POSITION DISTRIBUTION %</t>
  </si>
  <si>
    <t>FTI  = EMPLOYEE FTE = (PAY PERIOD HOURS/80)  * FTE PCT OF YEAR * POSITION DISTRIBUTION %</t>
  </si>
  <si>
    <t>orig CEC</t>
  </si>
  <si>
    <t>Luma Fund Number</t>
  </si>
  <si>
    <t>Appropriation (Budget) Unit</t>
  </si>
  <si>
    <t>Historical Fund #:</t>
  </si>
  <si>
    <t>Budgeted Division:</t>
  </si>
  <si>
    <t>Budgeted Program</t>
  </si>
  <si>
    <t>FISCAL YEAR</t>
  </si>
  <si>
    <t>AGENCY CODE</t>
  </si>
  <si>
    <t>PCN TITLE</t>
  </si>
  <si>
    <t>FUND CODE</t>
  </si>
  <si>
    <t>FUND DETAIL CODE</t>
  </si>
  <si>
    <t>BUDGET UNIT</t>
  </si>
  <si>
    <t>PCA</t>
  </si>
  <si>
    <t>INDEX CODE</t>
  </si>
  <si>
    <t>PCN DIST COUNT</t>
  </si>
  <si>
    <t>PCN CLASS CODE</t>
  </si>
  <si>
    <t>PCN PAY GRADE</t>
  </si>
  <si>
    <t>PCN STATUS CODE</t>
  </si>
  <si>
    <t>PCN TYPE CODE</t>
  </si>
  <si>
    <t>INCUMBENT COUNT</t>
  </si>
  <si>
    <t>PCN DIST PCT</t>
  </si>
  <si>
    <t>PCN FTE PCT</t>
  </si>
  <si>
    <t>PCN PP HOURS</t>
  </si>
  <si>
    <t>PCN FTP</t>
  </si>
  <si>
    <t>PCN ACTUAL REGULAR</t>
  </si>
  <si>
    <t>PCN ACTUAL OT</t>
  </si>
  <si>
    <t>PCN ACTUAL BENEFITS</t>
  </si>
  <si>
    <t>PCN ESTIMATED SALARY</t>
  </si>
  <si>
    <t>PCN ESTIMATED BENEFITS</t>
  </si>
  <si>
    <t>PCN PROJECTED SALARY</t>
  </si>
  <si>
    <t>PCN PROJECTED BENEFITS</t>
  </si>
  <si>
    <t>EMPLOYEE NAME</t>
  </si>
  <si>
    <t>LAST NAME</t>
  </si>
  <si>
    <t>FIRST NAME</t>
  </si>
  <si>
    <t>MIDDLE NAME</t>
  </si>
  <si>
    <t>INCUMBENT CLASS</t>
  </si>
  <si>
    <t>INCUMBENT PAY SCHEDULE</t>
  </si>
  <si>
    <t>PAY RATE IND</t>
  </si>
  <si>
    <t>PAY RATE</t>
  </si>
  <si>
    <t>CSS HOURS</t>
  </si>
  <si>
    <t>WORK TYPE CODE</t>
  </si>
  <si>
    <t>HEALTH ELIG IND</t>
  </si>
  <si>
    <t>SICK LEAVE ELIG IND</t>
  </si>
  <si>
    <t>UI ELIG IND</t>
  </si>
  <si>
    <t>RET OPT CODE</t>
  </si>
  <si>
    <t>INCUMBENT PP HOURS</t>
  </si>
  <si>
    <t>INCUMBENT FTE</t>
  </si>
  <si>
    <t>INCUMBENT FTI</t>
  </si>
  <si>
    <t>MSGS</t>
  </si>
  <si>
    <t>2022</t>
  </si>
  <si>
    <t>215</t>
  </si>
  <si>
    <t>0505</t>
  </si>
  <si>
    <t>CONSERVATION TECHNIC</t>
  </si>
  <si>
    <t>0001</t>
  </si>
  <si>
    <t>00</t>
  </si>
  <si>
    <t>SWCC</t>
  </si>
  <si>
    <t>001</t>
  </si>
  <si>
    <t>20104</t>
  </si>
  <si>
    <t>D</t>
  </si>
  <si>
    <t>NR</t>
  </si>
  <si>
    <t>N</t>
  </si>
  <si>
    <t>0404</t>
  </si>
  <si>
    <t xml:space="preserve">AGRICULTURE PROGRAM </t>
  </si>
  <si>
    <t>004</t>
  </si>
  <si>
    <t>00412</t>
  </si>
  <si>
    <t>M</t>
  </si>
  <si>
    <t>V</t>
  </si>
  <si>
    <t>CR</t>
  </si>
  <si>
    <t>0401</t>
  </si>
  <si>
    <t>ADM OFFICER-SOIL CON</t>
  </si>
  <si>
    <t>002</t>
  </si>
  <si>
    <t>21816</t>
  </si>
  <si>
    <t>0130</t>
  </si>
  <si>
    <t xml:space="preserve">ENGINEER, STAFF     </t>
  </si>
  <si>
    <t>003</t>
  </si>
  <si>
    <t>03704</t>
  </si>
  <si>
    <t>0503</t>
  </si>
  <si>
    <t>ADMINISTRATOR, DIV-D</t>
  </si>
  <si>
    <t>09010</t>
  </si>
  <si>
    <t>P</t>
  </si>
  <si>
    <t>F</t>
  </si>
  <si>
    <t>TREFZ, DELWYNE L.</t>
  </si>
  <si>
    <t>TREFZ</t>
  </si>
  <si>
    <t>DELWYNE</t>
  </si>
  <si>
    <t>L</t>
  </si>
  <si>
    <t xml:space="preserve">HP   </t>
  </si>
  <si>
    <t>H</t>
  </si>
  <si>
    <t>FS</t>
  </si>
  <si>
    <t>E</t>
  </si>
  <si>
    <t>Y</t>
  </si>
  <si>
    <t xml:space="preserve">    </t>
  </si>
  <si>
    <t>0434</t>
  </si>
  <si>
    <t xml:space="preserve">ADMIN ASST 2        </t>
  </si>
  <si>
    <t>01231</t>
  </si>
  <si>
    <t>I</t>
  </si>
  <si>
    <t>ROSEN, CRYSTAL L.</t>
  </si>
  <si>
    <t>ROSEN</t>
  </si>
  <si>
    <t>CRYSTAL</t>
  </si>
  <si>
    <t xml:space="preserve">HI   </t>
  </si>
  <si>
    <t>0433</t>
  </si>
  <si>
    <t>FINANCIAL SPECIALIST</t>
  </si>
  <si>
    <t>04245</t>
  </si>
  <si>
    <t>MISNICK, RACHEL A.</t>
  </si>
  <si>
    <t>MISNICK</t>
  </si>
  <si>
    <t>RACHEL</t>
  </si>
  <si>
    <t>A</t>
  </si>
  <si>
    <t xml:space="preserve">HL   </t>
  </si>
  <si>
    <t>0432</t>
  </si>
  <si>
    <t>WATER QLTY RSRC  CNS</t>
  </si>
  <si>
    <t>03380</t>
  </si>
  <si>
    <t>K</t>
  </si>
  <si>
    <t>STRICKLAND, LORETTA J.</t>
  </si>
  <si>
    <t>STRICKLAND</t>
  </si>
  <si>
    <t>LORETTA</t>
  </si>
  <si>
    <t>JUNE</t>
  </si>
  <si>
    <t xml:space="preserve">HK   </t>
  </si>
  <si>
    <t>PB</t>
  </si>
  <si>
    <t>0423</t>
  </si>
  <si>
    <t>SHARPNACK, ROBERT D.</t>
  </si>
  <si>
    <t>SHARPNACK</t>
  </si>
  <si>
    <t>ROBERT</t>
  </si>
  <si>
    <t>0422</t>
  </si>
  <si>
    <t>PENTZER, CHARLES F.</t>
  </si>
  <si>
    <t>PENTZER</t>
  </si>
  <si>
    <t>CHARLES</t>
  </si>
  <si>
    <t xml:space="preserve">HM   </t>
  </si>
  <si>
    <t>0418</t>
  </si>
  <si>
    <t>PETERSON, JOSEPH S.</t>
  </si>
  <si>
    <t>PETERSON</t>
  </si>
  <si>
    <t>JOSEPH</t>
  </si>
  <si>
    <t>S</t>
  </si>
  <si>
    <t>0417</t>
  </si>
  <si>
    <t>ROWAN, EILEEN L.</t>
  </si>
  <si>
    <t>ROWAN</t>
  </si>
  <si>
    <t>EILEEN</t>
  </si>
  <si>
    <t>LOUISE</t>
  </si>
  <si>
    <t>0416</t>
  </si>
  <si>
    <t>HITZ, GEORGE R.</t>
  </si>
  <si>
    <t>HITZ</t>
  </si>
  <si>
    <t>GEORGE</t>
  </si>
  <si>
    <t>ROY</t>
  </si>
  <si>
    <t>0407</t>
  </si>
  <si>
    <t>GRANTS/CONTRACTS PRG</t>
  </si>
  <si>
    <t>03690</t>
  </si>
  <si>
    <t>J</t>
  </si>
  <si>
    <t>CHARLES, BRENDA R.</t>
  </si>
  <si>
    <t>BRENDA</t>
  </si>
  <si>
    <t>R</t>
  </si>
  <si>
    <t xml:space="preserve">HJ   </t>
  </si>
  <si>
    <t>0405</t>
  </si>
  <si>
    <t>YODER, KATHRYN W.</t>
  </si>
  <si>
    <t>YODER</t>
  </si>
  <si>
    <t>KATHRYN</t>
  </si>
  <si>
    <t>W</t>
  </si>
  <si>
    <t>0403</t>
  </si>
  <si>
    <t>FIRTH, CAROLYN H.</t>
  </si>
  <si>
    <t>FIRTH</t>
  </si>
  <si>
    <t>CAROLYN</t>
  </si>
  <si>
    <t>HURST</t>
  </si>
  <si>
    <t>0402</t>
  </si>
  <si>
    <t xml:space="preserve">ENGINEER, MANAGER 1 </t>
  </si>
  <si>
    <t>03710</t>
  </si>
  <si>
    <t>O</t>
  </si>
  <si>
    <t>LILLIBRIDGE, WILLIAM J.</t>
  </si>
  <si>
    <t>LILLIBRIDGE</t>
  </si>
  <si>
    <t>WILLIAM</t>
  </si>
  <si>
    <t>J.</t>
  </si>
  <si>
    <t xml:space="preserve">HO   </t>
  </si>
  <si>
    <t>9999</t>
  </si>
  <si>
    <t xml:space="preserve">OFFICE CLERK        </t>
  </si>
  <si>
    <t>01116</t>
  </si>
  <si>
    <t>NG</t>
  </si>
  <si>
    <t>0216</t>
  </si>
  <si>
    <t>REED, BRIAN P.</t>
  </si>
  <si>
    <t>REED</t>
  </si>
  <si>
    <t>BRIAN</t>
  </si>
  <si>
    <t>9985</t>
  </si>
  <si>
    <t xml:space="preserve">GROUP POSITION      </t>
  </si>
  <si>
    <t>90000</t>
  </si>
  <si>
    <t>9982</t>
  </si>
  <si>
    <t>9981</t>
  </si>
  <si>
    <t>9551</t>
  </si>
  <si>
    <t>9510</t>
  </si>
  <si>
    <t>9106</t>
  </si>
  <si>
    <t>9102</t>
  </si>
  <si>
    <t>9007</t>
  </si>
  <si>
    <t>SOIL CONSERVATION CO</t>
  </si>
  <si>
    <t>51806</t>
  </si>
  <si>
    <t>0522</t>
  </si>
  <si>
    <t>0430</t>
  </si>
  <si>
    <t xml:space="preserve">LOAN OFFICER        </t>
  </si>
  <si>
    <t>04255</t>
  </si>
  <si>
    <t>HOEBELHEINRICH, TERRY G.</t>
  </si>
  <si>
    <t>HOEBELHEINRICH</t>
  </si>
  <si>
    <t>TERRY</t>
  </si>
  <si>
    <t>G</t>
  </si>
  <si>
    <t>9983</t>
  </si>
  <si>
    <t>INC_FTI</t>
  </si>
  <si>
    <t>INDICATOR</t>
  </si>
  <si>
    <t>TOTAL_PERM_PCN_FTI</t>
  </si>
  <si>
    <t>TOTAL_ELECT_PCN_FTI</t>
  </si>
  <si>
    <t>ROWS_PER_PCN</t>
  </si>
  <si>
    <t>FTI_SALARY_SSDI</t>
  </si>
  <si>
    <t>FTI_SALARY_PERM</t>
  </si>
  <si>
    <t>FTI_SALARY_ELECT</t>
  </si>
  <si>
    <t>SALARY_CHG</t>
  </si>
  <si>
    <t>HEALTH_PERM</t>
  </si>
  <si>
    <t>HEALTH_ELECT</t>
  </si>
  <si>
    <t>SSDI</t>
  </si>
  <si>
    <t>SSHI</t>
  </si>
  <si>
    <t>RETIREMENT</t>
  </si>
  <si>
    <t>LIFE_INS</t>
  </si>
  <si>
    <t>UNEMP_INS</t>
  </si>
  <si>
    <t>DHR</t>
  </si>
  <si>
    <t>WORKERS_COMP</t>
  </si>
  <si>
    <t>SICK</t>
  </si>
  <si>
    <t>TOT_VB_PERM</t>
  </si>
  <si>
    <t>TOT_VB_ELECT</t>
  </si>
  <si>
    <t>HEALTH_PERM_BY</t>
  </si>
  <si>
    <t>HEALTH_ELECT_BY</t>
  </si>
  <si>
    <t>SSDI_BY</t>
  </si>
  <si>
    <t>SSHI_BY</t>
  </si>
  <si>
    <t>RETIREMENT_BY</t>
  </si>
  <si>
    <t>LIFE_INS_BY</t>
  </si>
  <si>
    <t>UNEMP_INS_BY</t>
  </si>
  <si>
    <t>DHR_BY</t>
  </si>
  <si>
    <t>WORKERS_COMP_BY</t>
  </si>
  <si>
    <t>SICK_BY</t>
  </si>
  <si>
    <t>TOT_VB_PERM_BY</t>
  </si>
  <si>
    <t>TOT_VB_ELECT_BY</t>
  </si>
  <si>
    <t>HEALTH_PERM_CHG</t>
  </si>
  <si>
    <t>HEALTH_ELECT_CHG</t>
  </si>
  <si>
    <t>SSDI_CHG</t>
  </si>
  <si>
    <t>SSHI_CHG</t>
  </si>
  <si>
    <t>RETIREMENT_CHG</t>
  </si>
  <si>
    <t>LIFE_INS_CHG</t>
  </si>
  <si>
    <t>UNEMP_INS_CHG</t>
  </si>
  <si>
    <t>DHR_CHG</t>
  </si>
  <si>
    <t>WORKERS_COMP_CHG</t>
  </si>
  <si>
    <t>SICK_CHG</t>
  </si>
  <si>
    <t>TOT_VB_PERM_CHG</t>
  </si>
  <si>
    <t>TOT_VB_ELECT_CHG</t>
  </si>
  <si>
    <t>Group_Salary</t>
  </si>
  <si>
    <t>Group_Ben</t>
  </si>
  <si>
    <t>col_Fund</t>
  </si>
  <si>
    <t>SWCC 0001-00</t>
  </si>
  <si>
    <t>SWCC 0001</t>
  </si>
  <si>
    <t>Department of Agriculture</t>
  </si>
  <si>
    <t>Soil and Water Conservation Commission</t>
  </si>
  <si>
    <t>General</t>
  </si>
  <si>
    <t>0001-00</t>
  </si>
  <si>
    <t>10000</t>
  </si>
  <si>
    <t>Soil and Water Conservation Commission, General   SWCC-0001-00</t>
  </si>
  <si>
    <t>SWCC 0522-00</t>
  </si>
  <si>
    <t>SWCC 0522</t>
  </si>
  <si>
    <t>Resource Conservation and Rangeland Development</t>
  </si>
  <si>
    <t>0522-00</t>
  </si>
  <si>
    <t>52200</t>
  </si>
  <si>
    <t>Soil and Water Conservation Commission, Resource Conservation and Rangeland Development   SWCC-0522-00</t>
  </si>
  <si>
    <t>Totals by Budget Unit and Fund</t>
  </si>
  <si>
    <t>Est. FY22_x000D_
Salary</t>
  </si>
  <si>
    <t>Proj. FY23_x000D_
Salary</t>
  </si>
  <si>
    <t>Actual FY 2021</t>
  </si>
  <si>
    <t>Estimate FY 2022</t>
  </si>
  <si>
    <t>Projection FY 2023</t>
  </si>
  <si>
    <t>Filled Permanent/Elected</t>
  </si>
  <si>
    <t>Fund-0001</t>
  </si>
  <si>
    <t>Fund-0522</t>
  </si>
  <si>
    <t>Permanent Total</t>
  </si>
  <si>
    <t>Group</t>
  </si>
  <si>
    <t>Group Total</t>
  </si>
  <si>
    <t>Agency Fund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</si>
</sst>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.00000"/>
    <numFmt numFmtId="165" formatCode="&quot;$&quot;#,##0"/>
    <numFmt numFmtId="166" formatCode="0_)"/>
    <numFmt numFmtId="167" formatCode="0.0000"/>
    <numFmt numFmtId="168" formatCode="0000;;"/>
    <numFmt numFmtId="169" formatCode="00;;"/>
    <numFmt numFmtId="170" formatCode="00000;;00000"/>
    <numFmt numFmtId="171" formatCode="0000\-00;;"/>
    <numFmt numFmtId="172" formatCode="0.00\ ;\(0.00\);0.0\ "/>
    <numFmt numFmtId="173" formatCode="#,##0.000_);[Red]\(#,##0.000\)"/>
    <numFmt numFmtId="174" formatCode="0\ ;\(0\);0\ "/>
    <numFmt numFmtId="175" formatCode="#,##0_);[Red]\(#,##0\);0\ "/>
    <numFmt numFmtId="176" formatCode="0.0%"/>
    <numFmt numFmtId="177" formatCode="#,##0.00000000_);[Red]\(#,##0.00000000\)"/>
    <numFmt numFmtId="178" formatCode="#,##0.000000000_);[Red]\(#,##0.000000000\)"/>
    <numFmt numFmtId="179" formatCode="0.00000_);[Red]\(0.00000\)"/>
    <numFmt numFmtId="180" formatCode="0.000"/>
    <numFmt numFmtId="181" formatCode="0.000000"/>
    <numFmt numFmtId="182" formatCode="0.0000_);[Red]\(0.0000\)"/>
    <numFmt numFmtId="183" formatCode="#0"/>
    <numFmt numFmtId="185" formatCode="#0.########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sz val="10"/>
      <name val="Arial"/>
      <family val="2"/>
    </font>
    <font>
      <b/>
      <sz val="15"/>
      <name val="Times New Roman"/>
      <family val="1"/>
    </font>
    <font>
      <sz val="15"/>
      <color theme="1"/>
      <name val="Times New Roman"/>
      <family val="1"/>
    </font>
    <font>
      <sz val="15"/>
      <name val="Times New Roman"/>
      <family val="1"/>
    </font>
    <font>
      <b/>
      <sz val="15"/>
      <color theme="1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rgb="FF00206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rgb="FF002060"/>
      <name val="Arial"/>
      <family val="2"/>
    </font>
    <font>
      <b/>
      <sz val="8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Arial"/>
      <family val="2"/>
    </font>
    <font>
      <sz val="10"/>
      <color indexed="81"/>
      <name val="Tahoma"/>
      <family val="2"/>
    </font>
    <font>
      <sz val="12"/>
      <color theme="1"/>
      <name val="Times New Roman"/>
      <family val="1"/>
    </font>
    <font>
      <sz val="9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2"/>
      <color theme="0"/>
      <name val="Helv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theme="1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7E5E5"/>
      </patternFill>
    </fill>
    <fill>
      <patternFill patternType="solid">
        <fgColor rgb="FFB8CCE4"/>
        <bgColor indexed="64"/>
      </patternFill>
    </fill>
    <fill>
      <patternFill patternType="solid">
        <fgColor rgb="FFE6B8B8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8AE27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C88700"/>
        <bgColor indexed="64"/>
      </patternFill>
    </fill>
    <fill>
      <patternFill patternType="solid">
        <fgColor rgb="FFEDDE1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92CDD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166" fontId="2" fillId="0" borderId="0"/>
    <xf numFmtId="43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479">
    <xf numFmtId="0" fontId="0" fillId="0" borderId="0" xfId="0"/>
    <xf numFmtId="0" fontId="5" fillId="0" borderId="0" xfId="0" applyFont="1"/>
    <xf numFmtId="0" fontId="4" fillId="2" borderId="0" xfId="0" applyNumberFormat="1" applyFont="1" applyFill="1" applyAlignment="1">
      <alignment horizontal="left" vertical="top"/>
    </xf>
    <xf numFmtId="0" fontId="6" fillId="0" borderId="0" xfId="0" applyNumberFormat="1" applyFont="1"/>
    <xf numFmtId="0" fontId="6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Border="1" applyAlignment="1">
      <alignment horizontal="center" wrapText="1"/>
    </xf>
    <xf numFmtId="164" fontId="5" fillId="0" borderId="0" xfId="0" applyNumberFormat="1" applyFont="1"/>
    <xf numFmtId="167" fontId="5" fillId="0" borderId="0" xfId="0" applyNumberFormat="1" applyFont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166" fontId="8" fillId="4" borderId="6" xfId="1" applyFont="1" applyFill="1" applyBorder="1" applyAlignment="1">
      <alignment horizontal="left" vertical="center"/>
    </xf>
    <xf numFmtId="166" fontId="8" fillId="4" borderId="7" xfId="1" applyFont="1" applyFill="1" applyBorder="1" applyAlignment="1">
      <alignment horizontal="left" vertical="center"/>
    </xf>
    <xf numFmtId="168" fontId="9" fillId="4" borderId="5" xfId="7" applyNumberFormat="1" applyFont="1" applyFill="1" applyBorder="1" applyAlignment="1" applyProtection="1">
      <alignment horizontal="left" vertical="center"/>
    </xf>
    <xf numFmtId="168" fontId="10" fillId="4" borderId="7" xfId="7" applyNumberFormat="1" applyFont="1" applyFill="1" applyBorder="1" applyAlignment="1" applyProtection="1">
      <alignment horizontal="center" vertical="center"/>
    </xf>
    <xf numFmtId="166" fontId="8" fillId="4" borderId="7" xfId="1" applyFont="1" applyFill="1" applyBorder="1" applyAlignment="1">
      <alignment horizontal="right" vertical="center"/>
    </xf>
    <xf numFmtId="166" fontId="2" fillId="0" borderId="0" xfId="1" applyFont="1" applyBorder="1"/>
    <xf numFmtId="166" fontId="2" fillId="0" borderId="0" xfId="1" applyFont="1"/>
    <xf numFmtId="166" fontId="8" fillId="4" borderId="9" xfId="1" applyFont="1" applyFill="1" applyBorder="1" applyAlignment="1">
      <alignment vertical="center"/>
    </xf>
    <xf numFmtId="166" fontId="8" fillId="4" borderId="0" xfId="1" applyFont="1" applyFill="1" applyBorder="1" applyAlignment="1">
      <alignment vertical="center"/>
    </xf>
    <xf numFmtId="168" fontId="10" fillId="4" borderId="0" xfId="7" applyNumberFormat="1" applyFont="1" applyFill="1" applyBorder="1" applyAlignment="1" applyProtection="1">
      <alignment horizontal="center" vertical="center"/>
    </xf>
    <xf numFmtId="166" fontId="8" fillId="4" borderId="0" xfId="1" applyFont="1" applyFill="1" applyBorder="1" applyAlignment="1">
      <alignment horizontal="right" vertical="center"/>
    </xf>
    <xf numFmtId="0" fontId="9" fillId="4" borderId="5" xfId="7" applyFont="1" applyFill="1" applyBorder="1" applyAlignment="1" applyProtection="1">
      <alignment horizontal="left" vertical="center"/>
    </xf>
    <xf numFmtId="0" fontId="12" fillId="4" borderId="0" xfId="7" applyFont="1" applyFill="1" applyBorder="1" applyAlignment="1" applyProtection="1">
      <alignment horizontal="center" vertical="center"/>
    </xf>
    <xf numFmtId="0" fontId="12" fillId="4" borderId="0" xfId="7" applyFont="1" applyFill="1" applyBorder="1" applyAlignment="1" applyProtection="1">
      <alignment horizontal="right" vertical="center"/>
    </xf>
    <xf numFmtId="0" fontId="12" fillId="4" borderId="0" xfId="7" applyFont="1" applyFill="1" applyBorder="1" applyAlignment="1" applyProtection="1">
      <alignment vertical="center"/>
    </xf>
    <xf numFmtId="0" fontId="8" fillId="4" borderId="0" xfId="7" applyFont="1" applyFill="1" applyBorder="1" applyAlignment="1" applyProtection="1">
      <alignment vertical="center"/>
    </xf>
    <xf numFmtId="2" fontId="12" fillId="4" borderId="0" xfId="7" applyNumberFormat="1" applyFont="1" applyFill="1" applyBorder="1" applyAlignment="1" applyProtection="1">
      <alignment vertical="center"/>
    </xf>
    <xf numFmtId="14" fontId="11" fillId="4" borderId="1" xfId="7" applyNumberFormat="1" applyFont="1" applyFill="1" applyBorder="1" applyAlignment="1" applyProtection="1">
      <alignment horizontal="left" vertical="center"/>
    </xf>
    <xf numFmtId="0" fontId="8" fillId="4" borderId="0" xfId="7" applyFont="1" applyFill="1" applyBorder="1" applyAlignment="1" applyProtection="1">
      <alignment horizontal="right" vertical="center"/>
    </xf>
    <xf numFmtId="2" fontId="8" fillId="4" borderId="0" xfId="7" applyNumberFormat="1" applyFont="1" applyFill="1" applyBorder="1" applyAlignment="1" applyProtection="1">
      <alignment horizontal="right" vertical="center"/>
    </xf>
    <xf numFmtId="49" fontId="13" fillId="5" borderId="2" xfId="1" applyNumberFormat="1" applyFont="1" applyFill="1" applyBorder="1" applyAlignment="1">
      <alignment horizontal="center" vertical="center" shrinkToFit="1"/>
    </xf>
    <xf numFmtId="166" fontId="2" fillId="0" borderId="0" xfId="1" applyFont="1" applyBorder="1" applyAlignment="1"/>
    <xf numFmtId="166" fontId="2" fillId="0" borderId="0" xfId="1" applyFont="1" applyAlignment="1"/>
    <xf numFmtId="0" fontId="8" fillId="4" borderId="0" xfId="7" applyFont="1" applyFill="1" applyBorder="1" applyAlignment="1" applyProtection="1">
      <alignment horizontal="left" vertical="center"/>
    </xf>
    <xf numFmtId="0" fontId="11" fillId="4" borderId="1" xfId="7" applyNumberFormat="1" applyFont="1" applyFill="1" applyBorder="1" applyAlignment="1" applyProtection="1">
      <alignment horizontal="left" vertical="center"/>
    </xf>
    <xf numFmtId="38" fontId="12" fillId="4" borderId="0" xfId="7" applyNumberFormat="1" applyFont="1" applyFill="1" applyBorder="1" applyAlignment="1" applyProtection="1">
      <alignment vertical="center"/>
    </xf>
    <xf numFmtId="169" fontId="14" fillId="0" borderId="9" xfId="7" applyNumberFormat="1" applyFont="1" applyBorder="1" applyProtection="1"/>
    <xf numFmtId="0" fontId="14" fillId="0" borderId="1" xfId="7" applyFont="1" applyBorder="1" applyAlignment="1" applyProtection="1">
      <alignment horizontal="center"/>
    </xf>
    <xf numFmtId="0" fontId="14" fillId="0" borderId="0" xfId="7" applyFont="1" applyBorder="1" applyAlignment="1" applyProtection="1">
      <alignment horizontal="center"/>
    </xf>
    <xf numFmtId="0" fontId="14" fillId="0" borderId="0" xfId="7" applyFont="1" applyBorder="1" applyProtection="1"/>
    <xf numFmtId="170" fontId="14" fillId="0" borderId="1" xfId="7" applyNumberFormat="1" applyFont="1" applyBorder="1" applyAlignment="1" applyProtection="1">
      <alignment horizontal="center"/>
    </xf>
    <xf numFmtId="0" fontId="14" fillId="0" borderId="1" xfId="7" applyFont="1" applyBorder="1" applyAlignment="1" applyProtection="1">
      <alignment horizontal="right"/>
    </xf>
    <xf numFmtId="0" fontId="14" fillId="0" borderId="0" xfId="7" applyFont="1" applyBorder="1" applyAlignment="1" applyProtection="1">
      <alignment horizontal="right"/>
    </xf>
    <xf numFmtId="171" fontId="14" fillId="0" borderId="0" xfId="7" applyNumberFormat="1" applyFont="1" applyBorder="1" applyProtection="1"/>
    <xf numFmtId="38" fontId="14" fillId="0" borderId="0" xfId="7" applyNumberFormat="1" applyFont="1" applyBorder="1" applyProtection="1"/>
    <xf numFmtId="172" fontId="14" fillId="0" borderId="10" xfId="7" applyNumberFormat="1" applyFont="1" applyBorder="1" applyProtection="1"/>
    <xf numFmtId="168" fontId="15" fillId="0" borderId="2" xfId="7" applyNumberFormat="1" applyFont="1" applyBorder="1" applyAlignment="1" applyProtection="1">
      <alignment horizontal="center" wrapText="1"/>
    </xf>
    <xf numFmtId="172" fontId="15" fillId="0" borderId="2" xfId="7" applyNumberFormat="1" applyFont="1" applyBorder="1" applyAlignment="1" applyProtection="1">
      <alignment horizontal="center" wrapText="1"/>
    </xf>
    <xf numFmtId="38" fontId="15" fillId="0" borderId="2" xfId="7" applyNumberFormat="1" applyFont="1" applyBorder="1" applyAlignment="1" applyProtection="1">
      <alignment horizontal="center" wrapText="1"/>
    </xf>
    <xf numFmtId="166" fontId="2" fillId="0" borderId="0" xfId="1" applyFont="1" applyBorder="1" applyAlignment="1">
      <alignment wrapText="1"/>
    </xf>
    <xf numFmtId="166" fontId="2" fillId="0" borderId="0" xfId="1" applyFont="1" applyAlignment="1">
      <alignment wrapText="1"/>
    </xf>
    <xf numFmtId="0" fontId="14" fillId="0" borderId="0" xfId="7" applyFont="1" applyProtection="1"/>
    <xf numFmtId="168" fontId="15" fillId="0" borderId="6" xfId="7" applyNumberFormat="1" applyFont="1" applyBorder="1" applyAlignment="1" applyProtection="1"/>
    <xf numFmtId="40" fontId="15" fillId="3" borderId="2" xfId="7" applyNumberFormat="1" applyFont="1" applyFill="1" applyBorder="1" applyAlignment="1" applyProtection="1">
      <alignment horizontal="center"/>
    </xf>
    <xf numFmtId="168" fontId="16" fillId="3" borderId="4" xfId="7" applyNumberFormat="1" applyFont="1" applyFill="1" applyBorder="1" applyAlignment="1" applyProtection="1">
      <alignment vertical="center"/>
      <protection locked="0"/>
    </xf>
    <xf numFmtId="49" fontId="3" fillId="6" borderId="2" xfId="7" applyNumberFormat="1" applyFont="1" applyFill="1" applyBorder="1" applyAlignment="1" applyProtection="1">
      <alignment horizontal="center"/>
    </xf>
    <xf numFmtId="40" fontId="3" fillId="6" borderId="2" xfId="7" applyNumberFormat="1" applyFont="1" applyFill="1" applyBorder="1" applyAlignment="1" applyProtection="1">
      <alignment horizontal="center"/>
    </xf>
    <xf numFmtId="40" fontId="3" fillId="0" borderId="3" xfId="7" applyNumberFormat="1" applyFont="1" applyFill="1" applyBorder="1" applyAlignment="1" applyProtection="1">
      <alignment horizontal="center"/>
    </xf>
    <xf numFmtId="38" fontId="3" fillId="0" borderId="10" xfId="7" applyNumberFormat="1" applyFont="1" applyFill="1" applyBorder="1" applyProtection="1"/>
    <xf numFmtId="38" fontId="3" fillId="0" borderId="3" xfId="7" applyNumberFormat="1" applyFont="1" applyFill="1" applyBorder="1" applyProtection="1"/>
    <xf numFmtId="38" fontId="3" fillId="0" borderId="0" xfId="7" applyNumberFormat="1" applyFont="1" applyFill="1" applyBorder="1" applyProtection="1"/>
    <xf numFmtId="49" fontId="3" fillId="7" borderId="11" xfId="7" applyNumberFormat="1" applyFont="1" applyFill="1" applyBorder="1" applyAlignment="1" applyProtection="1">
      <alignment horizontal="center"/>
    </xf>
    <xf numFmtId="49" fontId="3" fillId="7" borderId="0" xfId="7" applyNumberFormat="1" applyFont="1" applyFill="1" applyBorder="1" applyAlignment="1" applyProtection="1">
      <alignment horizontal="center"/>
    </xf>
    <xf numFmtId="49" fontId="3" fillId="7" borderId="1" xfId="7" applyNumberFormat="1" applyFont="1" applyFill="1" applyBorder="1" applyAlignment="1" applyProtection="1">
      <alignment horizontal="center"/>
    </xf>
    <xf numFmtId="49" fontId="3" fillId="7" borderId="14" xfId="7" applyNumberFormat="1" applyFont="1" applyFill="1" applyBorder="1" applyAlignment="1" applyProtection="1">
      <alignment horizontal="center"/>
    </xf>
    <xf numFmtId="49" fontId="3" fillId="7" borderId="10" xfId="7" applyNumberFormat="1" applyFont="1" applyFill="1" applyBorder="1" applyAlignment="1" applyProtection="1">
      <alignment horizontal="center"/>
    </xf>
    <xf numFmtId="40" fontId="3" fillId="7" borderId="10" xfId="7" applyNumberFormat="1" applyFont="1" applyFill="1" applyBorder="1" applyAlignment="1" applyProtection="1"/>
    <xf numFmtId="168" fontId="18" fillId="8" borderId="0" xfId="7" applyNumberFormat="1" applyFont="1" applyFill="1" applyBorder="1" applyAlignment="1" applyProtection="1">
      <alignment horizontal="left" vertical="top" wrapText="1"/>
      <protection locked="0"/>
    </xf>
    <xf numFmtId="168" fontId="18" fillId="8" borderId="10" xfId="7" applyNumberFormat="1" applyFont="1" applyFill="1" applyBorder="1" applyAlignment="1" applyProtection="1">
      <alignment horizontal="left" vertical="top" wrapText="1"/>
      <protection locked="0"/>
    </xf>
    <xf numFmtId="0" fontId="14" fillId="0" borderId="2" xfId="7" applyFont="1" applyBorder="1" applyProtection="1"/>
    <xf numFmtId="0" fontId="20" fillId="0" borderId="2" xfId="7" applyFont="1" applyBorder="1" applyAlignment="1" applyProtection="1">
      <alignment horizontal="center" wrapText="1"/>
    </xf>
    <xf numFmtId="40" fontId="20" fillId="0" borderId="2" xfId="7" applyNumberFormat="1" applyFont="1" applyBorder="1" applyAlignment="1" applyProtection="1">
      <alignment horizontal="center" wrapText="1"/>
    </xf>
    <xf numFmtId="3" fontId="20" fillId="0" borderId="2" xfId="7" applyNumberFormat="1" applyFont="1" applyBorder="1" applyAlignment="1" applyProtection="1">
      <alignment horizontal="center" wrapText="1"/>
    </xf>
    <xf numFmtId="2" fontId="15" fillId="0" borderId="13" xfId="7" applyNumberFormat="1" applyFont="1" applyBorder="1" applyProtection="1"/>
    <xf numFmtId="49" fontId="3" fillId="0" borderId="15" xfId="7" applyNumberFormat="1" applyFont="1" applyBorder="1" applyAlignment="1" applyProtection="1">
      <alignment horizontal="center"/>
    </xf>
    <xf numFmtId="168" fontId="15" fillId="0" borderId="15" xfId="7" applyNumberFormat="1" applyFont="1" applyBorder="1" applyAlignment="1" applyProtection="1"/>
    <xf numFmtId="175" fontId="15" fillId="3" borderId="14" xfId="7" applyNumberFormat="1" applyFont="1" applyFill="1" applyBorder="1" applyAlignment="1" applyProtection="1">
      <alignment horizontal="center"/>
    </xf>
    <xf numFmtId="38" fontId="15" fillId="3" borderId="8" xfId="7" applyNumberFormat="1" applyFont="1" applyFill="1" applyBorder="1" applyProtection="1"/>
    <xf numFmtId="38" fontId="15" fillId="3" borderId="2" xfId="7" applyNumberFormat="1" applyFont="1" applyFill="1" applyBorder="1" applyProtection="1"/>
    <xf numFmtId="38" fontId="3" fillId="0" borderId="3" xfId="7" applyNumberFormat="1" applyFont="1" applyBorder="1" applyProtection="1"/>
    <xf numFmtId="2" fontId="15" fillId="0" borderId="3" xfId="7" applyNumberFormat="1" applyFont="1" applyBorder="1" applyProtection="1"/>
    <xf numFmtId="49" fontId="3" fillId="0" borderId="10" xfId="7" applyNumberFormat="1" applyFont="1" applyBorder="1" applyAlignment="1" applyProtection="1">
      <alignment horizontal="center"/>
    </xf>
    <xf numFmtId="168" fontId="15" fillId="0" borderId="9" xfId="7" applyNumberFormat="1" applyFont="1" applyBorder="1" applyAlignment="1" applyProtection="1"/>
    <xf numFmtId="2" fontId="3" fillId="0" borderId="3" xfId="7" applyNumberFormat="1" applyFont="1" applyBorder="1" applyProtection="1"/>
    <xf numFmtId="38" fontId="14" fillId="0" borderId="3" xfId="7" applyNumberFormat="1" applyFont="1" applyBorder="1" applyProtection="1"/>
    <xf numFmtId="0" fontId="3" fillId="6" borderId="2" xfId="7" applyFont="1" applyFill="1" applyBorder="1" applyAlignment="1" applyProtection="1">
      <alignment horizontal="center"/>
    </xf>
    <xf numFmtId="38" fontId="3" fillId="6" borderId="2" xfId="7" applyNumberFormat="1" applyFont="1" applyFill="1" applyBorder="1" applyProtection="1"/>
    <xf numFmtId="38" fontId="3" fillId="3" borderId="2" xfId="7" applyNumberFormat="1" applyFont="1" applyFill="1" applyBorder="1" applyProtection="1"/>
    <xf numFmtId="38" fontId="15" fillId="3" borderId="13" xfId="7" applyNumberFormat="1" applyFont="1" applyFill="1" applyBorder="1" applyProtection="1"/>
    <xf numFmtId="38" fontId="3" fillId="6" borderId="13" xfId="7" applyNumberFormat="1" applyFont="1" applyFill="1" applyBorder="1" applyProtection="1"/>
    <xf numFmtId="38" fontId="3" fillId="6" borderId="3" xfId="7" applyNumberFormat="1" applyFont="1" applyFill="1" applyBorder="1" applyProtection="1"/>
    <xf numFmtId="0" fontId="3" fillId="0" borderId="16" xfId="7" applyFont="1" applyBorder="1" applyProtection="1"/>
    <xf numFmtId="0" fontId="3" fillId="8" borderId="3" xfId="7" applyFont="1" applyFill="1" applyBorder="1" applyProtection="1"/>
    <xf numFmtId="0" fontId="3" fillId="8" borderId="10" xfId="7" applyFont="1" applyFill="1" applyBorder="1" applyProtection="1"/>
    <xf numFmtId="0" fontId="3" fillId="8" borderId="3" xfId="7" applyFont="1" applyFill="1" applyBorder="1" applyAlignment="1" applyProtection="1">
      <alignment horizontal="center"/>
    </xf>
    <xf numFmtId="40" fontId="3" fillId="8" borderId="3" xfId="7" applyNumberFormat="1" applyFont="1" applyFill="1" applyBorder="1" applyAlignment="1" applyProtection="1">
      <alignment horizontal="center"/>
    </xf>
    <xf numFmtId="38" fontId="15" fillId="8" borderId="3" xfId="7" applyNumberFormat="1" applyFont="1" applyFill="1" applyBorder="1" applyProtection="1"/>
    <xf numFmtId="0" fontId="3" fillId="8" borderId="9" xfId="7" applyFont="1" applyFill="1" applyBorder="1" applyProtection="1"/>
    <xf numFmtId="0" fontId="3" fillId="0" borderId="3" xfId="7" applyFont="1" applyFill="1" applyBorder="1" applyProtection="1"/>
    <xf numFmtId="0" fontId="3" fillId="0" borderId="10" xfId="7" applyFont="1" applyFill="1" applyBorder="1" applyProtection="1"/>
    <xf numFmtId="0" fontId="3" fillId="0" borderId="3" xfId="7" applyFont="1" applyFill="1" applyBorder="1" applyAlignment="1" applyProtection="1">
      <alignment horizontal="center"/>
    </xf>
    <xf numFmtId="40" fontId="20" fillId="0" borderId="13" xfId="7" applyNumberFormat="1" applyFont="1" applyBorder="1" applyAlignment="1" applyProtection="1">
      <alignment horizontal="center"/>
    </xf>
    <xf numFmtId="0" fontId="20" fillId="0" borderId="0" xfId="7" applyFont="1" applyBorder="1" applyAlignment="1" applyProtection="1">
      <alignment horizontal="center"/>
    </xf>
    <xf numFmtId="0" fontId="3" fillId="0" borderId="0" xfId="7" applyFont="1" applyFill="1" applyBorder="1" applyProtection="1"/>
    <xf numFmtId="0" fontId="14" fillId="0" borderId="0" xfId="7" applyFont="1" applyFill="1" applyBorder="1" applyProtection="1"/>
    <xf numFmtId="0" fontId="14" fillId="0" borderId="0" xfId="7" applyFont="1" applyFill="1" applyProtection="1"/>
    <xf numFmtId="168" fontId="15" fillId="0" borderId="10" xfId="7" applyNumberFormat="1" applyFont="1" applyBorder="1" applyAlignment="1" applyProtection="1"/>
    <xf numFmtId="0" fontId="3" fillId="0" borderId="3" xfId="7" applyFont="1" applyBorder="1" applyAlignment="1" applyProtection="1">
      <alignment horizontal="center"/>
    </xf>
    <xf numFmtId="0" fontId="3" fillId="0" borderId="0" xfId="7" applyFont="1" applyBorder="1" applyProtection="1"/>
    <xf numFmtId="0" fontId="3" fillId="0" borderId="10" xfId="7" applyFont="1" applyBorder="1" applyProtection="1"/>
    <xf numFmtId="0" fontId="3" fillId="0" borderId="9" xfId="7" applyFont="1" applyBorder="1" applyAlignment="1" applyProtection="1">
      <alignment horizontal="center"/>
    </xf>
    <xf numFmtId="38" fontId="15" fillId="3" borderId="3" xfId="7" applyNumberFormat="1" applyFont="1" applyFill="1" applyBorder="1" applyProtection="1"/>
    <xf numFmtId="168" fontId="3" fillId="0" borderId="9" xfId="7" applyNumberFormat="1" applyFont="1" applyBorder="1" applyAlignment="1" applyProtection="1">
      <alignment horizontal="left" indent="2"/>
    </xf>
    <xf numFmtId="168" fontId="3" fillId="0" borderId="10" xfId="7" applyNumberFormat="1" applyFont="1" applyBorder="1" applyAlignment="1" applyProtection="1">
      <alignment horizontal="left" indent="2"/>
    </xf>
    <xf numFmtId="2" fontId="3" fillId="6" borderId="2" xfId="7" applyNumberFormat="1" applyFont="1" applyFill="1" applyBorder="1" applyProtection="1"/>
    <xf numFmtId="2" fontId="15" fillId="0" borderId="2" xfId="7" applyNumberFormat="1" applyFont="1" applyBorder="1" applyProtection="1"/>
    <xf numFmtId="49" fontId="3" fillId="0" borderId="8" xfId="7" applyNumberFormat="1" applyFont="1" applyBorder="1" applyAlignment="1" applyProtection="1">
      <alignment horizontal="center"/>
    </xf>
    <xf numFmtId="168" fontId="15" fillId="0" borderId="4" xfId="7" applyNumberFormat="1" applyFont="1" applyBorder="1" applyAlignment="1" applyProtection="1"/>
    <xf numFmtId="168" fontId="15" fillId="0" borderId="8" xfId="7" applyNumberFormat="1" applyFont="1" applyBorder="1" applyAlignment="1" applyProtection="1"/>
    <xf numFmtId="0" fontId="3" fillId="0" borderId="11" xfId="7" applyFont="1" applyBorder="1" applyAlignment="1" applyProtection="1">
      <alignment horizontal="center"/>
    </xf>
    <xf numFmtId="0" fontId="3" fillId="0" borderId="1" xfId="7" applyFont="1" applyBorder="1" applyProtection="1"/>
    <xf numFmtId="0" fontId="3" fillId="0" borderId="14" xfId="7" applyFont="1" applyBorder="1" applyProtection="1"/>
    <xf numFmtId="2" fontId="14" fillId="0" borderId="0" xfId="7" applyNumberFormat="1" applyFont="1" applyProtection="1"/>
    <xf numFmtId="168" fontId="14" fillId="0" borderId="0" xfId="7" applyNumberFormat="1" applyFont="1" applyAlignment="1" applyProtection="1">
      <alignment horizontal="center"/>
    </xf>
    <xf numFmtId="170" fontId="14" fillId="0" borderId="0" xfId="7" applyNumberFormat="1" applyFont="1" applyAlignment="1" applyProtection="1">
      <alignment horizontal="center"/>
    </xf>
    <xf numFmtId="0" fontId="14" fillId="0" borderId="0" xfId="7" applyFont="1" applyAlignment="1" applyProtection="1">
      <alignment horizontal="center"/>
    </xf>
    <xf numFmtId="172" fontId="14" fillId="0" borderId="0" xfId="7" applyNumberFormat="1" applyFont="1" applyProtection="1"/>
    <xf numFmtId="38" fontId="14" fillId="0" borderId="0" xfId="7" applyNumberFormat="1" applyFont="1" applyProtection="1"/>
    <xf numFmtId="0" fontId="6" fillId="0" borderId="0" xfId="0" applyNumberFormat="1" applyFont="1" applyFill="1" applyBorder="1"/>
    <xf numFmtId="168" fontId="15" fillId="0" borderId="7" xfId="7" applyNumberFormat="1" applyFont="1" applyBorder="1" applyAlignment="1" applyProtection="1"/>
    <xf numFmtId="168" fontId="15" fillId="0" borderId="0" xfId="7" applyNumberFormat="1" applyFont="1" applyBorder="1" applyAlignment="1" applyProtection="1">
      <alignment horizontal="right"/>
    </xf>
    <xf numFmtId="175" fontId="15" fillId="0" borderId="13" xfId="7" applyNumberFormat="1" applyFont="1" applyFill="1" applyBorder="1" applyProtection="1"/>
    <xf numFmtId="0" fontId="3" fillId="0" borderId="12" xfId="7" applyFont="1" applyFill="1" applyBorder="1" applyAlignment="1" applyProtection="1">
      <alignment horizontal="center"/>
    </xf>
    <xf numFmtId="0" fontId="3" fillId="0" borderId="13" xfId="7" applyFont="1" applyFill="1" applyBorder="1" applyAlignment="1" applyProtection="1">
      <alignment horizontal="center"/>
    </xf>
    <xf numFmtId="168" fontId="15" fillId="0" borderId="1" xfId="7" applyNumberFormat="1" applyFont="1" applyFill="1" applyBorder="1" applyAlignment="1" applyProtection="1">
      <alignment horizontal="center" vertical="center" wrapText="1"/>
    </xf>
    <xf numFmtId="38" fontId="19" fillId="0" borderId="0" xfId="7" applyNumberFormat="1" applyFont="1" applyFill="1" applyBorder="1" applyAlignment="1" applyProtection="1">
      <alignment horizontal="center" vertical="center"/>
      <protection locked="0"/>
    </xf>
    <xf numFmtId="38" fontId="19" fillId="0" borderId="0" xfId="7" applyNumberFormat="1" applyFont="1" applyFill="1" applyBorder="1" applyAlignment="1" applyProtection="1">
      <alignment horizontal="center" vertical="center"/>
    </xf>
    <xf numFmtId="49" fontId="3" fillId="1" borderId="9" xfId="7" applyNumberFormat="1" applyFont="1" applyFill="1" applyBorder="1" applyAlignment="1" applyProtection="1">
      <alignment horizontal="center" vertical="center"/>
    </xf>
    <xf numFmtId="49" fontId="3" fillId="1" borderId="6" xfId="7" applyNumberFormat="1" applyFont="1" applyFill="1" applyBorder="1" applyAlignment="1" applyProtection="1">
      <alignment horizontal="center" vertical="center"/>
    </xf>
    <xf numFmtId="1" fontId="3" fillId="0" borderId="13" xfId="7" applyNumberFormat="1" applyFont="1" applyBorder="1" applyAlignment="1" applyProtection="1">
      <alignment horizontal="center" vertical="center"/>
    </xf>
    <xf numFmtId="172" fontId="3" fillId="0" borderId="13" xfId="7" applyNumberFormat="1" applyFont="1" applyBorder="1" applyAlignment="1" applyProtection="1">
      <alignment horizontal="center" vertical="center"/>
    </xf>
    <xf numFmtId="173" fontId="3" fillId="0" borderId="13" xfId="7" applyNumberFormat="1" applyFont="1" applyBorder="1" applyAlignment="1" applyProtection="1">
      <alignment horizontal="right" vertical="center"/>
    </xf>
    <xf numFmtId="38" fontId="3" fillId="0" borderId="13" xfId="7" applyNumberFormat="1" applyFont="1" applyBorder="1" applyAlignment="1" applyProtection="1">
      <alignment horizontal="right" vertical="center"/>
    </xf>
    <xf numFmtId="172" fontId="3" fillId="0" borderId="13" xfId="7" applyNumberFormat="1" applyFont="1" applyBorder="1" applyAlignment="1" applyProtection="1">
      <alignment horizontal="right" vertical="center"/>
    </xf>
    <xf numFmtId="174" fontId="3" fillId="0" borderId="13" xfId="7" applyNumberFormat="1" applyFont="1" applyBorder="1" applyAlignment="1" applyProtection="1">
      <alignment horizontal="right" vertical="center"/>
    </xf>
    <xf numFmtId="0" fontId="14" fillId="0" borderId="0" xfId="7" applyFont="1" applyBorder="1" applyAlignment="1" applyProtection="1">
      <alignment vertical="center"/>
    </xf>
    <xf numFmtId="166" fontId="2" fillId="0" borderId="0" xfId="1" applyFont="1" applyBorder="1" applyAlignment="1">
      <alignment vertical="center"/>
    </xf>
    <xf numFmtId="166" fontId="2" fillId="0" borderId="0" xfId="1" applyFont="1" applyAlignment="1">
      <alignment vertical="center"/>
    </xf>
    <xf numFmtId="1" fontId="15" fillId="0" borderId="3" xfId="7" applyNumberFormat="1" applyFont="1" applyBorder="1" applyAlignment="1" applyProtection="1">
      <alignment horizontal="center" vertical="center"/>
    </xf>
    <xf numFmtId="40" fontId="3" fillId="3" borderId="3" xfId="7" applyNumberFormat="1" applyFont="1" applyFill="1" applyBorder="1" applyAlignment="1" applyProtection="1">
      <alignment horizontal="center" vertical="center"/>
    </xf>
    <xf numFmtId="38" fontId="3" fillId="3" borderId="3" xfId="7" applyNumberFormat="1" applyFont="1" applyFill="1" applyBorder="1" applyAlignment="1" applyProtection="1">
      <alignment horizontal="right" vertical="center"/>
    </xf>
    <xf numFmtId="0" fontId="14" fillId="0" borderId="0" xfId="7" applyFont="1" applyAlignment="1" applyProtection="1">
      <alignment vertical="center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0" xfId="7" applyNumberFormat="1" applyFont="1" applyBorder="1" applyAlignment="1" applyProtection="1">
      <alignment horizontal="left" vertical="center"/>
    </xf>
    <xf numFmtId="49" fontId="3" fillId="1" borderId="3" xfId="7" applyNumberFormat="1" applyFont="1" applyFill="1" applyBorder="1" applyAlignment="1" applyProtection="1">
      <alignment horizontal="center" vertical="center"/>
    </xf>
    <xf numFmtId="168" fontId="15" fillId="0" borderId="6" xfId="7" applyNumberFormat="1" applyFont="1" applyBorder="1" applyAlignment="1" applyProtection="1">
      <alignment vertical="center"/>
    </xf>
    <xf numFmtId="168" fontId="15" fillId="0" borderId="5" xfId="7" applyNumberFormat="1" applyFont="1" applyBorder="1" applyAlignment="1" applyProtection="1">
      <alignment vertical="center"/>
    </xf>
    <xf numFmtId="38" fontId="15" fillId="3" borderId="2" xfId="7" applyNumberFormat="1" applyFont="1" applyFill="1" applyBorder="1" applyAlignment="1" applyProtection="1">
      <alignment horizontal="right" vertical="center"/>
    </xf>
    <xf numFmtId="1" fontId="12" fillId="0" borderId="12" xfId="7" applyNumberFormat="1" applyFont="1" applyBorder="1" applyAlignment="1" applyProtection="1">
      <alignment horizontal="right" vertical="center"/>
    </xf>
    <xf numFmtId="40" fontId="15" fillId="3" borderId="12" xfId="7" applyNumberFormat="1" applyFont="1" applyFill="1" applyBorder="1" applyAlignment="1" applyProtection="1">
      <alignment horizontal="center" vertical="center"/>
    </xf>
    <xf numFmtId="38" fontId="15" fillId="3" borderId="12" xfId="7" applyNumberFormat="1" applyFont="1" applyFill="1" applyBorder="1" applyAlignment="1" applyProtection="1">
      <alignment horizontal="right" vertical="center"/>
    </xf>
    <xf numFmtId="168" fontId="17" fillId="3" borderId="5" xfId="7" applyNumberFormat="1" applyFont="1" applyFill="1" applyBorder="1" applyAlignment="1" applyProtection="1">
      <alignment vertical="center" wrapText="1"/>
      <protection locked="0"/>
    </xf>
    <xf numFmtId="168" fontId="17" fillId="3" borderId="8" xfId="7" applyNumberFormat="1" applyFont="1" applyFill="1" applyBorder="1" applyAlignment="1" applyProtection="1">
      <alignment vertical="center" wrapText="1"/>
      <protection locked="0"/>
    </xf>
    <xf numFmtId="40" fontId="3" fillId="0" borderId="3" xfId="7" applyNumberFormat="1" applyFont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right" vertical="center"/>
    </xf>
    <xf numFmtId="176" fontId="3" fillId="0" borderId="3" xfId="6" applyNumberFormat="1" applyFont="1" applyBorder="1" applyAlignment="1" applyProtection="1">
      <alignment horizontal="right" vertical="center"/>
    </xf>
    <xf numFmtId="49" fontId="3" fillId="1" borderId="11" xfId="7" applyNumberFormat="1" applyFont="1" applyFill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left" vertical="center"/>
    </xf>
    <xf numFmtId="177" fontId="3" fillId="0" borderId="3" xfId="7" applyNumberFormat="1" applyFont="1" applyBorder="1" applyAlignment="1" applyProtection="1">
      <alignment horizontal="left" vertical="center"/>
    </xf>
    <xf numFmtId="49" fontId="3" fillId="6" borderId="2" xfId="7" applyNumberFormat="1" applyFont="1" applyFill="1" applyBorder="1" applyAlignment="1" applyProtection="1">
      <alignment vertical="center"/>
    </xf>
    <xf numFmtId="49" fontId="3" fillId="6" borderId="2" xfId="7" applyNumberFormat="1" applyFont="1" applyFill="1" applyBorder="1" applyAlignment="1" applyProtection="1">
      <alignment horizontal="center" vertical="center"/>
    </xf>
    <xf numFmtId="1" fontId="15" fillId="6" borderId="2" xfId="7" applyNumberFormat="1" applyFont="1" applyFill="1" applyBorder="1" applyAlignment="1" applyProtection="1">
      <alignment horizontal="center" vertical="center"/>
    </xf>
    <xf numFmtId="40" fontId="3" fillId="6" borderId="2" xfId="7" applyNumberFormat="1" applyFont="1" applyFill="1" applyBorder="1" applyAlignment="1" applyProtection="1">
      <alignment horizontal="center" vertical="center"/>
    </xf>
    <xf numFmtId="38" fontId="3" fillId="6" borderId="2" xfId="7" applyNumberFormat="1" applyFont="1" applyFill="1" applyBorder="1" applyAlignment="1" applyProtection="1">
      <alignment horizontal="right" vertical="center"/>
    </xf>
    <xf numFmtId="38" fontId="3" fillId="3" borderId="2" xfId="7" applyNumberFormat="1" applyFont="1" applyFill="1" applyBorder="1" applyAlignment="1" applyProtection="1">
      <alignment horizontal="right" vertical="center"/>
    </xf>
    <xf numFmtId="0" fontId="14" fillId="0" borderId="1" xfId="7" applyFont="1" applyBorder="1" applyAlignment="1" applyProtection="1">
      <alignment vertical="center"/>
    </xf>
    <xf numFmtId="49" fontId="3" fillId="6" borderId="12" xfId="7" applyNumberFormat="1" applyFont="1" applyFill="1" applyBorder="1" applyAlignment="1" applyProtection="1">
      <alignment vertical="center"/>
    </xf>
    <xf numFmtId="49" fontId="3" fillId="6" borderId="12" xfId="7" applyNumberFormat="1" applyFont="1" applyFill="1" applyBorder="1" applyAlignment="1" applyProtection="1">
      <alignment horizontal="center" vertical="center"/>
    </xf>
    <xf numFmtId="1" fontId="15" fillId="6" borderId="12" xfId="7" applyNumberFormat="1" applyFont="1" applyFill="1" applyBorder="1" applyAlignment="1" applyProtection="1">
      <alignment horizontal="center" vertical="center"/>
    </xf>
    <xf numFmtId="40" fontId="3" fillId="6" borderId="12" xfId="7" applyNumberFormat="1" applyFont="1" applyFill="1" applyBorder="1" applyAlignment="1" applyProtection="1">
      <alignment horizontal="center" vertical="center"/>
    </xf>
    <xf numFmtId="38" fontId="3" fillId="6" borderId="12" xfId="7" applyNumberFormat="1" applyFont="1" applyFill="1" applyBorder="1" applyAlignment="1" applyProtection="1">
      <alignment horizontal="right" vertical="center"/>
    </xf>
    <xf numFmtId="38" fontId="3" fillId="3" borderId="12" xfId="7" applyNumberFormat="1" applyFont="1" applyFill="1" applyBorder="1" applyAlignment="1" applyProtection="1">
      <alignment horizontal="right" vertical="center"/>
    </xf>
    <xf numFmtId="49" fontId="3" fillId="6" borderId="1" xfId="7" applyNumberFormat="1" applyFont="1" applyFill="1" applyBorder="1" applyAlignment="1" applyProtection="1">
      <alignment horizontal="center" vertical="center"/>
    </xf>
    <xf numFmtId="49" fontId="3" fillId="6" borderId="2" xfId="7" applyNumberFormat="1" applyFont="1" applyFill="1" applyBorder="1" applyAlignment="1" applyProtection="1">
      <alignment horizontal="left" vertical="center"/>
    </xf>
    <xf numFmtId="49" fontId="3" fillId="6" borderId="12" xfId="7" applyNumberFormat="1" applyFont="1" applyFill="1" applyBorder="1" applyAlignment="1" applyProtection="1">
      <alignment horizontal="left" vertical="center"/>
    </xf>
    <xf numFmtId="49" fontId="3" fillId="6" borderId="14" xfId="7" applyNumberFormat="1" applyFont="1" applyFill="1" applyBorder="1" applyAlignment="1" applyProtection="1">
      <alignment horizontal="left" vertical="center"/>
    </xf>
    <xf numFmtId="49" fontId="3" fillId="1" borderId="10" xfId="7" applyNumberFormat="1" applyFont="1" applyFill="1" applyBorder="1" applyAlignment="1" applyProtection="1">
      <alignment horizontal="center" vertical="center"/>
    </xf>
    <xf numFmtId="1" fontId="15" fillId="0" borderId="9" xfId="7" applyNumberFormat="1" applyFont="1" applyBorder="1" applyAlignment="1" applyProtection="1">
      <alignment horizontal="center" vertical="center"/>
    </xf>
    <xf numFmtId="40" fontId="3" fillId="3" borderId="13" xfId="7" applyNumberFormat="1" applyFont="1" applyFill="1" applyBorder="1" applyAlignment="1" applyProtection="1">
      <alignment horizontal="center" vertical="center"/>
    </xf>
    <xf numFmtId="38" fontId="3" fillId="3" borderId="15" xfId="7" applyNumberFormat="1" applyFont="1" applyFill="1" applyBorder="1" applyAlignment="1" applyProtection="1">
      <alignment horizontal="right" vertical="center"/>
    </xf>
    <xf numFmtId="38" fontId="3" fillId="3" borderId="13" xfId="7" applyNumberFormat="1" applyFont="1" applyFill="1" applyBorder="1" applyAlignment="1" applyProtection="1">
      <alignment horizontal="right" vertical="center"/>
    </xf>
    <xf numFmtId="38" fontId="3" fillId="3" borderId="10" xfId="7" applyNumberFormat="1" applyFont="1" applyFill="1" applyBorder="1" applyAlignment="1" applyProtection="1">
      <alignment horizontal="right" vertical="center"/>
    </xf>
    <xf numFmtId="168" fontId="3" fillId="0" borderId="10" xfId="7" applyNumberFormat="1" applyFont="1" applyBorder="1" applyAlignment="1" applyProtection="1">
      <alignment horizontal="left" vertical="center"/>
    </xf>
    <xf numFmtId="38" fontId="15" fillId="3" borderId="14" xfId="7" applyNumberFormat="1" applyFont="1" applyFill="1" applyBorder="1" applyAlignment="1" applyProtection="1">
      <alignment horizontal="right" vertical="center"/>
    </xf>
    <xf numFmtId="1" fontId="3" fillId="0" borderId="9" xfId="7" applyNumberFormat="1" applyFont="1" applyBorder="1" applyAlignment="1" applyProtection="1">
      <alignment horizontal="center" vertical="center"/>
    </xf>
    <xf numFmtId="40" fontId="3" fillId="0" borderId="3" xfId="7" applyNumberFormat="1" applyFont="1" applyFill="1" applyBorder="1" applyAlignment="1" applyProtection="1">
      <alignment horizontal="center" vertical="center"/>
    </xf>
    <xf numFmtId="38" fontId="3" fillId="0" borderId="10" xfId="7" applyNumberFormat="1" applyFont="1" applyFill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vertical="center"/>
    </xf>
    <xf numFmtId="38" fontId="3" fillId="0" borderId="9" xfId="7" applyNumberFormat="1" applyFont="1" applyFill="1" applyBorder="1" applyAlignment="1" applyProtection="1">
      <alignment vertical="center"/>
    </xf>
    <xf numFmtId="38" fontId="3" fillId="0" borderId="10" xfId="7" applyNumberFormat="1" applyFont="1" applyBorder="1" applyAlignment="1" applyProtection="1">
      <alignment vertical="center"/>
    </xf>
    <xf numFmtId="49" fontId="3" fillId="1" borderId="0" xfId="7" applyNumberFormat="1" applyFont="1" applyFill="1" applyBorder="1" applyAlignment="1" applyProtection="1">
      <alignment horizontal="center" vertical="center"/>
    </xf>
    <xf numFmtId="1" fontId="12" fillId="0" borderId="4" xfId="7" applyNumberFormat="1" applyFont="1" applyFill="1" applyBorder="1" applyAlignment="1" applyProtection="1">
      <alignment horizontal="right" vertical="center"/>
    </xf>
    <xf numFmtId="1" fontId="12" fillId="0" borderId="11" xfId="7" applyNumberFormat="1" applyFont="1" applyFill="1" applyBorder="1" applyAlignment="1" applyProtection="1">
      <alignment horizontal="right" vertical="center"/>
    </xf>
    <xf numFmtId="40" fontId="3" fillId="3" borderId="2" xfId="7" applyNumberFormat="1" applyFont="1" applyFill="1" applyBorder="1" applyAlignment="1" applyProtection="1">
      <alignment horizontal="center" vertical="center"/>
    </xf>
    <xf numFmtId="38" fontId="15" fillId="3" borderId="8" xfId="7" applyNumberFormat="1" applyFont="1" applyFill="1" applyBorder="1" applyAlignment="1" applyProtection="1">
      <alignment horizontal="right" vertical="center"/>
    </xf>
    <xf numFmtId="49" fontId="3" fillId="0" borderId="9" xfId="7" applyNumberFormat="1" applyFont="1" applyFill="1" applyBorder="1" applyAlignment="1" applyProtection="1">
      <alignment horizontal="center" vertical="center"/>
    </xf>
    <xf numFmtId="49" fontId="3" fillId="0" borderId="0" xfId="7" applyNumberFormat="1" applyFont="1" applyFill="1" applyBorder="1" applyAlignment="1" applyProtection="1">
      <alignment horizontal="center" vertical="center"/>
    </xf>
    <xf numFmtId="1" fontId="12" fillId="0" borderId="0" xfId="7" applyNumberFormat="1" applyFont="1" applyFill="1" applyBorder="1" applyAlignment="1" applyProtection="1">
      <alignment horizontal="center" vertical="center"/>
    </xf>
    <xf numFmtId="1" fontId="12" fillId="0" borderId="10" xfId="7" applyNumberFormat="1" applyFont="1" applyFill="1" applyBorder="1" applyAlignment="1" applyProtection="1">
      <alignment horizontal="center" vertical="center"/>
    </xf>
    <xf numFmtId="38" fontId="15" fillId="0" borderId="0" xfId="7" applyNumberFormat="1" applyFont="1" applyFill="1" applyBorder="1" applyAlignment="1" applyProtection="1">
      <alignment horizontal="right" vertical="center"/>
    </xf>
    <xf numFmtId="38" fontId="19" fillId="0" borderId="10" xfId="7" applyNumberFormat="1" applyFont="1" applyFill="1" applyBorder="1" applyAlignment="1" applyProtection="1">
      <alignment vertical="center" wrapText="1"/>
      <protection locked="0"/>
    </xf>
    <xf numFmtId="0" fontId="14" fillId="0" borderId="0" xfId="7" applyFont="1" applyFill="1" applyBorder="1" applyAlignment="1" applyProtection="1">
      <alignment vertical="center"/>
    </xf>
    <xf numFmtId="0" fontId="14" fillId="0" borderId="0" xfId="7" applyFont="1" applyFill="1" applyAlignment="1" applyProtection="1">
      <alignment vertical="center"/>
    </xf>
    <xf numFmtId="168" fontId="15" fillId="0" borderId="0" xfId="7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left"/>
    </xf>
    <xf numFmtId="1" fontId="15" fillId="0" borderId="3" xfId="7" applyNumberFormat="1" applyFont="1" applyBorder="1" applyAlignment="1" applyProtection="1">
      <alignment horizontal="center"/>
    </xf>
    <xf numFmtId="38" fontId="3" fillId="3" borderId="3" xfId="7" applyNumberFormat="1" applyFont="1" applyFill="1" applyBorder="1" applyAlignment="1" applyProtection="1">
      <alignment horizontal="right"/>
    </xf>
    <xf numFmtId="38" fontId="15" fillId="3" borderId="3" xfId="7" applyNumberFormat="1" applyFont="1" applyFill="1" applyBorder="1" applyAlignment="1" applyProtection="1">
      <alignment horizontal="right"/>
    </xf>
    <xf numFmtId="40" fontId="15" fillId="3" borderId="3" xfId="7" applyNumberFormat="1" applyFont="1" applyFill="1" applyBorder="1" applyAlignment="1" applyProtection="1">
      <alignment horizontal="center"/>
    </xf>
    <xf numFmtId="38" fontId="15" fillId="3" borderId="3" xfId="7" applyNumberFormat="1" applyFont="1" applyFill="1" applyBorder="1" applyAlignment="1" applyProtection="1"/>
    <xf numFmtId="38" fontId="15" fillId="3" borderId="10" xfId="7" applyNumberFormat="1" applyFont="1" applyFill="1" applyBorder="1" applyAlignment="1" applyProtection="1">
      <alignment horizontal="right"/>
    </xf>
    <xf numFmtId="38" fontId="15" fillId="3" borderId="2" xfId="7" applyNumberFormat="1" applyFont="1" applyFill="1" applyBorder="1" applyAlignment="1" applyProtection="1">
      <alignment horizontal="right"/>
    </xf>
    <xf numFmtId="3" fontId="3" fillId="3" borderId="3" xfId="7" applyNumberFormat="1" applyFont="1" applyFill="1" applyBorder="1" applyProtection="1"/>
    <xf numFmtId="0" fontId="6" fillId="0" borderId="1" xfId="0" applyNumberFormat="1" applyFont="1" applyBorder="1"/>
    <xf numFmtId="164" fontId="6" fillId="3" borderId="0" xfId="0" applyNumberFormat="1" applyFont="1" applyFill="1" applyBorder="1" applyAlignment="1">
      <alignment horizontal="right" indent="4"/>
    </xf>
    <xf numFmtId="0" fontId="7" fillId="0" borderId="1" xfId="0" applyFont="1" applyBorder="1" applyAlignment="1">
      <alignment horizontal="center"/>
    </xf>
    <xf numFmtId="165" fontId="6" fillId="3" borderId="0" xfId="0" applyNumberFormat="1" applyFont="1" applyFill="1" applyBorder="1" applyAlignment="1">
      <alignment horizontal="right" indent="4"/>
    </xf>
    <xf numFmtId="165" fontId="5" fillId="3" borderId="0" xfId="0" applyNumberFormat="1" applyFont="1" applyFill="1" applyBorder="1" applyAlignment="1">
      <alignment horizontal="right" indent="4"/>
    </xf>
    <xf numFmtId="0" fontId="6" fillId="0" borderId="0" xfId="0" applyFont="1" applyFill="1"/>
    <xf numFmtId="0" fontId="6" fillId="0" borderId="0" xfId="0" applyNumberFormat="1" applyFont="1" applyFill="1" applyBorder="1" applyAlignment="1">
      <alignment horizontal="left" indent="4"/>
    </xf>
    <xf numFmtId="0" fontId="6" fillId="0" borderId="0" xfId="0" applyFont="1" applyFill="1" applyBorder="1" applyAlignment="1">
      <alignment horizontal="left" indent="4"/>
    </xf>
    <xf numFmtId="0" fontId="6" fillId="0" borderId="5" xfId="0" applyNumberFormat="1" applyFont="1" applyFill="1" applyBorder="1" applyAlignment="1">
      <alignment horizontal="left" indent="4"/>
    </xf>
    <xf numFmtId="164" fontId="6" fillId="3" borderId="5" xfId="0" applyNumberFormat="1" applyFont="1" applyFill="1" applyBorder="1" applyAlignment="1">
      <alignment horizontal="right" indent="4"/>
    </xf>
    <xf numFmtId="164" fontId="6" fillId="3" borderId="4" xfId="0" applyNumberFormat="1" applyFont="1" applyFill="1" applyBorder="1" applyAlignment="1">
      <alignment horizontal="right" indent="4"/>
    </xf>
    <xf numFmtId="0" fontId="3" fillId="9" borderId="13" xfId="7" applyFont="1" applyFill="1" applyBorder="1" applyAlignment="1" applyProtection="1">
      <alignment horizontal="center"/>
    </xf>
    <xf numFmtId="0" fontId="3" fillId="6" borderId="12" xfId="7" applyFont="1" applyFill="1" applyBorder="1" applyAlignment="1" applyProtection="1">
      <alignment horizontal="center"/>
    </xf>
    <xf numFmtId="49" fontId="3" fillId="1" borderId="12" xfId="7" applyNumberFormat="1" applyFont="1" applyFill="1" applyBorder="1" applyAlignment="1" applyProtection="1">
      <alignment horizontal="center" vertical="center"/>
    </xf>
    <xf numFmtId="168" fontId="15" fillId="11" borderId="2" xfId="7" applyNumberFormat="1" applyFont="1" applyFill="1" applyBorder="1" applyAlignment="1" applyProtection="1">
      <alignment horizontal="left" vertical="center" wrapText="1"/>
    </xf>
    <xf numFmtId="168" fontId="15" fillId="0" borderId="2" xfId="7" applyNumberFormat="1" applyFont="1" applyFill="1" applyBorder="1" applyAlignment="1" applyProtection="1">
      <alignment horizontal="left" vertical="center" wrapText="1" indent="1"/>
    </xf>
    <xf numFmtId="1" fontId="15" fillId="0" borderId="10" xfId="7" applyNumberFormat="1" applyFont="1" applyBorder="1" applyAlignment="1" applyProtection="1">
      <alignment horizontal="center" vertical="center"/>
    </xf>
    <xf numFmtId="168" fontId="3" fillId="6" borderId="8" xfId="7" applyNumberFormat="1" applyFont="1" applyFill="1" applyBorder="1" applyAlignment="1" applyProtection="1">
      <alignment vertical="center"/>
    </xf>
    <xf numFmtId="49" fontId="3" fillId="6" borderId="8" xfId="7" applyNumberFormat="1" applyFont="1" applyFill="1" applyBorder="1" applyAlignment="1" applyProtection="1">
      <alignment vertical="center"/>
    </xf>
    <xf numFmtId="168" fontId="3" fillId="6" borderId="2" xfId="7" applyNumberFormat="1" applyFont="1" applyFill="1" applyBorder="1" applyAlignment="1" applyProtection="1">
      <alignment vertical="center"/>
    </xf>
    <xf numFmtId="168" fontId="3" fillId="0" borderId="5" xfId="7" applyNumberFormat="1" applyFont="1" applyFill="1" applyBorder="1" applyAlignment="1" applyProtection="1">
      <alignment vertical="center"/>
    </xf>
    <xf numFmtId="168" fontId="15" fillId="0" borderId="5" xfId="7" applyNumberFormat="1" applyFont="1" applyFill="1" applyBorder="1" applyAlignment="1" applyProtection="1">
      <alignment horizontal="left" vertical="center" indent="1"/>
    </xf>
    <xf numFmtId="0" fontId="25" fillId="0" borderId="0" xfId="0" applyFont="1"/>
    <xf numFmtId="165" fontId="5" fillId="0" borderId="0" xfId="0" applyNumberFormat="1" applyFont="1"/>
    <xf numFmtId="0" fontId="0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15" fillId="0" borderId="4" xfId="7" applyFont="1" applyBorder="1" applyAlignment="1" applyProtection="1">
      <alignment horizontal="center" wrapText="1"/>
    </xf>
    <xf numFmtId="2" fontId="3" fillId="0" borderId="2" xfId="7" applyNumberFormat="1" applyFont="1" applyBorder="1" applyAlignment="1" applyProtection="1">
      <alignment horizontal="center" wrapText="1"/>
    </xf>
    <xf numFmtId="0" fontId="14" fillId="0" borderId="13" xfId="7" applyFont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horizontal="right" vertical="center"/>
    </xf>
    <xf numFmtId="38" fontId="15" fillId="3" borderId="4" xfId="7" applyNumberFormat="1" applyFont="1" applyFill="1" applyBorder="1" applyProtection="1"/>
    <xf numFmtId="38" fontId="3" fillId="6" borderId="8" xfId="7" applyNumberFormat="1" applyFont="1" applyFill="1" applyBorder="1" applyProtection="1"/>
    <xf numFmtId="38" fontId="3" fillId="6" borderId="15" xfId="7" applyNumberFormat="1" applyFont="1" applyFill="1" applyBorder="1" applyProtection="1"/>
    <xf numFmtId="38" fontId="15" fillId="0" borderId="0" xfId="7" applyNumberFormat="1" applyFont="1" applyFill="1" applyBorder="1" applyProtection="1"/>
    <xf numFmtId="38" fontId="3" fillId="6" borderId="9" xfId="7" applyNumberFormat="1" applyFont="1" applyFill="1" applyBorder="1" applyProtection="1"/>
    <xf numFmtId="38" fontId="3" fillId="6" borderId="4" xfId="7" applyNumberFormat="1" applyFont="1" applyFill="1" applyBorder="1" applyProtection="1"/>
    <xf numFmtId="38" fontId="15" fillId="3" borderId="5" xfId="7" applyNumberFormat="1" applyFont="1" applyFill="1" applyBorder="1" applyProtection="1"/>
    <xf numFmtId="38" fontId="3" fillId="3" borderId="13" xfId="7" applyNumberFormat="1" applyFont="1" applyFill="1" applyBorder="1" applyProtection="1"/>
    <xf numFmtId="38" fontId="15" fillId="0" borderId="3" xfId="7" applyNumberFormat="1" applyFont="1" applyFill="1" applyBorder="1" applyAlignment="1" applyProtection="1">
      <alignment horizontal="right"/>
    </xf>
    <xf numFmtId="38" fontId="15" fillId="0" borderId="11" xfId="7" applyNumberFormat="1" applyFont="1" applyFill="1" applyBorder="1" applyAlignment="1" applyProtection="1">
      <alignment horizontal="right" vertical="center"/>
    </xf>
    <xf numFmtId="38" fontId="15" fillId="0" borderId="1" xfId="7" applyNumberFormat="1" applyFont="1" applyFill="1" applyBorder="1" applyProtection="1"/>
    <xf numFmtId="40" fontId="3" fillId="0" borderId="9" xfId="7" applyNumberFormat="1" applyFont="1" applyFill="1" applyBorder="1" applyAlignment="1" applyProtection="1">
      <alignment horizontal="center"/>
    </xf>
    <xf numFmtId="40" fontId="15" fillId="3" borderId="10" xfId="7" applyNumberFormat="1" applyFont="1" applyFill="1" applyBorder="1" applyAlignment="1" applyProtection="1">
      <alignment horizontal="center"/>
    </xf>
    <xf numFmtId="40" fontId="3" fillId="0" borderId="0" xfId="7" applyNumberFormat="1" applyFont="1" applyFill="1" applyBorder="1" applyAlignment="1" applyProtection="1">
      <alignment horizontal="center"/>
    </xf>
    <xf numFmtId="38" fontId="15" fillId="3" borderId="15" xfId="7" applyNumberFormat="1" applyFont="1" applyFill="1" applyBorder="1" applyProtection="1"/>
    <xf numFmtId="38" fontId="15" fillId="3" borderId="7" xfId="7" applyNumberFormat="1" applyFont="1" applyFill="1" applyBorder="1" applyProtection="1"/>
    <xf numFmtId="38" fontId="3" fillId="6" borderId="6" xfId="7" applyNumberFormat="1" applyFont="1" applyFill="1" applyBorder="1" applyProtection="1"/>
    <xf numFmtId="40" fontId="3" fillId="6" borderId="10" xfId="7" applyNumberFormat="1" applyFont="1" applyFill="1" applyBorder="1" applyAlignment="1" applyProtection="1">
      <alignment horizontal="center"/>
    </xf>
    <xf numFmtId="0" fontId="29" fillId="0" borderId="0" xfId="0" applyFont="1" applyAlignment="1">
      <alignment horizontal="center"/>
    </xf>
    <xf numFmtId="38" fontId="15" fillId="3" borderId="4" xfId="7" applyNumberFormat="1" applyFont="1" applyFill="1" applyBorder="1" applyAlignment="1" applyProtection="1">
      <alignment horizontal="right" vertical="center"/>
    </xf>
    <xf numFmtId="38" fontId="15" fillId="0" borderId="3" xfId="7" applyNumberFormat="1" applyFont="1" applyFill="1" applyBorder="1" applyAlignment="1" applyProtection="1">
      <alignment horizontal="right" vertical="center"/>
    </xf>
    <xf numFmtId="49" fontId="3" fillId="0" borderId="9" xfId="7" applyNumberFormat="1" applyFont="1" applyFill="1" applyBorder="1" applyAlignment="1" applyProtection="1">
      <alignment horizontal="left" vertical="center"/>
    </xf>
    <xf numFmtId="49" fontId="3" fillId="0" borderId="10" xfId="7" applyNumberFormat="1" applyFont="1" applyFill="1" applyBorder="1" applyAlignment="1" applyProtection="1">
      <alignment horizontal="left" vertical="center"/>
    </xf>
    <xf numFmtId="168" fontId="3" fillId="0" borderId="9" xfId="7" applyNumberFormat="1" applyFont="1" applyFill="1" applyBorder="1" applyAlignment="1" applyProtection="1">
      <alignment vertical="center"/>
    </xf>
    <xf numFmtId="168" fontId="3" fillId="0" borderId="10" xfId="7" applyNumberFormat="1" applyFont="1" applyFill="1" applyBorder="1" applyAlignment="1" applyProtection="1">
      <alignment vertical="center"/>
    </xf>
    <xf numFmtId="1" fontId="15" fillId="0" borderId="3" xfId="7" applyNumberFormat="1" applyFont="1" applyFill="1" applyBorder="1" applyAlignment="1" applyProtection="1">
      <alignment horizontal="center" vertical="center"/>
    </xf>
    <xf numFmtId="38" fontId="15" fillId="0" borderId="9" xfId="7" applyNumberFormat="1" applyFont="1" applyFill="1" applyBorder="1" applyAlignment="1" applyProtection="1">
      <alignment horizontal="right" vertical="center"/>
    </xf>
    <xf numFmtId="38" fontId="3" fillId="3" borderId="3" xfId="7" applyNumberFormat="1" applyFont="1" applyFill="1" applyBorder="1" applyProtection="1"/>
    <xf numFmtId="40" fontId="3" fillId="3" borderId="3" xfId="7" applyNumberFormat="1" applyFont="1" applyFill="1" applyBorder="1" applyAlignment="1" applyProtection="1">
      <alignment horizontal="center"/>
    </xf>
    <xf numFmtId="10" fontId="3" fillId="9" borderId="2" xfId="6" applyNumberFormat="1" applyFont="1" applyFill="1" applyBorder="1" applyAlignment="1" applyProtection="1">
      <alignment horizontal="center"/>
    </xf>
    <xf numFmtId="10" fontId="3" fillId="9" borderId="13" xfId="6" applyNumberFormat="1" applyFont="1" applyFill="1" applyBorder="1" applyAlignment="1" applyProtection="1">
      <alignment horizontal="center" vertical="center"/>
    </xf>
    <xf numFmtId="38" fontId="31" fillId="0" borderId="0" xfId="7" applyNumberFormat="1" applyFont="1" applyFill="1" applyBorder="1" applyProtection="1"/>
    <xf numFmtId="0" fontId="31" fillId="0" borderId="0" xfId="7" applyFont="1" applyBorder="1" applyProtection="1"/>
    <xf numFmtId="0" fontId="31" fillId="0" borderId="10" xfId="7" applyFont="1" applyBorder="1" applyProtection="1"/>
    <xf numFmtId="0" fontId="32" fillId="0" borderId="0" xfId="7" applyFont="1" applyBorder="1" applyProtection="1"/>
    <xf numFmtId="0" fontId="32" fillId="0" borderId="10" xfId="7" applyFont="1" applyBorder="1" applyProtection="1"/>
    <xf numFmtId="38" fontId="33" fillId="0" borderId="0" xfId="7" applyNumberFormat="1" applyFont="1" applyFill="1" applyBorder="1" applyProtection="1"/>
    <xf numFmtId="38" fontId="32" fillId="0" borderId="0" xfId="7" applyNumberFormat="1" applyFont="1" applyBorder="1" applyProtection="1"/>
    <xf numFmtId="38" fontId="32" fillId="0" borderId="0" xfId="7" applyNumberFormat="1" applyFont="1" applyFill="1" applyBorder="1" applyProtection="1"/>
    <xf numFmtId="0" fontId="32" fillId="0" borderId="0" xfId="7" applyFont="1" applyFill="1" applyBorder="1" applyProtection="1"/>
    <xf numFmtId="0" fontId="32" fillId="0" borderId="10" xfId="7" applyFont="1" applyFill="1" applyBorder="1" applyProtection="1"/>
    <xf numFmtId="38" fontId="33" fillId="0" borderId="0" xfId="7" applyNumberFormat="1" applyFont="1" applyFill="1" applyBorder="1" applyAlignment="1" applyProtection="1">
      <alignment vertical="center"/>
    </xf>
    <xf numFmtId="38" fontId="31" fillId="0" borderId="0" xfId="7" applyNumberFormat="1" applyFont="1" applyFill="1" applyBorder="1" applyAlignment="1" applyProtection="1">
      <alignment horizontal="right" indent="4"/>
    </xf>
    <xf numFmtId="38" fontId="31" fillId="0" borderId="0" xfId="7" applyNumberFormat="1" applyFont="1" applyFill="1" applyBorder="1" applyAlignment="1" applyProtection="1">
      <alignment horizontal="right" indent="3"/>
    </xf>
    <xf numFmtId="38" fontId="33" fillId="0" borderId="10" xfId="7" applyNumberFormat="1" applyFont="1" applyFill="1" applyBorder="1" applyAlignment="1" applyProtection="1">
      <alignment horizontal="right" indent="3"/>
    </xf>
    <xf numFmtId="175" fontId="31" fillId="0" borderId="0" xfId="7" applyNumberFormat="1" applyFont="1" applyBorder="1" applyProtection="1"/>
    <xf numFmtId="0" fontId="3" fillId="10" borderId="8" xfId="7" applyFont="1" applyFill="1" applyBorder="1" applyAlignment="1" applyProtection="1">
      <alignment horizontal="center" vertical="center"/>
    </xf>
    <xf numFmtId="0" fontId="34" fillId="0" borderId="2" xfId="7" applyFont="1" applyBorder="1" applyAlignment="1" applyProtection="1">
      <alignment horizontal="center" wrapText="1"/>
    </xf>
    <xf numFmtId="9" fontId="3" fillId="0" borderId="0" xfId="6" applyFont="1" applyFill="1" applyBorder="1" applyProtection="1"/>
    <xf numFmtId="9" fontId="15" fillId="0" borderId="12" xfId="6" applyFont="1" applyFill="1" applyBorder="1" applyAlignment="1" applyProtection="1">
      <alignment horizontal="right" vertical="center"/>
    </xf>
    <xf numFmtId="38" fontId="3" fillId="3" borderId="4" xfId="7" applyNumberFormat="1" applyFont="1" applyFill="1" applyBorder="1" applyProtection="1"/>
    <xf numFmtId="6" fontId="6" fillId="3" borderId="0" xfId="0" applyNumberFormat="1" applyFont="1" applyFill="1" applyBorder="1" applyAlignment="1">
      <alignment horizontal="right" indent="4"/>
    </xf>
    <xf numFmtId="6" fontId="5" fillId="3" borderId="0" xfId="0" applyNumberFormat="1" applyFont="1" applyFill="1" applyBorder="1" applyAlignment="1">
      <alignment horizontal="right" indent="4"/>
    </xf>
    <xf numFmtId="179" fontId="6" fillId="3" borderId="0" xfId="0" applyNumberFormat="1" applyFont="1" applyFill="1" applyBorder="1" applyAlignment="1">
      <alignment horizontal="right" indent="3"/>
    </xf>
    <xf numFmtId="179" fontId="6" fillId="3" borderId="8" xfId="0" applyNumberFormat="1" applyFont="1" applyFill="1" applyBorder="1" applyAlignment="1">
      <alignment horizontal="right" indent="3"/>
    </xf>
    <xf numFmtId="179" fontId="6" fillId="3" borderId="5" xfId="0" applyNumberFormat="1" applyFont="1" applyFill="1" applyBorder="1" applyAlignment="1">
      <alignment horizontal="right" indent="3"/>
    </xf>
    <xf numFmtId="0" fontId="35" fillId="0" borderId="0" xfId="0" applyFont="1"/>
    <xf numFmtId="0" fontId="25" fillId="0" borderId="6" xfId="0" applyFont="1" applyBorder="1"/>
    <xf numFmtId="9" fontId="25" fillId="5" borderId="15" xfId="0" applyNumberFormat="1" applyFont="1" applyFill="1" applyBorder="1" applyAlignment="1">
      <alignment horizontal="center"/>
    </xf>
    <xf numFmtId="180" fontId="5" fillId="0" borderId="0" xfId="0" applyNumberFormat="1" applyFont="1"/>
    <xf numFmtId="1" fontId="5" fillId="0" borderId="0" xfId="0" applyNumberFormat="1" applyFont="1"/>
    <xf numFmtId="38" fontId="3" fillId="0" borderId="13" xfId="7" applyNumberFormat="1" applyFont="1" applyFill="1" applyBorder="1" applyAlignment="1" applyProtection="1">
      <alignment horizontal="right" vertical="center"/>
    </xf>
    <xf numFmtId="38" fontId="3" fillId="0" borderId="9" xfId="7" applyNumberFormat="1" applyFont="1" applyBorder="1" applyAlignment="1" applyProtection="1">
      <alignment horizontal="right" vertical="center"/>
    </xf>
    <xf numFmtId="38" fontId="3" fillId="0" borderId="8" xfId="7" applyNumberFormat="1" applyFont="1" applyFill="1" applyBorder="1" applyAlignment="1" applyProtection="1">
      <alignment vertical="center"/>
    </xf>
    <xf numFmtId="38" fontId="3" fillId="0" borderId="2" xfId="7" applyNumberFormat="1" applyFont="1" applyFill="1" applyBorder="1" applyAlignment="1" applyProtection="1">
      <alignment vertical="center"/>
    </xf>
    <xf numFmtId="166" fontId="3" fillId="0" borderId="0" xfId="1" applyFont="1" applyBorder="1"/>
    <xf numFmtId="166" fontId="3" fillId="0" borderId="0" xfId="1" applyFont="1" applyBorder="1" applyAlignment="1"/>
    <xf numFmtId="166" fontId="3" fillId="0" borderId="0" xfId="1" applyFont="1" applyBorder="1" applyAlignment="1">
      <alignment wrapText="1"/>
    </xf>
    <xf numFmtId="166" fontId="3" fillId="0" borderId="0" xfId="1" applyFont="1" applyBorder="1" applyAlignment="1">
      <alignment vertical="center"/>
    </xf>
    <xf numFmtId="0" fontId="3" fillId="0" borderId="0" xfId="7" applyFont="1" applyBorder="1" applyAlignment="1" applyProtection="1">
      <alignment vertical="center"/>
    </xf>
    <xf numFmtId="0" fontId="3" fillId="0" borderId="0" xfId="7" applyFont="1" applyFill="1" applyBorder="1" applyAlignment="1" applyProtection="1">
      <alignment vertical="center"/>
    </xf>
    <xf numFmtId="0" fontId="3" fillId="0" borderId="9" xfId="7" applyFont="1" applyFill="1" applyBorder="1" applyAlignment="1" applyProtection="1">
      <alignment horizontal="center"/>
    </xf>
    <xf numFmtId="0" fontId="15" fillId="0" borderId="4" xfId="7" applyFont="1" applyBorder="1" applyAlignment="1" applyProtection="1">
      <alignment horizontal="center" wrapText="1"/>
    </xf>
    <xf numFmtId="166" fontId="36" fillId="0" borderId="0" xfId="1" applyFont="1" applyBorder="1" applyAlignment="1">
      <alignment horizontal="center" vertical="center"/>
    </xf>
    <xf numFmtId="38" fontId="36" fillId="0" borderId="0" xfId="7" applyNumberFormat="1" applyFont="1" applyBorder="1" applyAlignment="1" applyProtection="1">
      <alignment horizontal="center" vertical="center"/>
    </xf>
    <xf numFmtId="6" fontId="36" fillId="0" borderId="0" xfId="1" applyNumberFormat="1" applyFont="1" applyBorder="1" applyAlignment="1">
      <alignment horizontal="center" vertical="center"/>
    </xf>
    <xf numFmtId="166" fontId="38" fillId="0" borderId="0" xfId="1" applyFont="1" applyBorder="1" applyAlignment="1">
      <alignment horizontal="center" vertical="center"/>
    </xf>
    <xf numFmtId="0" fontId="36" fillId="0" borderId="0" xfId="7" applyFont="1" applyBorder="1" applyAlignment="1" applyProtection="1">
      <alignment horizontal="center" vertical="center"/>
    </xf>
    <xf numFmtId="6" fontId="36" fillId="0" borderId="0" xfId="7" applyNumberFormat="1" applyFont="1" applyBorder="1" applyAlignment="1" applyProtection="1">
      <alignment horizontal="center" vertical="center"/>
    </xf>
    <xf numFmtId="0" fontId="36" fillId="0" borderId="0" xfId="7" applyFont="1" applyFill="1" applyBorder="1" applyAlignment="1" applyProtection="1">
      <alignment horizontal="center" vertical="center"/>
    </xf>
    <xf numFmtId="9" fontId="25" fillId="13" borderId="10" xfId="0" applyNumberFormat="1" applyFont="1" applyFill="1" applyBorder="1" applyAlignment="1">
      <alignment horizontal="center"/>
    </xf>
    <xf numFmtId="0" fontId="25" fillId="0" borderId="9" xfId="0" applyFont="1" applyBorder="1"/>
    <xf numFmtId="0" fontId="39" fillId="0" borderId="7" xfId="0" applyFont="1" applyBorder="1"/>
    <xf numFmtId="9" fontId="39" fillId="0" borderId="7" xfId="0" applyNumberFormat="1" applyFont="1" applyFill="1" applyBorder="1" applyAlignment="1">
      <alignment horizontal="center"/>
    </xf>
    <xf numFmtId="0" fontId="0" fillId="0" borderId="0" xfId="0" applyBorder="1"/>
    <xf numFmtId="178" fontId="36" fillId="0" borderId="0" xfId="7" applyNumberFormat="1" applyFont="1" applyBorder="1" applyAlignment="1" applyProtection="1">
      <alignment horizontal="center" vertical="center"/>
    </xf>
    <xf numFmtId="43" fontId="36" fillId="0" borderId="0" xfId="5" applyFont="1" applyBorder="1" applyAlignment="1" applyProtection="1">
      <alignment horizontal="center" vertical="center"/>
    </xf>
    <xf numFmtId="43" fontId="36" fillId="0" borderId="0" xfId="7" applyNumberFormat="1" applyFont="1" applyBorder="1" applyAlignment="1" applyProtection="1">
      <alignment horizontal="center" vertical="center"/>
    </xf>
    <xf numFmtId="181" fontId="6" fillId="3" borderId="0" xfId="0" applyNumberFormat="1" applyFont="1" applyFill="1" applyBorder="1" applyAlignment="1">
      <alignment horizontal="right" indent="4"/>
    </xf>
    <xf numFmtId="0" fontId="42" fillId="0" borderId="0" xfId="7" applyFont="1" applyBorder="1" applyProtection="1"/>
    <xf numFmtId="0" fontId="42" fillId="0" borderId="0" xfId="7" applyFont="1" applyFill="1" applyBorder="1" applyProtection="1"/>
    <xf numFmtId="14" fontId="11" fillId="4" borderId="1" xfId="7" applyNumberFormat="1" applyFont="1" applyFill="1" applyBorder="1" applyAlignment="1" applyProtection="1">
      <alignment horizontal="center" vertical="center"/>
    </xf>
    <xf numFmtId="166" fontId="3" fillId="4" borderId="2" xfId="1" applyFont="1" applyFill="1" applyBorder="1" applyAlignment="1">
      <alignment horizontal="center" vertical="center"/>
    </xf>
    <xf numFmtId="0" fontId="3" fillId="10" borderId="4" xfId="7" applyFont="1" applyFill="1" applyBorder="1" applyAlignment="1" applyProtection="1">
      <alignment horizontal="center" vertical="center"/>
    </xf>
    <xf numFmtId="0" fontId="8" fillId="4" borderId="5" xfId="7" applyFont="1" applyFill="1" applyBorder="1" applyAlignment="1" applyProtection="1">
      <alignment horizontal="center" vertical="center"/>
    </xf>
    <xf numFmtId="175" fontId="15" fillId="3" borderId="2" xfId="7" applyNumberFormat="1" applyFont="1" applyFill="1" applyBorder="1" applyAlignment="1">
      <alignment horizontal="center" vertical="center"/>
    </xf>
    <xf numFmtId="38" fontId="3" fillId="3" borderId="3" xfId="7" quotePrefix="1" applyNumberFormat="1" applyFont="1" applyFill="1" applyBorder="1" applyProtection="1"/>
    <xf numFmtId="0" fontId="42" fillId="0" borderId="10" xfId="7" applyFont="1" applyBorder="1" applyProtection="1"/>
    <xf numFmtId="0" fontId="40" fillId="0" borderId="0" xfId="0" applyFont="1"/>
    <xf numFmtId="0" fontId="42" fillId="0" borderId="10" xfId="7" applyFont="1" applyFill="1" applyBorder="1" applyProtection="1"/>
    <xf numFmtId="38" fontId="36" fillId="0" borderId="0" xfId="7" applyNumberFormat="1" applyFont="1" applyFill="1" applyBorder="1" applyAlignment="1" applyProtection="1">
      <alignment horizontal="right" indent="3"/>
    </xf>
    <xf numFmtId="38" fontId="43" fillId="0" borderId="10" xfId="7" applyNumberFormat="1" applyFont="1" applyFill="1" applyBorder="1" applyAlignment="1" applyProtection="1">
      <alignment horizontal="right" indent="3"/>
    </xf>
    <xf numFmtId="182" fontId="5" fillId="0" borderId="0" xfId="0" applyNumberFormat="1" applyFont="1" applyAlignment="1">
      <alignment horizontal="right" indent="4"/>
    </xf>
    <xf numFmtId="182" fontId="5" fillId="0" borderId="0" xfId="0" applyNumberFormat="1" applyFont="1" applyAlignment="1">
      <alignment horizontal="right" indent="3"/>
    </xf>
    <xf numFmtId="0" fontId="36" fillId="0" borderId="0" xfId="7" applyFont="1" applyBorder="1" applyAlignment="1" applyProtection="1">
      <alignment horizontal="center" vertical="center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10" xfId="7" applyNumberFormat="1" applyFont="1" applyBorder="1" applyAlignment="1" applyProtection="1">
      <alignment horizontal="left" vertical="center"/>
    </xf>
    <xf numFmtId="168" fontId="3" fillId="0" borderId="9" xfId="7" applyNumberFormat="1" applyFont="1" applyBorder="1" applyAlignment="1" applyProtection="1">
      <alignment horizontal="left" indent="2"/>
    </xf>
    <xf numFmtId="0" fontId="3" fillId="0" borderId="9" xfId="7" applyFont="1" applyFill="1" applyBorder="1" applyAlignment="1" applyProtection="1">
      <alignment horizontal="center"/>
    </xf>
    <xf numFmtId="168" fontId="3" fillId="0" borderId="10" xfId="7" applyNumberFormat="1" applyFont="1" applyBorder="1" applyAlignment="1" applyProtection="1">
      <alignment horizontal="left" indent="2"/>
    </xf>
    <xf numFmtId="0" fontId="15" fillId="0" borderId="4" xfId="7" applyFont="1" applyBorder="1" applyAlignment="1" applyProtection="1">
      <alignment horizontal="center" wrapText="1"/>
    </xf>
    <xf numFmtId="168" fontId="3" fillId="0" borderId="0" xfId="7" applyNumberFormat="1" applyFont="1" applyBorder="1" applyAlignment="1" applyProtection="1">
      <alignment horizontal="left" vertic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44" fillId="14" borderId="17" xfId="0" applyFont="1" applyFill="1" applyBorder="1" applyAlignment="1">
      <alignment horizontal="center" vertical="top"/>
    </xf>
    <xf numFmtId="49" fontId="44" fillId="14" borderId="17" xfId="0" applyNumberFormat="1" applyFont="1" applyFill="1" applyBorder="1" applyAlignment="1">
      <alignment horizontal="center" vertical="top"/>
    </xf>
    <xf numFmtId="0" fontId="45" fillId="0" borderId="18" xfId="0" applyFont="1" applyBorder="1" applyAlignment="1">
      <alignment vertical="top"/>
    </xf>
    <xf numFmtId="49" fontId="0" fillId="0" borderId="18" xfId="0" applyNumberFormat="1" applyBorder="1"/>
    <xf numFmtId="0" fontId="0" fillId="0" borderId="18" xfId="0" applyBorder="1"/>
    <xf numFmtId="183" fontId="45" fillId="0" borderId="18" xfId="0" applyNumberFormat="1" applyFont="1" applyBorder="1" applyAlignment="1">
      <alignment vertical="top"/>
    </xf>
    <xf numFmtId="4" fontId="45" fillId="0" borderId="18" xfId="0" applyNumberFormat="1" applyFont="1" applyBorder="1" applyAlignment="1">
      <alignment vertical="top"/>
    </xf>
    <xf numFmtId="185" fontId="45" fillId="0" borderId="18" xfId="0" applyNumberFormat="1" applyFont="1" applyBorder="1" applyAlignment="1">
      <alignment vertical="top"/>
    </xf>
    <xf numFmtId="0" fontId="4" fillId="2" borderId="0" xfId="0" applyNumberFormat="1" applyFont="1" applyFill="1" applyAlignment="1">
      <alignment horizontal="left" vertical="top" wrapText="1"/>
    </xf>
    <xf numFmtId="0" fontId="25" fillId="0" borderId="0" xfId="0" applyFont="1" applyAlignment="1">
      <alignment horizontal="left" indent="1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10" xfId="7" applyNumberFormat="1" applyFont="1" applyBorder="1" applyAlignment="1" applyProtection="1">
      <alignment horizontal="left" vertical="center"/>
    </xf>
    <xf numFmtId="0" fontId="15" fillId="0" borderId="4" xfId="7" applyFont="1" applyBorder="1" applyAlignment="1" applyProtection="1">
      <alignment horizontal="center" wrapText="1"/>
    </xf>
    <xf numFmtId="0" fontId="15" fillId="0" borderId="8" xfId="7" applyFont="1" applyBorder="1" applyAlignment="1" applyProtection="1">
      <alignment horizontal="center" wrapText="1"/>
    </xf>
    <xf numFmtId="168" fontId="15" fillId="0" borderId="6" xfId="7" applyNumberFormat="1" applyFont="1" applyBorder="1" applyAlignment="1" applyProtection="1">
      <alignment horizontal="left" vertical="center"/>
    </xf>
    <xf numFmtId="168" fontId="15" fillId="0" borderId="7" xfId="7" applyNumberFormat="1" applyFont="1" applyBorder="1" applyAlignment="1" applyProtection="1">
      <alignment horizontal="left" vertical="center"/>
    </xf>
    <xf numFmtId="168" fontId="3" fillId="0" borderId="0" xfId="7" applyNumberFormat="1" applyFont="1" applyBorder="1" applyAlignment="1" applyProtection="1">
      <alignment horizontal="left" vertical="center"/>
    </xf>
    <xf numFmtId="168" fontId="15" fillId="0" borderId="4" xfId="7" applyNumberFormat="1" applyFont="1" applyBorder="1" applyAlignment="1" applyProtection="1">
      <alignment horizontal="center" vertical="center" wrapText="1"/>
    </xf>
    <xf numFmtId="168" fontId="15" fillId="0" borderId="1" xfId="7" applyNumberFormat="1" applyFont="1" applyBorder="1" applyAlignment="1" applyProtection="1">
      <alignment horizontal="center" vertical="center" wrapText="1"/>
    </xf>
    <xf numFmtId="168" fontId="15" fillId="0" borderId="9" xfId="7" applyNumberFormat="1" applyFont="1" applyBorder="1" applyAlignment="1" applyProtection="1">
      <alignment horizontal="left" vertical="center"/>
    </xf>
    <xf numFmtId="168" fontId="15" fillId="0" borderId="10" xfId="7" applyNumberFormat="1" applyFont="1" applyBorder="1" applyAlignment="1" applyProtection="1">
      <alignment horizontal="left" vertical="center"/>
    </xf>
    <xf numFmtId="168" fontId="3" fillId="0" borderId="1" xfId="7" applyNumberFormat="1" applyFont="1" applyFill="1" applyBorder="1" applyAlignment="1" applyProtection="1">
      <alignment horizontal="left" vertical="center" wrapText="1"/>
    </xf>
    <xf numFmtId="168" fontId="3" fillId="0" borderId="14" xfId="7" applyNumberFormat="1" applyFont="1" applyFill="1" applyBorder="1" applyAlignment="1" applyProtection="1">
      <alignment horizontal="left" vertical="center" wrapText="1"/>
    </xf>
    <xf numFmtId="0" fontId="15" fillId="0" borderId="9" xfId="7" applyFont="1" applyBorder="1" applyAlignment="1" applyProtection="1">
      <alignment horizontal="left" vertical="center"/>
    </xf>
    <xf numFmtId="0" fontId="15" fillId="0" borderId="10" xfId="7" applyFont="1" applyBorder="1" applyAlignment="1" applyProtection="1">
      <alignment horizontal="left" vertical="center"/>
    </xf>
    <xf numFmtId="0" fontId="11" fillId="4" borderId="4" xfId="7" applyNumberFormat="1" applyFont="1" applyFill="1" applyBorder="1" applyAlignment="1" applyProtection="1">
      <alignment horizontal="left" vertical="center" indent="2"/>
    </xf>
    <xf numFmtId="0" fontId="11" fillId="4" borderId="8" xfId="7" applyNumberFormat="1" applyFont="1" applyFill="1" applyBorder="1" applyAlignment="1" applyProtection="1">
      <alignment horizontal="left" vertical="center" indent="2"/>
    </xf>
    <xf numFmtId="49" fontId="13" fillId="5" borderId="4" xfId="1" applyNumberFormat="1" applyFont="1" applyFill="1" applyBorder="1" applyAlignment="1">
      <alignment horizontal="center" vertical="center" shrinkToFit="1"/>
    </xf>
    <xf numFmtId="49" fontId="13" fillId="5" borderId="8" xfId="1" applyNumberFormat="1" applyFont="1" applyFill="1" applyBorder="1" applyAlignment="1">
      <alignment horizontal="center" vertical="center" shrinkToFit="1"/>
    </xf>
    <xf numFmtId="49" fontId="13" fillId="5" borderId="5" xfId="1" applyNumberFormat="1" applyFont="1" applyFill="1" applyBorder="1" applyAlignment="1">
      <alignment horizontal="center" vertical="center" shrinkToFit="1"/>
    </xf>
    <xf numFmtId="0" fontId="3" fillId="0" borderId="11" xfId="7" applyFont="1" applyBorder="1" applyAlignment="1" applyProtection="1">
      <alignment horizontal="left" indent="2"/>
    </xf>
    <xf numFmtId="0" fontId="3" fillId="0" borderId="1" xfId="7" applyFont="1" applyBorder="1" applyAlignment="1" applyProtection="1">
      <alignment horizontal="left" indent="2"/>
    </xf>
    <xf numFmtId="168" fontId="3" fillId="0" borderId="9" xfId="7" applyNumberFormat="1" applyFont="1" applyBorder="1" applyAlignment="1" applyProtection="1">
      <alignment horizontal="left" indent="1"/>
    </xf>
    <xf numFmtId="168" fontId="3" fillId="0" borderId="0" xfId="7" applyNumberFormat="1" applyFont="1" applyBorder="1" applyAlignment="1" applyProtection="1">
      <alignment horizontal="left" indent="1"/>
    </xf>
    <xf numFmtId="168" fontId="3" fillId="0" borderId="9" xfId="7" applyNumberFormat="1" applyFont="1" applyBorder="1" applyAlignment="1" applyProtection="1">
      <alignment horizontal="left" indent="2"/>
    </xf>
    <xf numFmtId="168" fontId="3" fillId="0" borderId="0" xfId="7" applyNumberFormat="1" applyFont="1" applyBorder="1" applyAlignment="1" applyProtection="1">
      <alignment horizontal="left" indent="2"/>
    </xf>
    <xf numFmtId="168" fontId="3" fillId="0" borderId="11" xfId="7" applyNumberFormat="1" applyFont="1" applyBorder="1" applyAlignment="1" applyProtection="1">
      <alignment horizontal="left" indent="2"/>
    </xf>
    <xf numFmtId="168" fontId="3" fillId="0" borderId="1" xfId="7" applyNumberFormat="1" applyFont="1" applyBorder="1" applyAlignment="1" applyProtection="1">
      <alignment horizontal="left" indent="2"/>
    </xf>
    <xf numFmtId="168" fontId="16" fillId="3" borderId="4" xfId="7" applyNumberFormat="1" applyFont="1" applyFill="1" applyBorder="1" applyAlignment="1" applyProtection="1">
      <alignment horizontal="left" vertical="center" indent="1"/>
      <protection locked="0"/>
    </xf>
    <xf numFmtId="168" fontId="16" fillId="3" borderId="5" xfId="7" applyNumberFormat="1" applyFont="1" applyFill="1" applyBorder="1" applyAlignment="1" applyProtection="1">
      <alignment horizontal="left" vertical="center" indent="1"/>
      <protection locked="0"/>
    </xf>
    <xf numFmtId="168" fontId="16" fillId="3" borderId="8" xfId="7" applyNumberFormat="1" applyFont="1" applyFill="1" applyBorder="1" applyAlignment="1" applyProtection="1">
      <alignment horizontal="left" vertical="center" indent="1"/>
      <protection locked="0"/>
    </xf>
    <xf numFmtId="38" fontId="15" fillId="12" borderId="6" xfId="7" applyNumberFormat="1" applyFont="1" applyFill="1" applyBorder="1" applyAlignment="1" applyProtection="1">
      <alignment horizontal="center" vertical="center" wrapText="1"/>
    </xf>
    <xf numFmtId="38" fontId="15" fillId="12" borderId="7" xfId="7" applyNumberFormat="1" applyFont="1" applyFill="1" applyBorder="1" applyAlignment="1" applyProtection="1">
      <alignment horizontal="center" vertical="center" wrapText="1"/>
    </xf>
    <xf numFmtId="38" fontId="15" fillId="12" borderId="15" xfId="7" applyNumberFormat="1" applyFont="1" applyFill="1" applyBorder="1" applyAlignment="1" applyProtection="1">
      <alignment horizontal="center" vertical="center" wrapText="1"/>
    </xf>
    <xf numFmtId="38" fontId="15" fillId="12" borderId="11" xfId="7" applyNumberFormat="1" applyFont="1" applyFill="1" applyBorder="1" applyAlignment="1" applyProtection="1">
      <alignment horizontal="center" vertical="center" wrapText="1"/>
    </xf>
    <xf numFmtId="38" fontId="15" fillId="12" borderId="1" xfId="7" applyNumberFormat="1" applyFont="1" applyFill="1" applyBorder="1" applyAlignment="1" applyProtection="1">
      <alignment horizontal="center" vertical="center" wrapText="1"/>
    </xf>
    <xf numFmtId="38" fontId="15" fillId="12" borderId="14" xfId="7" applyNumberFormat="1" applyFont="1" applyFill="1" applyBorder="1" applyAlignment="1" applyProtection="1">
      <alignment horizontal="center" vertical="center" wrapText="1"/>
    </xf>
    <xf numFmtId="0" fontId="30" fillId="0" borderId="6" xfId="7" applyFont="1" applyBorder="1" applyAlignment="1" applyProtection="1">
      <alignment horizontal="center" vertical="center"/>
    </xf>
    <xf numFmtId="0" fontId="30" fillId="0" borderId="7" xfId="7" applyFont="1" applyBorder="1" applyAlignment="1" applyProtection="1">
      <alignment horizontal="center" vertical="center"/>
    </xf>
    <xf numFmtId="0" fontId="30" fillId="0" borderId="15" xfId="7" applyFont="1" applyBorder="1" applyAlignment="1" applyProtection="1">
      <alignment horizontal="center" vertical="center"/>
    </xf>
    <xf numFmtId="0" fontId="30" fillId="0" borderId="11" xfId="7" applyFont="1" applyBorder="1" applyAlignment="1" applyProtection="1">
      <alignment horizontal="center" vertical="center"/>
    </xf>
    <xf numFmtId="0" fontId="30" fillId="0" borderId="1" xfId="7" applyFont="1" applyBorder="1" applyAlignment="1" applyProtection="1">
      <alignment horizontal="center" vertical="center"/>
    </xf>
    <xf numFmtId="0" fontId="30" fillId="0" borderId="14" xfId="7" applyFont="1" applyBorder="1" applyAlignment="1" applyProtection="1">
      <alignment horizontal="center" vertical="center"/>
    </xf>
    <xf numFmtId="49" fontId="3" fillId="6" borderId="4" xfId="7" applyNumberFormat="1" applyFont="1" applyFill="1" applyBorder="1" applyAlignment="1" applyProtection="1">
      <alignment horizontal="left"/>
    </xf>
    <xf numFmtId="49" fontId="3" fillId="6" borderId="8" xfId="7" applyNumberFormat="1" applyFont="1" applyFill="1" applyBorder="1" applyAlignment="1" applyProtection="1">
      <alignment horizontal="left"/>
    </xf>
    <xf numFmtId="0" fontId="3" fillId="0" borderId="9" xfId="7" applyFont="1" applyFill="1" applyBorder="1" applyAlignment="1" applyProtection="1">
      <alignment horizontal="center"/>
    </xf>
    <xf numFmtId="0" fontId="3" fillId="0" borderId="10" xfId="7" applyFont="1" applyFill="1" applyBorder="1" applyAlignment="1" applyProtection="1">
      <alignment horizontal="center"/>
    </xf>
    <xf numFmtId="168" fontId="3" fillId="0" borderId="10" xfId="7" applyNumberFormat="1" applyFont="1" applyBorder="1" applyAlignment="1" applyProtection="1">
      <alignment horizontal="left" indent="1"/>
    </xf>
    <xf numFmtId="49" fontId="3" fillId="0" borderId="9" xfId="7" applyNumberFormat="1" applyFont="1" applyBorder="1" applyAlignment="1" applyProtection="1">
      <alignment horizontal="left"/>
    </xf>
    <xf numFmtId="49" fontId="3" fillId="0" borderId="10" xfId="7" applyNumberFormat="1" applyFont="1" applyBorder="1" applyAlignment="1" applyProtection="1">
      <alignment horizontal="left"/>
    </xf>
    <xf numFmtId="168" fontId="3" fillId="0" borderId="10" xfId="7" applyNumberFormat="1" applyFont="1" applyBorder="1" applyAlignment="1" applyProtection="1">
      <alignment horizontal="left" indent="2"/>
    </xf>
    <xf numFmtId="168" fontId="3" fillId="0" borderId="11" xfId="7" applyNumberFormat="1" applyFont="1" applyBorder="1" applyAlignment="1" applyProtection="1">
      <alignment horizontal="left" indent="1"/>
    </xf>
    <xf numFmtId="168" fontId="3" fillId="0" borderId="14" xfId="7" applyNumberFormat="1" applyFont="1" applyBorder="1" applyAlignment="1" applyProtection="1">
      <alignment horizontal="left" indent="1"/>
    </xf>
    <xf numFmtId="0" fontId="37" fillId="0" borderId="0" xfId="7" applyFont="1" applyBorder="1" applyAlignment="1" applyProtection="1">
      <alignment horizontal="center" vertical="center" wrapText="1"/>
    </xf>
    <xf numFmtId="0" fontId="37" fillId="0" borderId="9" xfId="7" applyFont="1" applyBorder="1" applyAlignment="1" applyProtection="1">
      <alignment horizontal="center" vertical="center"/>
    </xf>
    <xf numFmtId="0" fontId="37" fillId="0" borderId="0" xfId="7" applyFont="1" applyBorder="1" applyAlignment="1" applyProtection="1">
      <alignment horizontal="center" vertical="center"/>
    </xf>
    <xf numFmtId="0" fontId="36" fillId="0" borderId="9" xfId="7" applyFont="1" applyBorder="1" applyAlignment="1" applyProtection="1">
      <alignment horizontal="center" vertical="center"/>
    </xf>
    <xf numFmtId="0" fontId="36" fillId="0" borderId="0" xfId="7" applyFont="1" applyBorder="1" applyAlignment="1" applyProtection="1">
      <alignment horizontal="center" vertical="center"/>
    </xf>
    <xf numFmtId="0" fontId="3" fillId="8" borderId="9" xfId="7" applyFont="1" applyFill="1" applyBorder="1" applyAlignment="1" applyProtection="1">
      <alignment horizontal="center"/>
    </xf>
    <xf numFmtId="0" fontId="3" fillId="8" borderId="10" xfId="7" applyFont="1" applyFill="1" applyBorder="1" applyAlignment="1" applyProtection="1">
      <alignment horizontal="center"/>
    </xf>
    <xf numFmtId="0" fontId="3" fillId="0" borderId="9" xfId="7" applyFont="1" applyBorder="1" applyAlignment="1" applyProtection="1">
      <alignment horizontal="left" indent="1"/>
    </xf>
    <xf numFmtId="0" fontId="3" fillId="0" borderId="0" xfId="7" applyFont="1" applyBorder="1" applyAlignment="1" applyProtection="1">
      <alignment horizontal="left" indent="1"/>
    </xf>
    <xf numFmtId="49" fontId="3" fillId="0" borderId="9" xfId="7" applyNumberFormat="1" applyFont="1" applyBorder="1" applyAlignment="1" applyProtection="1">
      <alignment horizontal="left" vertical="center"/>
    </xf>
    <xf numFmtId="49" fontId="3" fillId="0" borderId="10" xfId="7" applyNumberFormat="1" applyFont="1" applyBorder="1" applyAlignment="1" applyProtection="1">
      <alignment horizontal="left" vertical="center"/>
    </xf>
    <xf numFmtId="168" fontId="15" fillId="0" borderId="6" xfId="7" applyNumberFormat="1" applyFont="1" applyBorder="1" applyAlignment="1" applyProtection="1">
      <alignment horizontal="center" vertical="center" wrapText="1"/>
    </xf>
    <xf numFmtId="168" fontId="15" fillId="0" borderId="15" xfId="7" applyNumberFormat="1" applyFont="1" applyBorder="1" applyAlignment="1" applyProtection="1">
      <alignment horizontal="center" vertical="center" wrapText="1"/>
    </xf>
    <xf numFmtId="168" fontId="15" fillId="0" borderId="11" xfId="7" applyNumberFormat="1" applyFont="1" applyBorder="1" applyAlignment="1" applyProtection="1">
      <alignment horizontal="center" vertical="center" wrapText="1"/>
    </xf>
    <xf numFmtId="168" fontId="15" fillId="0" borderId="14" xfId="7" applyNumberFormat="1" applyFont="1" applyBorder="1" applyAlignment="1" applyProtection="1">
      <alignment horizontal="center" vertical="center" wrapText="1"/>
    </xf>
    <xf numFmtId="0" fontId="14" fillId="0" borderId="7" xfId="7" applyFont="1" applyBorder="1" applyAlignment="1" applyProtection="1">
      <alignment horizontal="center"/>
    </xf>
    <xf numFmtId="0" fontId="14" fillId="0" borderId="15" xfId="7" applyFont="1" applyBorder="1" applyAlignment="1" applyProtection="1">
      <alignment horizont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0" fillId="0" borderId="18" xfId="0" applyNumberFormat="1" applyBorder="1"/>
    <xf numFmtId="0" fontId="45" fillId="0" borderId="18" xfId="0" applyNumberFormat="1" applyFont="1" applyBorder="1" applyAlignment="1">
      <alignment vertical="top"/>
    </xf>
    <xf numFmtId="40" fontId="45" fillId="0" borderId="18" xfId="0" applyNumberFormat="1" applyFont="1" applyBorder="1" applyAlignment="1">
      <alignment vertical="top"/>
    </xf>
    <xf numFmtId="0" fontId="0" fillId="15" borderId="0" xfId="0" applyFill="1" applyAlignment="1">
      <alignment horizontal="center"/>
    </xf>
    <xf numFmtId="40" fontId="0" fillId="0" borderId="0" xfId="0" applyNumberFormat="1"/>
    <xf numFmtId="0" fontId="0" fillId="16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0" fillId="18" borderId="0" xfId="0" applyFill="1" applyAlignment="1">
      <alignment horizontal="center"/>
    </xf>
    <xf numFmtId="0" fontId="0" fillId="19" borderId="0" xfId="0" applyFill="1" applyAlignment="1">
      <alignment horizontal="center"/>
    </xf>
    <xf numFmtId="0" fontId="46" fillId="0" borderId="0" xfId="0" applyFont="1"/>
    <xf numFmtId="0" fontId="47" fillId="0" borderId="0" xfId="0" applyFont="1"/>
    <xf numFmtId="40" fontId="29" fillId="20" borderId="19" xfId="0" applyNumberFormat="1" applyFont="1" applyFill="1" applyBorder="1"/>
    <xf numFmtId="0" fontId="46" fillId="21" borderId="0" xfId="0" applyFont="1" applyFill="1"/>
    <xf numFmtId="0" fontId="48" fillId="0" borderId="0" xfId="0" applyFont="1"/>
    <xf numFmtId="0" fontId="49" fillId="0" borderId="0" xfId="0" applyFont="1"/>
    <xf numFmtId="40" fontId="0" fillId="22" borderId="0" xfId="0" applyNumberFormat="1" applyFill="1"/>
    <xf numFmtId="40" fontId="0" fillId="23" borderId="0" xfId="0" applyNumberFormat="1" applyFill="1"/>
    <xf numFmtId="40" fontId="46" fillId="24" borderId="0" xfId="0" applyNumberFormat="1" applyFont="1" applyFill="1"/>
    <xf numFmtId="8" fontId="46" fillId="24" borderId="0" xfId="0" applyNumberFormat="1" applyFont="1" applyFill="1"/>
    <xf numFmtId="43" fontId="0" fillId="0" borderId="0" xfId="0" applyNumberFormat="1"/>
    <xf numFmtId="43" fontId="0" fillId="22" borderId="0" xfId="0" applyNumberFormat="1" applyFill="1"/>
    <xf numFmtId="43" fontId="0" fillId="23" borderId="0" xfId="0" applyNumberFormat="1" applyFill="1"/>
  </cellXfs>
  <cellStyles count="8">
    <cellStyle name="Comma" xfId="5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1" xr:uid="{00000000-0005-0000-0000-000004000000}"/>
    <cellStyle name="Normal_Revised B-6" xfId="7" xr:uid="{00000000-0005-0000-0000-000005000000}"/>
    <cellStyle name="Percent" xfId="6" builtinId="5"/>
    <cellStyle name="Percent 2" xfId="4" xr:uid="{00000000-0005-0000-0000-000007000000}"/>
  </cellStyles>
  <dxfs count="19"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8"/>
      <tableStyleElement type="headerRow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3DCF1-BC7A-4BEF-BA72-590F15DA4442}">
  <sheetPr>
    <pageSetUpPr fitToPage="1"/>
  </sheetPr>
  <dimension ref="A1:CP80"/>
  <sheetViews>
    <sheetView showGridLines="0" tabSelected="1" zoomScaleNormal="100" workbookViewId="0">
      <selection activeCell="C8" sqref="C8:N16"/>
    </sheetView>
  </sheetViews>
  <sheetFormatPr defaultColWidth="9.109375" defaultRowHeight="15.6" x14ac:dyDescent="0.3"/>
  <cols>
    <col min="1" max="1" width="7.88671875" style="124" customWidth="1"/>
    <col min="2" max="2" width="7.6640625" style="125" customWidth="1"/>
    <col min="3" max="3" width="9" style="125" customWidth="1"/>
    <col min="4" max="4" width="39.33203125" style="53" customWidth="1"/>
    <col min="5" max="5" width="13" style="126" customWidth="1"/>
    <col min="6" max="6" width="12.33203125" style="127" customWidth="1"/>
    <col min="7" max="7" width="12.109375" style="127" bestFit="1" customWidth="1"/>
    <col min="8" max="8" width="14.5546875" style="127" customWidth="1"/>
    <col min="9" max="9" width="19.5546875" style="128" bestFit="1" customWidth="1"/>
    <col min="10" max="10" width="13.6640625" style="129" customWidth="1"/>
    <col min="11" max="11" width="13.6640625" style="129" hidden="1" customWidth="1"/>
    <col min="12" max="12" width="18.44140625" style="129" customWidth="1"/>
    <col min="13" max="13" width="16.44140625" style="129" customWidth="1"/>
    <col min="14" max="14" width="16.109375" style="128" customWidth="1"/>
    <col min="15" max="25" width="16.109375" customWidth="1"/>
    <col min="26" max="26" width="16.109375" style="344" customWidth="1"/>
    <col min="27" max="27" width="22.109375" style="334" bestFit="1" customWidth="1"/>
    <col min="28" max="28" width="31.109375" style="334" bestFit="1" customWidth="1"/>
    <col min="29" max="29" width="7.88671875" style="334" bestFit="1" customWidth="1"/>
    <col min="30" max="30" width="9.109375" style="110" customWidth="1"/>
    <col min="31" max="94" width="9.109375" style="17"/>
    <col min="95" max="16384" width="9.109375" style="18"/>
  </cols>
  <sheetData>
    <row r="1" spans="1:94" x14ac:dyDescent="0.3">
      <c r="A1" s="12" t="s">
        <v>13</v>
      </c>
      <c r="B1" s="13"/>
      <c r="C1" s="13"/>
      <c r="D1" s="14" t="s">
        <v>359</v>
      </c>
      <c r="E1" s="15"/>
      <c r="F1" s="15"/>
      <c r="G1" s="15"/>
      <c r="H1" s="15"/>
      <c r="I1" s="15"/>
      <c r="J1" s="15"/>
      <c r="K1" s="15"/>
      <c r="L1" s="16" t="s">
        <v>14</v>
      </c>
      <c r="M1" s="399">
        <v>215</v>
      </c>
      <c r="N1" s="400"/>
      <c r="AA1" s="364"/>
      <c r="AB1" s="333"/>
      <c r="AC1" s="333"/>
      <c r="AD1" s="325"/>
    </row>
    <row r="2" spans="1:94" ht="21" x14ac:dyDescent="0.3">
      <c r="A2" s="19" t="s">
        <v>116</v>
      </c>
      <c r="B2" s="20"/>
      <c r="C2" s="20"/>
      <c r="D2" s="14" t="s">
        <v>360</v>
      </c>
      <c r="E2" s="21"/>
      <c r="F2" s="21"/>
      <c r="G2" s="21"/>
      <c r="H2" s="21"/>
      <c r="I2" s="21"/>
      <c r="J2" s="20"/>
      <c r="K2" s="20"/>
      <c r="L2" s="22" t="s">
        <v>113</v>
      </c>
      <c r="M2" s="401" t="s">
        <v>363</v>
      </c>
      <c r="N2" s="402"/>
      <c r="AA2" s="333"/>
      <c r="AB2" s="333"/>
      <c r="AC2" s="333"/>
      <c r="AD2" s="325"/>
    </row>
    <row r="3" spans="1:94" x14ac:dyDescent="0.3">
      <c r="A3" s="19" t="s">
        <v>117</v>
      </c>
      <c r="B3" s="20"/>
      <c r="C3" s="20"/>
      <c r="D3" s="23" t="s">
        <v>360</v>
      </c>
      <c r="E3" s="24"/>
      <c r="F3" s="25"/>
      <c r="G3" s="25"/>
      <c r="H3" s="25"/>
      <c r="I3" s="26"/>
      <c r="J3" s="20"/>
      <c r="K3" s="20"/>
      <c r="L3" s="22" t="s">
        <v>114</v>
      </c>
      <c r="M3" s="399" t="s">
        <v>167</v>
      </c>
      <c r="N3" s="400"/>
      <c r="AA3" s="364"/>
      <c r="AB3" s="333"/>
      <c r="AC3" s="333"/>
      <c r="AD3" s="325"/>
    </row>
    <row r="4" spans="1:94" x14ac:dyDescent="0.3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399">
        <v>2023</v>
      </c>
      <c r="N4" s="400"/>
      <c r="AA4" s="364"/>
      <c r="AB4" s="333"/>
      <c r="AC4" s="333"/>
      <c r="AD4" s="325"/>
    </row>
    <row r="5" spans="1:94" s="34" customFormat="1" ht="18" customHeight="1" x14ac:dyDescent="0.3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01" t="s">
        <v>361</v>
      </c>
      <c r="J5" s="403"/>
      <c r="K5" s="403"/>
      <c r="L5" s="402"/>
      <c r="M5" s="352" t="s">
        <v>115</v>
      </c>
      <c r="N5" s="32" t="s">
        <v>362</v>
      </c>
      <c r="O5"/>
      <c r="P5"/>
      <c r="Q5"/>
      <c r="R5"/>
      <c r="S5"/>
      <c r="T5"/>
      <c r="U5"/>
      <c r="V5"/>
      <c r="W5"/>
      <c r="X5"/>
      <c r="Y5"/>
      <c r="Z5" s="344"/>
      <c r="AA5" s="364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3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64"/>
      <c r="AB6" s="333"/>
      <c r="AC6" s="333"/>
      <c r="AD6" s="325"/>
    </row>
    <row r="7" spans="1:94" x14ac:dyDescent="0.3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3">
      <c r="A8" s="48" t="s">
        <v>20</v>
      </c>
      <c r="B8" s="370" t="s">
        <v>21</v>
      </c>
      <c r="C8" s="386" t="s">
        <v>22</v>
      </c>
      <c r="D8" s="387"/>
      <c r="E8" s="370" t="s">
        <v>23</v>
      </c>
      <c r="F8" s="49" t="s">
        <v>24</v>
      </c>
      <c r="G8" s="50" t="str">
        <f>"FY "&amp;'SWCC|0001-00'!FiscalYear-1&amp;" SALARY"</f>
        <v>FY 2022 SALARY</v>
      </c>
      <c r="H8" s="50" t="str">
        <f>"FY "&amp;'SWCC|0001-00'!FiscalYear-1&amp;" HEALTH BENEFITS"</f>
        <v>FY 2022 HEALTH BENEFITS</v>
      </c>
      <c r="I8" s="50" t="str">
        <f>"FY "&amp;'SWCC|0001-00'!FiscalYear-1&amp;" VAR BENEFITS"</f>
        <v>FY 2022 VAR BENEFITS</v>
      </c>
      <c r="J8" s="50" t="str">
        <f>"FY "&amp;'SWCC|0001-00'!FiscalYear-1&amp;" TOTAL"</f>
        <v>FY 2022 TOTAL</v>
      </c>
      <c r="K8" s="50" t="str">
        <f>"FY "&amp;'SWCC|0001-00'!FiscalYear&amp;" SALARY CHANGE"</f>
        <v>FY 2023 SALARY CHANGE</v>
      </c>
      <c r="L8" s="50" t="str">
        <f>"FY "&amp;'SWCC|0001-00'!FiscalYear&amp;" CHG HEALTH BENEFITS"</f>
        <v>FY 2023 CHG HEALTH BENEFITS</v>
      </c>
      <c r="M8" s="50" t="str">
        <f>"FY "&amp;'SWCC|0001-00'!FiscalYear&amp;"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37" t="s">
        <v>105</v>
      </c>
      <c r="AB8" s="437"/>
      <c r="AC8" s="437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3">
      <c r="A9" s="139"/>
      <c r="B9" s="140"/>
      <c r="C9" s="388" t="s">
        <v>26</v>
      </c>
      <c r="D9" s="389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4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3">
      <c r="A10" s="139"/>
      <c r="B10" s="139"/>
      <c r="C10" s="384" t="s">
        <v>27</v>
      </c>
      <c r="D10" s="390"/>
      <c r="E10" s="217">
        <v>1</v>
      </c>
      <c r="F10" s="288">
        <f>[0]!SWCC000100col_INC_FTI</f>
        <v>12.3925</v>
      </c>
      <c r="G10" s="218">
        <f>[0]!SWCC000100col_FTI_SALARY_PERM</f>
        <v>677112.59000000008</v>
      </c>
      <c r="H10" s="218">
        <f>[0]!SWCC000100col_HEALTH_PERM</f>
        <v>147139.5</v>
      </c>
      <c r="I10" s="218">
        <f>[0]!SWCC000100col_TOT_VB_PERM</f>
        <v>153806.12481850001</v>
      </c>
      <c r="J10" s="219">
        <f>SUM(G10:I10)</f>
        <v>978058.2148185001</v>
      </c>
      <c r="K10" s="219">
        <f>[0]!SWCC000100col_1_27TH_PP</f>
        <v>0</v>
      </c>
      <c r="L10" s="218">
        <f>[0]!SWCC000100col_HEALTH_PERM_CHG</f>
        <v>0</v>
      </c>
      <c r="M10" s="218">
        <f>[0]!SWCC000100col_TOT_VB_PERM_CHG</f>
        <v>-4468.9430939999984</v>
      </c>
      <c r="N10" s="218">
        <f>SUM(L10:M10)</f>
        <v>-4468.9430939999984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6800</v>
      </c>
      <c r="AB10" s="335">
        <f>ROUND(PermVarBen*CECPerm+(CECPerm*PermVarBenChg),-2)</f>
        <v>1500</v>
      </c>
      <c r="AC10" s="335">
        <f>SUM(AA10:AB10)</f>
        <v>8300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3">
      <c r="A11" s="139"/>
      <c r="B11" s="139"/>
      <c r="C11" s="384" t="s">
        <v>28</v>
      </c>
      <c r="D11" s="390"/>
      <c r="E11" s="217">
        <v>2</v>
      </c>
      <c r="F11" s="288"/>
      <c r="G11" s="218">
        <f>[0]!SWCC000100col_Group_Salary</f>
        <v>5724</v>
      </c>
      <c r="H11" s="218">
        <v>0</v>
      </c>
      <c r="I11" s="218">
        <f>[0]!SWCC000100col_Group_Ben</f>
        <v>467.59999999999997</v>
      </c>
      <c r="J11" s="219">
        <f>SUM(G11:I11)</f>
        <v>6191.6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100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3">
      <c r="A12" s="139"/>
      <c r="B12" s="139"/>
      <c r="C12" s="384" t="s">
        <v>29</v>
      </c>
      <c r="D12" s="385"/>
      <c r="E12" s="217">
        <v>3</v>
      </c>
      <c r="F12" s="288">
        <f>[0]!SWCC000100col_TOTAL_ELECT_PCN_FTI</f>
        <v>0</v>
      </c>
      <c r="G12" s="218">
        <f>[0]!SWCC000100col_FTI_SALARY_ELECT</f>
        <v>0</v>
      </c>
      <c r="H12" s="218">
        <f>[0]!SWCC000100col_HEALTH_ELECT</f>
        <v>0</v>
      </c>
      <c r="I12" s="218">
        <f>[0]!SWCC000100col_TOT_VB_ELECT</f>
        <v>0</v>
      </c>
      <c r="J12" s="219">
        <f>SUM(G12:I12)</f>
        <v>0</v>
      </c>
      <c r="K12" s="268"/>
      <c r="L12" s="218">
        <f>[0]!SWCC000100col_HEALTH_ELECT_CHG</f>
        <v>0</v>
      </c>
      <c r="M12" s="218">
        <f>[0]!SWCC000100col_TOT_VB_ELECT_CHG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3">
      <c r="A13" s="139"/>
      <c r="B13" s="139"/>
      <c r="C13" s="384" t="s">
        <v>30</v>
      </c>
      <c r="D13" s="390"/>
      <c r="E13" s="217"/>
      <c r="F13" s="220">
        <f>SUM(F10:F12)</f>
        <v>12.3925</v>
      </c>
      <c r="G13" s="221">
        <f>SUM(G10:G12)</f>
        <v>682836.59000000008</v>
      </c>
      <c r="H13" s="221">
        <f>SUM(H10:H12)</f>
        <v>147139.5</v>
      </c>
      <c r="I13" s="221">
        <f>SUM(I10:I12)</f>
        <v>154273.72481850002</v>
      </c>
      <c r="J13" s="219">
        <f>SUM(G13:I13)</f>
        <v>984249.81481850008</v>
      </c>
      <c r="K13" s="268"/>
      <c r="L13" s="219">
        <f>SUM(L10:L12)</f>
        <v>0</v>
      </c>
      <c r="M13" s="219">
        <f>SUM(M10:M12)</f>
        <v>-4468.9430939999984</v>
      </c>
      <c r="N13" s="219">
        <f>SUM(N10:N12)</f>
        <v>-4468.9430939999984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" customHeight="1" x14ac:dyDescent="0.3">
      <c r="A14" s="139"/>
      <c r="B14" s="139"/>
      <c r="C14" s="365"/>
      <c r="D14" s="371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3">
      <c r="A15" s="139"/>
      <c r="B15" s="156"/>
      <c r="C15" s="157" t="str">
        <f>"FY "&amp;'SWCC|0001-00'!FiscalYear-1</f>
        <v>FY 2022</v>
      </c>
      <c r="D15" s="158" t="s">
        <v>31</v>
      </c>
      <c r="E15" s="355">
        <v>1302500</v>
      </c>
      <c r="F15" s="55">
        <v>15.62</v>
      </c>
      <c r="G15" s="223">
        <f>IF(OrigApprop=0,0,(G13/$J$13)*OrigApprop)</f>
        <v>903626.95027685456</v>
      </c>
      <c r="H15" s="223">
        <f>IF(OrigApprop=0,0,(H13/$J$13)*OrigApprop)</f>
        <v>194716.011996752</v>
      </c>
      <c r="I15" s="223">
        <f>IF(G15=0,0,(I13/$J$13)*OrigApprop)</f>
        <v>204157.03772639344</v>
      </c>
      <c r="J15" s="223">
        <f>SUM(G15:I15)</f>
        <v>1302500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3">
      <c r="A16" s="139"/>
      <c r="B16" s="139"/>
      <c r="C16" s="391" t="s">
        <v>32</v>
      </c>
      <c r="D16" s="392"/>
      <c r="E16" s="160" t="s">
        <v>33</v>
      </c>
      <c r="F16" s="161">
        <f>F15-F13</f>
        <v>3.2274999999999991</v>
      </c>
      <c r="G16" s="162">
        <f>G15-G13</f>
        <v>220790.36027685448</v>
      </c>
      <c r="H16" s="162">
        <f>H15-H13</f>
        <v>47576.511996752</v>
      </c>
      <c r="I16" s="162">
        <f>I15-I13</f>
        <v>49883.312907893414</v>
      </c>
      <c r="J16" s="162">
        <f>J15-J13</f>
        <v>318250.18518149992</v>
      </c>
      <c r="K16" s="269"/>
      <c r="L16" s="56" t="str">
        <f>IF('SWCC|0001-00'!OrigApprop=0,"ERROR! Enter Original Appropriation amount in DU 3.00!","Calculated "&amp;IF('SWCC|0001-00'!AdjustedTotal&gt;0,"overfunding ","underfunding ")&amp;"is "&amp;TEXT('SWCC|0001-00'!AdjustedTotal/'SWCC|0001-00'!AppropTotal,"#.0%;(#.0% );0% ;")&amp;" of Original Appropriation")</f>
        <v>Calculated overfunding is 24.4%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3">
      <c r="A17" s="139"/>
      <c r="B17" s="139"/>
      <c r="C17" s="393" t="s">
        <v>34</v>
      </c>
      <c r="D17" s="394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3">
      <c r="A18" s="139"/>
      <c r="B18" s="168"/>
      <c r="C18" s="395" t="s">
        <v>35</v>
      </c>
      <c r="D18" s="396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6.4" x14ac:dyDescent="0.3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4"/>
      <c r="AB19" s="364"/>
      <c r="AC19" s="364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4.4" x14ac:dyDescent="0.3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4"/>
      <c r="AB20" s="364"/>
      <c r="AC20" s="364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4.4" x14ac:dyDescent="0.3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4"/>
      <c r="AB21" s="364"/>
      <c r="AC21" s="364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4.4" x14ac:dyDescent="0.3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4"/>
      <c r="AB22" s="364"/>
      <c r="AC22" s="364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4.4" x14ac:dyDescent="0.3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4"/>
      <c r="AB23" s="364"/>
      <c r="AC23" s="364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4.4" x14ac:dyDescent="0.3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4"/>
      <c r="AC24" s="364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4.4" x14ac:dyDescent="0.3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4"/>
      <c r="AC25" s="364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4.4" x14ac:dyDescent="0.3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4"/>
      <c r="AC26" s="364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4.4" x14ac:dyDescent="0.3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4"/>
      <c r="AB27" s="364"/>
      <c r="AC27" s="364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4.4" x14ac:dyDescent="0.3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4"/>
      <c r="AB28" s="364"/>
      <c r="AC28" s="364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4.4" x14ac:dyDescent="0.3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4"/>
      <c r="AB29" s="364"/>
      <c r="AC29" s="364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4.4" x14ac:dyDescent="0.3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4"/>
      <c r="AB30" s="364"/>
      <c r="AC30" s="364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4.4" x14ac:dyDescent="0.3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4"/>
      <c r="AB31" s="364"/>
      <c r="AC31" s="364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4.4" x14ac:dyDescent="0.3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4"/>
      <c r="AB32" s="364"/>
      <c r="AC32" s="364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4.4" x14ac:dyDescent="0.3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4"/>
      <c r="AB33" s="364"/>
      <c r="AC33" s="364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4.4" x14ac:dyDescent="0.3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4"/>
      <c r="AB34" s="364"/>
      <c r="AC34" s="364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4.4" x14ac:dyDescent="0.3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4"/>
      <c r="AB35" s="364"/>
      <c r="AC35" s="364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4.4" x14ac:dyDescent="0.3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4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3">
      <c r="A37" s="139"/>
      <c r="B37" s="188"/>
      <c r="C37" s="397" t="s">
        <v>37</v>
      </c>
      <c r="D37" s="398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38" t="s">
        <v>107</v>
      </c>
      <c r="AB37" s="439"/>
      <c r="AC37" s="439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4.4" x14ac:dyDescent="0.3">
      <c r="A38" s="139"/>
      <c r="B38" s="188"/>
      <c r="C38" s="384" t="str">
        <f>perm_name</f>
        <v>Permanent Positions</v>
      </c>
      <c r="D38" s="385"/>
      <c r="E38" s="189">
        <v>1</v>
      </c>
      <c r="F38" s="190">
        <f>SUMIF($E9:$E35,$E38,$F9:$F35)</f>
        <v>12.3925</v>
      </c>
      <c r="G38" s="191">
        <f>SUMIF($E10:$E35,$E38,$G10:$G35)</f>
        <v>677112.59000000008</v>
      </c>
      <c r="H38" s="192">
        <f>SUMIF($E10:$E35,$E38,$H10:$H35)</f>
        <v>147139.5</v>
      </c>
      <c r="I38" s="192">
        <f>SUMIF($E10:$E35,$E38,$I10:$I35)</f>
        <v>153806.12481850001</v>
      </c>
      <c r="J38" s="192">
        <f>SUM(G38:I38)</f>
        <v>978058.2148185001</v>
      </c>
      <c r="K38" s="166"/>
      <c r="L38" s="191">
        <f>SUMIF($E10:$E35,$E38,$L10:$L35)</f>
        <v>0</v>
      </c>
      <c r="M38" s="192">
        <f>SUMIF($E10:$E35,$E38,$M10:$M35)</f>
        <v>-4468.9430939999984</v>
      </c>
      <c r="N38" s="192">
        <f>SUM(L38:M38)</f>
        <v>-4468.9430939999984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6800</v>
      </c>
      <c r="AB38" s="338">
        <f>ROUND((AdjPermVB*CECPerm+AdjPermVBBY*CECPerm),-2)</f>
        <v>1500</v>
      </c>
      <c r="AC38" s="338">
        <f>SUM(AA38:AB38)</f>
        <v>8300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4.4" x14ac:dyDescent="0.3">
      <c r="A39" s="139"/>
      <c r="B39" s="188"/>
      <c r="C39" s="384" t="str">
        <f>Group_name</f>
        <v>Board &amp; Group Positions</v>
      </c>
      <c r="D39" s="385"/>
      <c r="E39" s="189">
        <v>2</v>
      </c>
      <c r="F39" s="151">
        <f>SUMIF($E9:$E35,$E39,$F9:$F35)</f>
        <v>0</v>
      </c>
      <c r="G39" s="193">
        <f>SUMIF($E10:$E35,$E39,$G10:$G35)</f>
        <v>5724</v>
      </c>
      <c r="H39" s="152">
        <f>SUMIF($E10:$E35,$E39,$H10:$H35)</f>
        <v>0</v>
      </c>
      <c r="I39" s="152">
        <f>SUMIF($E10:$E35,$E39,$I10:$I35)</f>
        <v>467.59999999999997</v>
      </c>
      <c r="J39" s="152">
        <f>SUM(G39:I39)</f>
        <v>6191.6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100</v>
      </c>
      <c r="AB39" s="338">
        <f>ROUND(AdjGroupVB*CECGroup,-2)</f>
        <v>0</v>
      </c>
      <c r="AC39" s="338">
        <f>SUM(AA39:AB39)</f>
        <v>100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4.4" x14ac:dyDescent="0.3">
      <c r="A40" s="139"/>
      <c r="B40" s="188"/>
      <c r="C40" s="365" t="str">
        <f>Elect_name</f>
        <v>Elected Officials &amp; Full Time Commissioners</v>
      </c>
      <c r="D40" s="366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4"/>
      <c r="AB40" s="364"/>
      <c r="AC40" s="364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4.4" x14ac:dyDescent="0.3">
      <c r="A41" s="139"/>
      <c r="B41" s="188"/>
      <c r="C41" s="384" t="s">
        <v>38</v>
      </c>
      <c r="D41" s="385"/>
      <c r="E41" s="189"/>
      <c r="F41" s="161">
        <f>SUM(F38:F40)</f>
        <v>12.3925</v>
      </c>
      <c r="G41" s="195">
        <f>SUM($G$38:$G$40)</f>
        <v>682836.59000000008</v>
      </c>
      <c r="H41" s="162">
        <f>SUM($H$38:$H$40)</f>
        <v>147139.5</v>
      </c>
      <c r="I41" s="162">
        <f>SUM($I$38:$I$40)</f>
        <v>154273.72481850002</v>
      </c>
      <c r="J41" s="162">
        <f>SUM($J$38:$J$40)</f>
        <v>984249.81481850008</v>
      </c>
      <c r="K41" s="259"/>
      <c r="L41" s="195">
        <f>SUM($L$38:$L$40)</f>
        <v>0</v>
      </c>
      <c r="M41" s="162">
        <f>SUM($M$38:$M$40)</f>
        <v>-4468.9430939999984</v>
      </c>
      <c r="N41" s="162">
        <f>SUM(L41:M41)</f>
        <v>-4468.9430939999984</v>
      </c>
      <c r="O41"/>
      <c r="P41"/>
      <c r="Q41"/>
      <c r="R41"/>
      <c r="S41"/>
      <c r="T41"/>
      <c r="U41"/>
      <c r="V41"/>
      <c r="W41"/>
      <c r="X41"/>
      <c r="Y41"/>
      <c r="Z41" s="344"/>
      <c r="AA41" s="364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3">
      <c r="A42" s="139"/>
      <c r="B42" s="188"/>
      <c r="C42" s="446"/>
      <c r="D42" s="447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4"/>
      <c r="AB42" s="364"/>
      <c r="AC42" s="364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3">
      <c r="A43" s="139"/>
      <c r="B43" s="202"/>
      <c r="C43" s="448" t="s">
        <v>39</v>
      </c>
      <c r="D43" s="449"/>
      <c r="E43" s="203" t="s">
        <v>40</v>
      </c>
      <c r="F43" s="205">
        <f>ROUND(F51-F41,2)</f>
        <v>3.23</v>
      </c>
      <c r="G43" s="206">
        <f>ROUND(G51-G41,-2)</f>
        <v>220800</v>
      </c>
      <c r="H43" s="159">
        <f>ROUND(H51-H41,-2)</f>
        <v>47600</v>
      </c>
      <c r="I43" s="159">
        <f>ROUND(I51-I41,-2)</f>
        <v>49900</v>
      </c>
      <c r="J43" s="159">
        <f>SUM(G43:I43)</f>
        <v>318300</v>
      </c>
      <c r="K43" s="412" t="str">
        <f>IF(E51=0,"ERROR! Enter Original Appropriation amount in DU 3.00!","Calculated "&amp;IF(J43&gt;0,"overfunding ","underfunding ")&amp;"is "&amp;TEXT(J43/J51,"#.0%;(#.0% );0% ;")&amp;" of Original Appropriation")</f>
        <v>Calculated overfunding is 24.4% of Original Appropriation</v>
      </c>
      <c r="L43" s="413"/>
      <c r="M43" s="413"/>
      <c r="N43" s="414"/>
      <c r="O43"/>
      <c r="P43"/>
      <c r="Q43"/>
      <c r="R43"/>
      <c r="S43"/>
      <c r="T43"/>
      <c r="U43"/>
      <c r="V43"/>
      <c r="W43"/>
      <c r="X43"/>
      <c r="Y43"/>
      <c r="Z43" s="344"/>
      <c r="AA43" s="440" t="s">
        <v>108</v>
      </c>
      <c r="AB43" s="441"/>
      <c r="AC43" s="441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3">
      <c r="A44" s="139"/>
      <c r="B44" s="202"/>
      <c r="C44" s="450"/>
      <c r="D44" s="451"/>
      <c r="E44" s="204" t="s">
        <v>41</v>
      </c>
      <c r="F44" s="205">
        <f>ROUND(F60-F41,2)</f>
        <v>3.23</v>
      </c>
      <c r="G44" s="206">
        <f>ROUND(G60-G41,-2)</f>
        <v>220800</v>
      </c>
      <c r="H44" s="159">
        <f>ROUND(H60-H41,-2)</f>
        <v>47600</v>
      </c>
      <c r="I44" s="159">
        <f>ROUND(I60-I41,-2)</f>
        <v>49900</v>
      </c>
      <c r="J44" s="159">
        <f>SUM(G44:I44)</f>
        <v>318300</v>
      </c>
      <c r="K44" s="412" t="str">
        <f>IF(E51=0,"ERROR! Enter Original Appropriation amount in DU 3.00!","Calculated "&amp;IF(J44&gt;0,"overfunding ","underfunding ")&amp;"is "&amp;TEXT(J44/J60,"#.0%;(#.0% );0% ;")&amp;" of Estimated Expenditures")</f>
        <v>Calculated overfunding is 24.4% of Estimated Expenditures</v>
      </c>
      <c r="L44" s="413"/>
      <c r="M44" s="413"/>
      <c r="N44" s="414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3">
      <c r="A45" s="139"/>
      <c r="B45" s="202"/>
      <c r="C45" s="215"/>
      <c r="D45" s="215"/>
      <c r="E45" s="204" t="s">
        <v>99</v>
      </c>
      <c r="F45" s="205">
        <f>ROUND(F67-F41-F63,2)</f>
        <v>3.23</v>
      </c>
      <c r="G45" s="206">
        <f>ROUND(G67-G41-G63,-2)</f>
        <v>220800</v>
      </c>
      <c r="H45" s="206">
        <f>ROUND(H67-H41-H63,-2)</f>
        <v>47600</v>
      </c>
      <c r="I45" s="206">
        <f>ROUND(I67-I41-I63,-2)</f>
        <v>49900</v>
      </c>
      <c r="J45" s="159">
        <f>SUM(G45:I45)</f>
        <v>318300</v>
      </c>
      <c r="K45" s="412" t="str">
        <f>IF(J67=0,"Program has a zero base",IF(E51=0,"ERROR! Enter Original Appropriation amount in DU 3.00!","Calculated "&amp;IF(J45&gt;0,"overfunding ","underfunding ")&amp;"is "&amp;TEXT(J45/J67,"#.0%;(#.0% );0% ;")&amp;" of the Base"))</f>
        <v>Calculated overfunding is 24.4% of the Base</v>
      </c>
      <c r="L45" s="413"/>
      <c r="M45" s="413"/>
      <c r="N45" s="414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3">
      <c r="A46" s="139"/>
      <c r="B46" s="202"/>
      <c r="C46" s="215"/>
      <c r="D46" s="215"/>
      <c r="E46" s="421" t="s">
        <v>100</v>
      </c>
      <c r="F46" s="422"/>
      <c r="G46" s="422"/>
      <c r="H46" s="422"/>
      <c r="I46" s="422"/>
      <c r="J46" s="423"/>
      <c r="K46" s="415" t="str">
        <f>IF(OR(J45&lt;0,F45&lt;0),"You may not have sufficient funding or authorized FTP, and may need to make additional adjustments to finalize this form.  Please contact both your DFM and LSO analysts.","")</f>
        <v/>
      </c>
      <c r="L46" s="416"/>
      <c r="M46" s="416"/>
      <c r="N46" s="417"/>
      <c r="O46"/>
      <c r="P46"/>
      <c r="Q46"/>
      <c r="R46"/>
      <c r="S46"/>
      <c r="T46"/>
      <c r="U46"/>
      <c r="V46"/>
      <c r="W46"/>
      <c r="X46"/>
      <c r="Y46"/>
      <c r="Z46" s="344"/>
      <c r="AA46" s="364"/>
      <c r="AB46" s="364"/>
      <c r="AC46" s="364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3">
      <c r="A47" s="139"/>
      <c r="B47" s="202"/>
      <c r="C47" s="215"/>
      <c r="D47" s="215"/>
      <c r="E47" s="424"/>
      <c r="F47" s="425"/>
      <c r="G47" s="425"/>
      <c r="H47" s="425"/>
      <c r="I47" s="425"/>
      <c r="J47" s="426"/>
      <c r="K47" s="418"/>
      <c r="L47" s="419"/>
      <c r="M47" s="419"/>
      <c r="N47" s="420"/>
      <c r="O47"/>
      <c r="P47"/>
      <c r="Q47"/>
      <c r="R47"/>
      <c r="S47"/>
      <c r="T47"/>
      <c r="U47"/>
      <c r="V47"/>
      <c r="W47"/>
      <c r="X47"/>
      <c r="Y47"/>
      <c r="Z47" s="344"/>
      <c r="AA47" s="364"/>
      <c r="AB47" s="364"/>
      <c r="AC47" s="364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3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3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4"/>
      <c r="AB49" s="364"/>
      <c r="AC49" s="364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3">
      <c r="A50" s="257" t="s">
        <v>42</v>
      </c>
      <c r="B50" s="71"/>
      <c r="C50" s="452"/>
      <c r="D50" s="453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4"/>
      <c r="AB50" s="364"/>
      <c r="AC50" s="364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3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1302500</v>
      </c>
      <c r="F51" s="272">
        <f>AppropFTP</f>
        <v>15.62</v>
      </c>
      <c r="G51" s="274">
        <f>IF(E51=0,0,(G41/$J$41)*$E$51)</f>
        <v>903626.95027685456</v>
      </c>
      <c r="H51" s="274">
        <f>IF(E51=0,0,(H41/$J$41)*$E$51)</f>
        <v>194716.011996752</v>
      </c>
      <c r="I51" s="275">
        <f>IF(E51=0,0,(I41/$J$41)*$E$51)</f>
        <v>204157.03772639344</v>
      </c>
      <c r="J51" s="90">
        <f>SUM(G51:I51)</f>
        <v>1302500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4"/>
      <c r="AC51" s="364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3">
      <c r="A52" s="82"/>
      <c r="B52" s="83"/>
      <c r="C52" s="84"/>
      <c r="D52" s="132" t="s">
        <v>46</v>
      </c>
      <c r="E52" s="133"/>
      <c r="F52" s="55">
        <f>F51</f>
        <v>15.62</v>
      </c>
      <c r="G52" s="79">
        <f>ROUND(G51,-2)</f>
        <v>903600</v>
      </c>
      <c r="H52" s="79">
        <f>ROUND(H51,-2)</f>
        <v>194700</v>
      </c>
      <c r="I52" s="266">
        <f>ROUND(I51,-2)</f>
        <v>204200</v>
      </c>
      <c r="J52" s="80">
        <f>ROUND(J51,-2)</f>
        <v>1302500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4"/>
      <c r="AC52" s="364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4.4" x14ac:dyDescent="0.3">
      <c r="A53" s="85"/>
      <c r="B53" s="83"/>
      <c r="C53" s="444" t="s">
        <v>47</v>
      </c>
      <c r="D53" s="445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4"/>
      <c r="AB53" s="364"/>
      <c r="AC53" s="364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3">
      <c r="A54" s="85">
        <v>4.1100000000000003</v>
      </c>
      <c r="B54" s="83"/>
      <c r="C54" s="408" t="s">
        <v>48</v>
      </c>
      <c r="D54" s="409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4"/>
      <c r="AB54" s="364"/>
      <c r="AC54" s="364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3">
      <c r="A55" s="85">
        <v>4.3099999999999996</v>
      </c>
      <c r="B55" s="83"/>
      <c r="C55" s="410" t="s">
        <v>49</v>
      </c>
      <c r="D55" s="411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4"/>
      <c r="AB55" s="364"/>
      <c r="AC55" s="364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3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15.62</v>
      </c>
      <c r="G56" s="80">
        <f>SUM(G52:G55)</f>
        <v>903600</v>
      </c>
      <c r="H56" s="80">
        <f>SUM(H52:H55)</f>
        <v>194700</v>
      </c>
      <c r="I56" s="260">
        <f>SUM(I52:I55)</f>
        <v>204200</v>
      </c>
      <c r="J56" s="80">
        <f>SUM(J52:J55)</f>
        <v>1302500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4"/>
      <c r="AB56" s="364"/>
      <c r="AC56" s="364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3">
      <c r="A57" s="85"/>
      <c r="B57" s="83"/>
      <c r="C57" s="406" t="s">
        <v>51</v>
      </c>
      <c r="D57" s="407"/>
      <c r="E57" s="368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4"/>
      <c r="AB57" s="364"/>
      <c r="AC57" s="364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3">
      <c r="A58" s="85">
        <v>6.31</v>
      </c>
      <c r="B58" s="83"/>
      <c r="C58" s="408" t="s">
        <v>52</v>
      </c>
      <c r="D58" s="409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4"/>
      <c r="AB58" s="364"/>
      <c r="AC58" s="364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3">
      <c r="A59" s="85">
        <v>6.51</v>
      </c>
      <c r="B59" s="83"/>
      <c r="C59" s="410" t="s">
        <v>66</v>
      </c>
      <c r="D59" s="411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4"/>
      <c r="AB59" s="364"/>
      <c r="AC59" s="364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3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15.62</v>
      </c>
      <c r="G60" s="80">
        <f>SUM(G56:G59)</f>
        <v>903600</v>
      </c>
      <c r="H60" s="80">
        <f>SUM(H56:H59)</f>
        <v>194700</v>
      </c>
      <c r="I60" s="260">
        <f>SUM(I56:I59)</f>
        <v>204200</v>
      </c>
      <c r="J60" s="80">
        <f>SUM(J56:J59)</f>
        <v>1302500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4"/>
      <c r="AB60" s="364"/>
      <c r="AC60" s="364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3">
      <c r="A61" s="85"/>
      <c r="B61" s="83"/>
      <c r="C61" s="406" t="s">
        <v>54</v>
      </c>
      <c r="D61" s="407"/>
      <c r="E61" s="368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4"/>
      <c r="AB61" s="364"/>
      <c r="AC61" s="364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3">
      <c r="A62" s="85">
        <v>8.31</v>
      </c>
      <c r="B62" s="83"/>
      <c r="C62" s="408" t="s">
        <v>67</v>
      </c>
      <c r="D62" s="409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4"/>
      <c r="AB62" s="364"/>
      <c r="AC62" s="364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3">
      <c r="A63" s="85">
        <v>8.41</v>
      </c>
      <c r="B63" s="83"/>
      <c r="C63" s="408" t="s">
        <v>55</v>
      </c>
      <c r="D63" s="409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4"/>
      <c r="AB63" s="364"/>
      <c r="AC63" s="364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5">
      <c r="A64" s="93">
        <v>8.51</v>
      </c>
      <c r="B64" s="93"/>
      <c r="C64" s="404" t="s">
        <v>56</v>
      </c>
      <c r="D64" s="405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4"/>
      <c r="AB64" s="364"/>
      <c r="AC64" s="364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3">
      <c r="A65" s="94"/>
      <c r="B65" s="95"/>
      <c r="C65" s="442"/>
      <c r="D65" s="443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4"/>
      <c r="AB65" s="364"/>
      <c r="AC65" s="364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4.4" x14ac:dyDescent="0.3">
      <c r="A66" s="100"/>
      <c r="B66" s="101"/>
      <c r="C66" s="429"/>
      <c r="D66" s="430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4.4" x14ac:dyDescent="0.3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15.62</v>
      </c>
      <c r="G67" s="80">
        <f>SUM(G60:G64)</f>
        <v>903600</v>
      </c>
      <c r="H67" s="80">
        <f>SUM(H60:H64)</f>
        <v>194700</v>
      </c>
      <c r="I67" s="80">
        <f>SUM(I60:I64)</f>
        <v>204200</v>
      </c>
      <c r="J67" s="80">
        <f>SUM(J60:J64)</f>
        <v>1302500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4"/>
      <c r="AB67" s="364"/>
      <c r="AC67" s="364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3">
      <c r="A68" s="85">
        <v>10.11</v>
      </c>
      <c r="B68" s="83"/>
      <c r="C68" s="406" t="s">
        <v>58</v>
      </c>
      <c r="D68" s="431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4"/>
      <c r="AB68" s="364"/>
      <c r="AC68" s="364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4.4" x14ac:dyDescent="0.3">
      <c r="A69" s="85">
        <v>10.119999999999999</v>
      </c>
      <c r="B69" s="83"/>
      <c r="C69" s="406" t="s">
        <v>59</v>
      </c>
      <c r="D69" s="431"/>
      <c r="E69" s="112"/>
      <c r="F69" s="288"/>
      <c r="G69" s="113"/>
      <c r="H69" s="113"/>
      <c r="I69" s="113">
        <f>IF(DUNine=0,0,ROUND(SUM(M41:M64),-2))</f>
        <v>-4500</v>
      </c>
      <c r="J69" s="287">
        <f>SUM(G69:I69)</f>
        <v>-4500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4"/>
      <c r="AB69" s="364"/>
      <c r="AC69" s="364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4.4" x14ac:dyDescent="0.3">
      <c r="A70" s="85"/>
      <c r="B70" s="83"/>
      <c r="C70" s="432"/>
      <c r="D70" s="433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4"/>
      <c r="AB70" s="364"/>
      <c r="AC70" s="364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3">
      <c r="A71" s="85">
        <v>10.51</v>
      </c>
      <c r="B71" s="83"/>
      <c r="C71" s="408" t="s">
        <v>60</v>
      </c>
      <c r="D71" s="409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4"/>
      <c r="AB71" s="364"/>
      <c r="AC71" s="364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3">
      <c r="A72" s="85">
        <v>10.61</v>
      </c>
      <c r="B72" s="83"/>
      <c r="C72" s="408" t="s">
        <v>101</v>
      </c>
      <c r="D72" s="434"/>
      <c r="E72" s="290">
        <f>CECPerm</f>
        <v>0.01</v>
      </c>
      <c r="F72" s="288"/>
      <c r="G72" s="356">
        <f>IF(DUNine=0,0,IF(DUNine&lt;0,0,ROUND(AdjPermSalary*CECPerm,-2)))</f>
        <v>6800</v>
      </c>
      <c r="H72" s="287"/>
      <c r="I72" s="287">
        <f>ROUND(($G72*PermVBBY+$G72*Retire1BY),-2)</f>
        <v>1500</v>
      </c>
      <c r="J72" s="113">
        <f>SUM(G72:I72)</f>
        <v>8300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4"/>
      <c r="AB72" s="364"/>
      <c r="AC72" s="364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3">
      <c r="A73" s="85">
        <v>10.62</v>
      </c>
      <c r="B73" s="83"/>
      <c r="C73" s="408" t="s">
        <v>61</v>
      </c>
      <c r="D73" s="434"/>
      <c r="E73" s="289">
        <f>CECGroup</f>
        <v>0.01</v>
      </c>
      <c r="F73" s="288"/>
      <c r="G73" s="356">
        <f>IF(DUNine=0,0,IF(DUNine&lt;0,0,ROUND(AdjGroupSalary*CECGroup,-2)))</f>
        <v>100</v>
      </c>
      <c r="H73" s="287"/>
      <c r="I73" s="287">
        <f>ROUND(($G73*GroupVBBY),-2)</f>
        <v>0</v>
      </c>
      <c r="J73" s="113">
        <f t="shared" si="11"/>
        <v>100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4"/>
      <c r="AB73" s="364"/>
      <c r="AC73" s="364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3">
      <c r="A74" s="85">
        <v>10.63</v>
      </c>
      <c r="B74" s="83"/>
      <c r="C74" s="367" t="s">
        <v>62</v>
      </c>
      <c r="D74" s="369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4"/>
      <c r="AB74" s="364"/>
      <c r="AC74" s="364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3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15.62</v>
      </c>
      <c r="G75" s="80">
        <f>SUM(G67:G74)</f>
        <v>910500</v>
      </c>
      <c r="H75" s="80">
        <f>SUM(H67:H74)</f>
        <v>194700</v>
      </c>
      <c r="I75" s="80">
        <f>SUM(I67:I74)</f>
        <v>201200</v>
      </c>
      <c r="J75" s="80">
        <f>SUM(J67:K74)</f>
        <v>1306400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4"/>
      <c r="AB75" s="364"/>
      <c r="AC75" s="364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3">
      <c r="A76" s="85"/>
      <c r="B76" s="83"/>
      <c r="C76" s="435" t="s">
        <v>64</v>
      </c>
      <c r="D76" s="436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4"/>
      <c r="AB76" s="364"/>
      <c r="AC76" s="364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4.4" x14ac:dyDescent="0.3">
      <c r="A77" s="116">
        <v>12.01</v>
      </c>
      <c r="B77" s="57"/>
      <c r="C77" s="427"/>
      <c r="D77" s="428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4"/>
      <c r="AB77" s="364"/>
      <c r="AC77" s="364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4.4" x14ac:dyDescent="0.3">
      <c r="A78" s="116">
        <v>12.02</v>
      </c>
      <c r="B78" s="57"/>
      <c r="C78" s="427"/>
      <c r="D78" s="428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4"/>
      <c r="AB78" s="364"/>
      <c r="AC78" s="364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4.4" x14ac:dyDescent="0.3">
      <c r="A79" s="116">
        <v>12.03</v>
      </c>
      <c r="B79" s="57" t="s">
        <v>45</v>
      </c>
      <c r="C79" s="427"/>
      <c r="D79" s="428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4"/>
      <c r="AB79" s="364"/>
      <c r="AC79" s="364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3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15.62</v>
      </c>
      <c r="G80" s="80">
        <f>SUM(G75:G79)</f>
        <v>910500</v>
      </c>
      <c r="H80" s="80">
        <f>SUM(H75:H79)</f>
        <v>194700</v>
      </c>
      <c r="I80" s="80">
        <f>SUM(I75:I79)</f>
        <v>201200</v>
      </c>
      <c r="J80" s="80">
        <f>SUM(J75:J79)</f>
        <v>1306400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4"/>
      <c r="AB80" s="364"/>
      <c r="AC80" s="364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78:D78"/>
    <mergeCell ref="C79:D79"/>
    <mergeCell ref="C70:D70"/>
    <mergeCell ref="C71:D71"/>
    <mergeCell ref="C72:D72"/>
    <mergeCell ref="C73:D73"/>
    <mergeCell ref="C76:D76"/>
    <mergeCell ref="C77:D77"/>
    <mergeCell ref="C63:D63"/>
    <mergeCell ref="C64:D64"/>
    <mergeCell ref="C65:D65"/>
    <mergeCell ref="C66:D66"/>
    <mergeCell ref="C68:D68"/>
    <mergeCell ref="C69:D69"/>
    <mergeCell ref="C55:D55"/>
    <mergeCell ref="C57:D57"/>
    <mergeCell ref="C58:D58"/>
    <mergeCell ref="C59:D59"/>
    <mergeCell ref="C61:D61"/>
    <mergeCell ref="C62:D62"/>
    <mergeCell ref="K45:N45"/>
    <mergeCell ref="E46:J47"/>
    <mergeCell ref="K46:N47"/>
    <mergeCell ref="C50:D50"/>
    <mergeCell ref="C53:D53"/>
    <mergeCell ref="C54:D54"/>
    <mergeCell ref="C39:D39"/>
    <mergeCell ref="C41:D41"/>
    <mergeCell ref="C42:D42"/>
    <mergeCell ref="C43:D44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AA8:AC8"/>
    <mergeCell ref="C9:D9"/>
    <mergeCell ref="C10:D10"/>
    <mergeCell ref="C11:D11"/>
    <mergeCell ref="C12:D12"/>
    <mergeCell ref="C13:D13"/>
    <mergeCell ref="M1:N1"/>
    <mergeCell ref="M2:N2"/>
    <mergeCell ref="M3:N3"/>
    <mergeCell ref="M4:N4"/>
    <mergeCell ref="I5:L5"/>
    <mergeCell ref="C8:D8"/>
  </mergeCells>
  <conditionalFormatting sqref="K44">
    <cfRule type="expression" dxfId="16" priority="5">
      <formula>$J$44&lt;0</formula>
    </cfRule>
  </conditionalFormatting>
  <conditionalFormatting sqref="K43">
    <cfRule type="expression" dxfId="15" priority="4">
      <formula>$J$43&lt;0</formula>
    </cfRule>
  </conditionalFormatting>
  <conditionalFormatting sqref="L16">
    <cfRule type="expression" dxfId="14" priority="3">
      <formula>$J$16&lt;0</formula>
    </cfRule>
  </conditionalFormatting>
  <conditionalFormatting sqref="K45">
    <cfRule type="expression" dxfId="13" priority="2">
      <formula>$J$44&lt;0</formula>
    </cfRule>
  </conditionalFormatting>
  <conditionalFormatting sqref="K43:N45">
    <cfRule type="containsText" dxfId="12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FE1D1EF-53E1-4D58-9373-BB785DDC3360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8F855-BD37-4CD2-8B3F-DB58EB9056FA}">
  <sheetPr>
    <pageSetUpPr fitToPage="1"/>
  </sheetPr>
  <dimension ref="A1:CP80"/>
  <sheetViews>
    <sheetView showGridLines="0" zoomScaleNormal="100" workbookViewId="0">
      <selection activeCell="C8" sqref="C8:N16"/>
    </sheetView>
  </sheetViews>
  <sheetFormatPr defaultColWidth="9.109375" defaultRowHeight="15.6" x14ac:dyDescent="0.3"/>
  <cols>
    <col min="1" max="1" width="7.88671875" style="124" customWidth="1"/>
    <col min="2" max="2" width="7.6640625" style="125" customWidth="1"/>
    <col min="3" max="3" width="9" style="125" customWidth="1"/>
    <col min="4" max="4" width="39.33203125" style="53" customWidth="1"/>
    <col min="5" max="5" width="13" style="126" customWidth="1"/>
    <col min="6" max="6" width="12.33203125" style="127" customWidth="1"/>
    <col min="7" max="7" width="12.109375" style="127" bestFit="1" customWidth="1"/>
    <col min="8" max="8" width="14.5546875" style="127" customWidth="1"/>
    <col min="9" max="9" width="19.5546875" style="128" bestFit="1" customWidth="1"/>
    <col min="10" max="10" width="13.6640625" style="129" customWidth="1"/>
    <col min="11" max="11" width="13.6640625" style="129" hidden="1" customWidth="1"/>
    <col min="12" max="12" width="18.44140625" style="129" customWidth="1"/>
    <col min="13" max="13" width="16.44140625" style="129" customWidth="1"/>
    <col min="14" max="14" width="16.109375" style="128" customWidth="1"/>
    <col min="15" max="25" width="16.109375" customWidth="1"/>
    <col min="26" max="26" width="16.109375" style="344" customWidth="1"/>
    <col min="27" max="27" width="22.109375" style="334" bestFit="1" customWidth="1"/>
    <col min="28" max="28" width="31.109375" style="334" bestFit="1" customWidth="1"/>
    <col min="29" max="29" width="7.88671875" style="334" bestFit="1" customWidth="1"/>
    <col min="30" max="30" width="9.109375" style="110" customWidth="1"/>
    <col min="31" max="94" width="9.109375" style="17"/>
    <col min="95" max="16384" width="9.109375" style="18"/>
  </cols>
  <sheetData>
    <row r="1" spans="1:94" x14ac:dyDescent="0.3">
      <c r="A1" s="12" t="s">
        <v>13</v>
      </c>
      <c r="B1" s="13"/>
      <c r="C1" s="13"/>
      <c r="D1" s="14" t="s">
        <v>359</v>
      </c>
      <c r="E1" s="15"/>
      <c r="F1" s="15"/>
      <c r="G1" s="15"/>
      <c r="H1" s="15"/>
      <c r="I1" s="15"/>
      <c r="J1" s="15"/>
      <c r="K1" s="15"/>
      <c r="L1" s="16" t="s">
        <v>14</v>
      </c>
      <c r="M1" s="399">
        <v>215</v>
      </c>
      <c r="N1" s="400"/>
      <c r="AA1" s="364"/>
      <c r="AB1" s="333"/>
      <c r="AC1" s="333"/>
      <c r="AD1" s="325"/>
    </row>
    <row r="2" spans="1:94" ht="21" x14ac:dyDescent="0.3">
      <c r="A2" s="19" t="s">
        <v>116</v>
      </c>
      <c r="B2" s="20"/>
      <c r="C2" s="20"/>
      <c r="D2" s="14" t="s">
        <v>360</v>
      </c>
      <c r="E2" s="21"/>
      <c r="F2" s="21"/>
      <c r="G2" s="21"/>
      <c r="H2" s="21"/>
      <c r="I2" s="21"/>
      <c r="J2" s="20"/>
      <c r="K2" s="20"/>
      <c r="L2" s="22" t="s">
        <v>113</v>
      </c>
      <c r="M2" s="401" t="s">
        <v>369</v>
      </c>
      <c r="N2" s="402"/>
      <c r="AA2" s="333"/>
      <c r="AB2" s="333"/>
      <c r="AC2" s="333"/>
      <c r="AD2" s="325"/>
    </row>
    <row r="3" spans="1:94" x14ac:dyDescent="0.3">
      <c r="A3" s="19" t="s">
        <v>117</v>
      </c>
      <c r="B3" s="20"/>
      <c r="C3" s="20"/>
      <c r="D3" s="23" t="s">
        <v>360</v>
      </c>
      <c r="E3" s="24"/>
      <c r="F3" s="25"/>
      <c r="G3" s="25"/>
      <c r="H3" s="25"/>
      <c r="I3" s="26"/>
      <c r="J3" s="20"/>
      <c r="K3" s="20"/>
      <c r="L3" s="22" t="s">
        <v>114</v>
      </c>
      <c r="M3" s="399" t="s">
        <v>167</v>
      </c>
      <c r="N3" s="400"/>
      <c r="AA3" s="364"/>
      <c r="AB3" s="333"/>
      <c r="AC3" s="333"/>
      <c r="AD3" s="325"/>
    </row>
    <row r="4" spans="1:94" x14ac:dyDescent="0.3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399">
        <v>2023</v>
      </c>
      <c r="N4" s="400"/>
      <c r="AA4" s="364"/>
      <c r="AB4" s="333"/>
      <c r="AC4" s="333"/>
      <c r="AD4" s="325"/>
    </row>
    <row r="5" spans="1:94" s="34" customFormat="1" ht="18" customHeight="1" x14ac:dyDescent="0.3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01" t="s">
        <v>367</v>
      </c>
      <c r="J5" s="403"/>
      <c r="K5" s="403"/>
      <c r="L5" s="402"/>
      <c r="M5" s="352" t="s">
        <v>115</v>
      </c>
      <c r="N5" s="32" t="s">
        <v>368</v>
      </c>
      <c r="O5"/>
      <c r="P5"/>
      <c r="Q5"/>
      <c r="R5"/>
      <c r="S5"/>
      <c r="T5"/>
      <c r="U5"/>
      <c r="V5"/>
      <c r="W5"/>
      <c r="X5"/>
      <c r="Y5"/>
      <c r="Z5" s="344"/>
      <c r="AA5" s="364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3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64"/>
      <c r="AB6" s="333"/>
      <c r="AC6" s="333"/>
      <c r="AD6" s="325"/>
    </row>
    <row r="7" spans="1:94" x14ac:dyDescent="0.3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3">
      <c r="A8" s="48" t="s">
        <v>20</v>
      </c>
      <c r="B8" s="370" t="s">
        <v>21</v>
      </c>
      <c r="C8" s="386" t="s">
        <v>22</v>
      </c>
      <c r="D8" s="387"/>
      <c r="E8" s="370" t="s">
        <v>23</v>
      </c>
      <c r="F8" s="49" t="s">
        <v>24</v>
      </c>
      <c r="G8" s="50" t="str">
        <f>"FY "&amp;'SWCC|0522-00'!FiscalYear-1&amp;" SALARY"</f>
        <v>FY 2022 SALARY</v>
      </c>
      <c r="H8" s="50" t="str">
        <f>"FY "&amp;'SWCC|0522-00'!FiscalYear-1&amp;" HEALTH BENEFITS"</f>
        <v>FY 2022 HEALTH BENEFITS</v>
      </c>
      <c r="I8" s="50" t="str">
        <f>"FY "&amp;'SWCC|0522-00'!FiscalYear-1&amp;" VAR BENEFITS"</f>
        <v>FY 2022 VAR BENEFITS</v>
      </c>
      <c r="J8" s="50" t="str">
        <f>"FY "&amp;'SWCC|0522-00'!FiscalYear-1&amp;" TOTAL"</f>
        <v>FY 2022 TOTAL</v>
      </c>
      <c r="K8" s="50" t="str">
        <f>"FY "&amp;'SWCC|0522-00'!FiscalYear&amp;" SALARY CHANGE"</f>
        <v>FY 2023 SALARY CHANGE</v>
      </c>
      <c r="L8" s="50" t="str">
        <f>"FY "&amp;'SWCC|0522-00'!FiscalYear&amp;" CHG HEALTH BENEFITS"</f>
        <v>FY 2023 CHG HEALTH BENEFITS</v>
      </c>
      <c r="M8" s="50" t="str">
        <f>"FY "&amp;'SWCC|0522-00'!FiscalYear&amp;"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37" t="s">
        <v>105</v>
      </c>
      <c r="AB8" s="437"/>
      <c r="AC8" s="437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3">
      <c r="A9" s="139"/>
      <c r="B9" s="140"/>
      <c r="C9" s="388" t="s">
        <v>26</v>
      </c>
      <c r="D9" s="389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4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3">
      <c r="A10" s="139"/>
      <c r="B10" s="139"/>
      <c r="C10" s="384" t="s">
        <v>27</v>
      </c>
      <c r="D10" s="390"/>
      <c r="E10" s="217">
        <v>1</v>
      </c>
      <c r="F10" s="288">
        <f>[0]!SWCC052200col_INC_FTI</f>
        <v>2.17</v>
      </c>
      <c r="G10" s="218">
        <f>[0]!SWCC052200col_FTI_SALARY_PERM</f>
        <v>115224.29999999999</v>
      </c>
      <c r="H10" s="218">
        <f>[0]!SWCC052200col_HEALTH_PERM</f>
        <v>25280.5</v>
      </c>
      <c r="I10" s="218">
        <f>[0]!SWCC052200col_TOT_VB_PERM</f>
        <v>26173.199745000005</v>
      </c>
      <c r="J10" s="219">
        <f>SUM(G10:I10)</f>
        <v>166677.99974499998</v>
      </c>
      <c r="K10" s="219">
        <f>[0]!SWCC052200col_1_27TH_PP</f>
        <v>0</v>
      </c>
      <c r="L10" s="218">
        <f>[0]!SWCC052200col_HEALTH_PERM_CHG</f>
        <v>0</v>
      </c>
      <c r="M10" s="218">
        <f>[0]!SWCC052200col_TOT_VB_PERM_CHG</f>
        <v>-760.48037999999974</v>
      </c>
      <c r="N10" s="218">
        <f>SUM(L10:M10)</f>
        <v>-760.48037999999974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1200</v>
      </c>
      <c r="AB10" s="335">
        <f>ROUND(PermVarBen*CECPerm+(CECPerm*PermVarBenChg),-2)</f>
        <v>300</v>
      </c>
      <c r="AC10" s="335">
        <f>SUM(AA10:AB10)</f>
        <v>1500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3">
      <c r="A11" s="139"/>
      <c r="B11" s="139"/>
      <c r="C11" s="384" t="s">
        <v>28</v>
      </c>
      <c r="D11" s="390"/>
      <c r="E11" s="217">
        <v>2</v>
      </c>
      <c r="F11" s="288"/>
      <c r="G11" s="218">
        <f>[0]!SWCC052200col_Group_Salary</f>
        <v>370</v>
      </c>
      <c r="H11" s="218">
        <v>0</v>
      </c>
      <c r="I11" s="218">
        <f>[0]!SWCC052200col_Group_Ben</f>
        <v>30.84</v>
      </c>
      <c r="J11" s="219">
        <f>SUM(G11:I11)</f>
        <v>400.84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3">
      <c r="A12" s="139"/>
      <c r="B12" s="139"/>
      <c r="C12" s="384" t="s">
        <v>29</v>
      </c>
      <c r="D12" s="385"/>
      <c r="E12" s="217">
        <v>3</v>
      </c>
      <c r="F12" s="288">
        <f>[0]!SWCC052200col_TOTAL_ELECT_PCN_FTI</f>
        <v>0</v>
      </c>
      <c r="G12" s="218">
        <f>[0]!SWCC052200col_FTI_SALARY_ELECT</f>
        <v>0</v>
      </c>
      <c r="H12" s="218">
        <f>[0]!SWCC052200col_HEALTH_ELECT</f>
        <v>0</v>
      </c>
      <c r="I12" s="218">
        <f>[0]!SWCC052200col_TOT_VB_ELECT</f>
        <v>0</v>
      </c>
      <c r="J12" s="219">
        <f>SUM(G12:I12)</f>
        <v>0</v>
      </c>
      <c r="K12" s="268"/>
      <c r="L12" s="218">
        <f>[0]!SWCC052200col_HEALTH_ELECT_CHG</f>
        <v>0</v>
      </c>
      <c r="M12" s="218">
        <f>[0]!SWCC052200col_TOT_VB_ELECT_CHG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3">
      <c r="A13" s="139"/>
      <c r="B13" s="139"/>
      <c r="C13" s="384" t="s">
        <v>30</v>
      </c>
      <c r="D13" s="390"/>
      <c r="E13" s="217"/>
      <c r="F13" s="220">
        <f>SUM(F10:F12)</f>
        <v>2.17</v>
      </c>
      <c r="G13" s="221">
        <f>SUM(G10:G12)</f>
        <v>115594.29999999999</v>
      </c>
      <c r="H13" s="221">
        <f>SUM(H10:H12)</f>
        <v>25280.5</v>
      </c>
      <c r="I13" s="221">
        <f>SUM(I10:I12)</f>
        <v>26204.039745000005</v>
      </c>
      <c r="J13" s="219">
        <f>SUM(G13:I13)</f>
        <v>167078.839745</v>
      </c>
      <c r="K13" s="268"/>
      <c r="L13" s="219">
        <f>SUM(L10:L12)</f>
        <v>0</v>
      </c>
      <c r="M13" s="219">
        <f>SUM(M10:M12)</f>
        <v>-760.48037999999974</v>
      </c>
      <c r="N13" s="219">
        <f>SUM(N10:N12)</f>
        <v>-760.48037999999974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" customHeight="1" x14ac:dyDescent="0.3">
      <c r="A14" s="139"/>
      <c r="B14" s="139"/>
      <c r="C14" s="365"/>
      <c r="D14" s="371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3">
      <c r="A15" s="139"/>
      <c r="B15" s="156"/>
      <c r="C15" s="157" t="str">
        <f>"FY "&amp;'SWCC|0522-00'!FiscalYear-1</f>
        <v>FY 2022</v>
      </c>
      <c r="D15" s="158" t="s">
        <v>31</v>
      </c>
      <c r="E15" s="355">
        <v>179100</v>
      </c>
      <c r="F15" s="55">
        <v>2.13</v>
      </c>
      <c r="G15" s="223">
        <f>IF(OrigApprop=0,0,(G13/$J$13)*OrigApprop)</f>
        <v>123911.19762141844</v>
      </c>
      <c r="H15" s="223">
        <f>IF(OrigApprop=0,0,(H13/$J$13)*OrigApprop)</f>
        <v>27099.407422928893</v>
      </c>
      <c r="I15" s="223">
        <f>IF(G15=0,0,(I13/$J$13)*OrigApprop)</f>
        <v>28089.39495565265</v>
      </c>
      <c r="J15" s="223">
        <f>SUM(G15:I15)</f>
        <v>179099.99999999997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3">
      <c r="A16" s="139"/>
      <c r="B16" s="139"/>
      <c r="C16" s="391" t="s">
        <v>32</v>
      </c>
      <c r="D16" s="392"/>
      <c r="E16" s="160" t="s">
        <v>33</v>
      </c>
      <c r="F16" s="161">
        <f>F15-F13</f>
        <v>-4.0000000000000036E-2</v>
      </c>
      <c r="G16" s="162">
        <f>G15-G13</f>
        <v>8316.8976214184513</v>
      </c>
      <c r="H16" s="162">
        <f>H15-H13</f>
        <v>1818.9074229288926</v>
      </c>
      <c r="I16" s="162">
        <f>I15-I13</f>
        <v>1885.355210652644</v>
      </c>
      <c r="J16" s="162">
        <f>J15-J13</f>
        <v>12021.160254999966</v>
      </c>
      <c r="K16" s="269"/>
      <c r="L16" s="56" t="str">
        <f>IF('SWCC|0522-00'!OrigApprop=0,"ERROR! Enter Original Appropriation amount in DU 3.00!","Calculated "&amp;IF('SWCC|0522-00'!AdjustedTotal&gt;0,"overfunding ","underfunding ")&amp;"is "&amp;TEXT('SWCC|0522-00'!AdjustedTotal/'SWCC|0522-00'!AppropTotal,"#.0%;(#.0% );0% ;")&amp;" of Original Appropriation")</f>
        <v>Calculated overfunding is 6.7%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3">
      <c r="A17" s="139"/>
      <c r="B17" s="139"/>
      <c r="C17" s="393" t="s">
        <v>34</v>
      </c>
      <c r="D17" s="394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3">
      <c r="A18" s="139"/>
      <c r="B18" s="168"/>
      <c r="C18" s="395" t="s">
        <v>35</v>
      </c>
      <c r="D18" s="396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6.4" x14ac:dyDescent="0.3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4"/>
      <c r="AB19" s="364"/>
      <c r="AC19" s="364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4.4" x14ac:dyDescent="0.3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4"/>
      <c r="AB20" s="364"/>
      <c r="AC20" s="364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4.4" x14ac:dyDescent="0.3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4"/>
      <c r="AB21" s="364"/>
      <c r="AC21" s="364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4.4" x14ac:dyDescent="0.3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4"/>
      <c r="AB22" s="364"/>
      <c r="AC22" s="364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4.4" x14ac:dyDescent="0.3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4"/>
      <c r="AB23" s="364"/>
      <c r="AC23" s="364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4.4" x14ac:dyDescent="0.3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4"/>
      <c r="AC24" s="364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4.4" x14ac:dyDescent="0.3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4"/>
      <c r="AC25" s="364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4.4" x14ac:dyDescent="0.3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4"/>
      <c r="AC26" s="364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4.4" x14ac:dyDescent="0.3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4"/>
      <c r="AB27" s="364"/>
      <c r="AC27" s="364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4.4" x14ac:dyDescent="0.3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4"/>
      <c r="AB28" s="364"/>
      <c r="AC28" s="364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4.4" x14ac:dyDescent="0.3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4"/>
      <c r="AB29" s="364"/>
      <c r="AC29" s="364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4.4" x14ac:dyDescent="0.3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4"/>
      <c r="AB30" s="364"/>
      <c r="AC30" s="364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4.4" x14ac:dyDescent="0.3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4"/>
      <c r="AB31" s="364"/>
      <c r="AC31" s="364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4.4" x14ac:dyDescent="0.3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4"/>
      <c r="AB32" s="364"/>
      <c r="AC32" s="364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4.4" x14ac:dyDescent="0.3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4"/>
      <c r="AB33" s="364"/>
      <c r="AC33" s="364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4.4" x14ac:dyDescent="0.3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4"/>
      <c r="AB34" s="364"/>
      <c r="AC34" s="364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4.4" x14ac:dyDescent="0.3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4"/>
      <c r="AB35" s="364"/>
      <c r="AC35" s="364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4.4" x14ac:dyDescent="0.3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4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3">
      <c r="A37" s="139"/>
      <c r="B37" s="188"/>
      <c r="C37" s="397" t="s">
        <v>37</v>
      </c>
      <c r="D37" s="398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38" t="s">
        <v>107</v>
      </c>
      <c r="AB37" s="439"/>
      <c r="AC37" s="439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4.4" x14ac:dyDescent="0.3">
      <c r="A38" s="139"/>
      <c r="B38" s="188"/>
      <c r="C38" s="384" t="str">
        <f>perm_name</f>
        <v>Permanent Positions</v>
      </c>
      <c r="D38" s="385"/>
      <c r="E38" s="189">
        <v>1</v>
      </c>
      <c r="F38" s="190">
        <f>SUMIF($E9:$E35,$E38,$F9:$F35)</f>
        <v>2.17</v>
      </c>
      <c r="G38" s="191">
        <f>SUMIF($E10:$E35,$E38,$G10:$G35)</f>
        <v>115224.29999999999</v>
      </c>
      <c r="H38" s="192">
        <f>SUMIF($E10:$E35,$E38,$H10:$H35)</f>
        <v>25280.5</v>
      </c>
      <c r="I38" s="192">
        <f>SUMIF($E10:$E35,$E38,$I10:$I35)</f>
        <v>26173.199745000005</v>
      </c>
      <c r="J38" s="192">
        <f>SUM(G38:I38)</f>
        <v>166677.99974499998</v>
      </c>
      <c r="K38" s="166"/>
      <c r="L38" s="191">
        <f>SUMIF($E10:$E35,$E38,$L10:$L35)</f>
        <v>0</v>
      </c>
      <c r="M38" s="192">
        <f>SUMIF($E10:$E35,$E38,$M10:$M35)</f>
        <v>-760.48037999999974</v>
      </c>
      <c r="N38" s="192">
        <f>SUM(L38:M38)</f>
        <v>-760.48037999999974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1200</v>
      </c>
      <c r="AB38" s="338">
        <f>ROUND((AdjPermVB*CECPerm+AdjPermVBBY*CECPerm),-2)</f>
        <v>300</v>
      </c>
      <c r="AC38" s="338">
        <f>SUM(AA38:AB38)</f>
        <v>1500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4.4" x14ac:dyDescent="0.3">
      <c r="A39" s="139"/>
      <c r="B39" s="188"/>
      <c r="C39" s="384" t="str">
        <f>Group_name</f>
        <v>Board &amp; Group Positions</v>
      </c>
      <c r="D39" s="385"/>
      <c r="E39" s="189">
        <v>2</v>
      </c>
      <c r="F39" s="151">
        <f>SUMIF($E9:$E35,$E39,$F9:$F35)</f>
        <v>0</v>
      </c>
      <c r="G39" s="193">
        <f>SUMIF($E10:$E35,$E39,$G10:$G35)</f>
        <v>370</v>
      </c>
      <c r="H39" s="152">
        <f>SUMIF($E10:$E35,$E39,$H10:$H35)</f>
        <v>0</v>
      </c>
      <c r="I39" s="152">
        <f>SUMIF($E10:$E35,$E39,$I10:$I35)</f>
        <v>30.84</v>
      </c>
      <c r="J39" s="152">
        <f>SUM(G39:I39)</f>
        <v>400.84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4.4" x14ac:dyDescent="0.3">
      <c r="A40" s="139"/>
      <c r="B40" s="188"/>
      <c r="C40" s="365" t="str">
        <f>Elect_name</f>
        <v>Elected Officials &amp; Full Time Commissioners</v>
      </c>
      <c r="D40" s="366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4"/>
      <c r="AB40" s="364"/>
      <c r="AC40" s="364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4.4" x14ac:dyDescent="0.3">
      <c r="A41" s="139"/>
      <c r="B41" s="188"/>
      <c r="C41" s="384" t="s">
        <v>38</v>
      </c>
      <c r="D41" s="385"/>
      <c r="E41" s="189"/>
      <c r="F41" s="161">
        <f>SUM(F38:F40)</f>
        <v>2.17</v>
      </c>
      <c r="G41" s="195">
        <f>SUM($G$38:$G$40)</f>
        <v>115594.29999999999</v>
      </c>
      <c r="H41" s="162">
        <f>SUM($H$38:$H$40)</f>
        <v>25280.5</v>
      </c>
      <c r="I41" s="162">
        <f>SUM($I$38:$I$40)</f>
        <v>26204.039745000005</v>
      </c>
      <c r="J41" s="162">
        <f>SUM($J$38:$J$40)</f>
        <v>167078.83974499998</v>
      </c>
      <c r="K41" s="259"/>
      <c r="L41" s="195">
        <f>SUM($L$38:$L$40)</f>
        <v>0</v>
      </c>
      <c r="M41" s="162">
        <f>SUM($M$38:$M$40)</f>
        <v>-760.48037999999974</v>
      </c>
      <c r="N41" s="162">
        <f>SUM(L41:M41)</f>
        <v>-760.48037999999974</v>
      </c>
      <c r="O41"/>
      <c r="P41"/>
      <c r="Q41"/>
      <c r="R41"/>
      <c r="S41"/>
      <c r="T41"/>
      <c r="U41"/>
      <c r="V41"/>
      <c r="W41"/>
      <c r="X41"/>
      <c r="Y41"/>
      <c r="Z41" s="344"/>
      <c r="AA41" s="364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3">
      <c r="A42" s="139"/>
      <c r="B42" s="188"/>
      <c r="C42" s="446"/>
      <c r="D42" s="447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4"/>
      <c r="AB42" s="364"/>
      <c r="AC42" s="364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3">
      <c r="A43" s="139"/>
      <c r="B43" s="202"/>
      <c r="C43" s="448" t="s">
        <v>39</v>
      </c>
      <c r="D43" s="449"/>
      <c r="E43" s="203" t="s">
        <v>40</v>
      </c>
      <c r="F43" s="205">
        <f>ROUND(F51-F41,2)</f>
        <v>-0.04</v>
      </c>
      <c r="G43" s="206">
        <f>ROUND(G51-G41,-2)</f>
        <v>8300</v>
      </c>
      <c r="H43" s="159">
        <f>ROUND(H51-H41,-2)</f>
        <v>1800</v>
      </c>
      <c r="I43" s="159">
        <f>ROUND(I51-I41,-2)</f>
        <v>1900</v>
      </c>
      <c r="J43" s="159">
        <f>SUM(G43:I43)</f>
        <v>12000</v>
      </c>
      <c r="K43" s="412" t="str">
        <f>IF(E51=0,"ERROR! Enter Original Appropriation amount in DU 3.00!","Calculated "&amp;IF(J43&gt;0,"overfunding ","underfunding ")&amp;"is "&amp;TEXT(J43/J51,"#.0%;(#.0% );0% ;")&amp;" of Original Appropriation")</f>
        <v>Calculated overfunding is 6.7% of Original Appropriation</v>
      </c>
      <c r="L43" s="413"/>
      <c r="M43" s="413"/>
      <c r="N43" s="414"/>
      <c r="O43"/>
      <c r="P43"/>
      <c r="Q43"/>
      <c r="R43"/>
      <c r="S43"/>
      <c r="T43"/>
      <c r="U43"/>
      <c r="V43"/>
      <c r="W43"/>
      <c r="X43"/>
      <c r="Y43"/>
      <c r="Z43" s="344"/>
      <c r="AA43" s="440" t="s">
        <v>108</v>
      </c>
      <c r="AB43" s="441"/>
      <c r="AC43" s="441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3">
      <c r="A44" s="139"/>
      <c r="B44" s="202"/>
      <c r="C44" s="450"/>
      <c r="D44" s="451"/>
      <c r="E44" s="204" t="s">
        <v>41</v>
      </c>
      <c r="F44" s="205">
        <f>ROUND(F60-F41,2)</f>
        <v>-0.04</v>
      </c>
      <c r="G44" s="206">
        <f>ROUND(G60-G41,-2)</f>
        <v>8300</v>
      </c>
      <c r="H44" s="159">
        <f>ROUND(H60-H41,-2)</f>
        <v>1800</v>
      </c>
      <c r="I44" s="159">
        <f>ROUND(I60-I41,-2)</f>
        <v>1900</v>
      </c>
      <c r="J44" s="159">
        <f>SUM(G44:I44)</f>
        <v>12000</v>
      </c>
      <c r="K44" s="412" t="str">
        <f>IF(E51=0,"ERROR! Enter Original Appropriation amount in DU 3.00!","Calculated "&amp;IF(J44&gt;0,"overfunding ","underfunding ")&amp;"is "&amp;TEXT(J44/J60,"#.0%;(#.0% );0% ;")&amp;" of Estimated Expenditures")</f>
        <v>Calculated overfunding is 6.7% of Estimated Expenditures</v>
      </c>
      <c r="L44" s="413"/>
      <c r="M44" s="413"/>
      <c r="N44" s="414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3">
      <c r="A45" s="139"/>
      <c r="B45" s="202"/>
      <c r="C45" s="215"/>
      <c r="D45" s="215"/>
      <c r="E45" s="204" t="s">
        <v>99</v>
      </c>
      <c r="F45" s="205">
        <f>ROUND(F67-F41-F63,2)</f>
        <v>-0.04</v>
      </c>
      <c r="G45" s="206">
        <f>ROUND(G67-G41-G63,-2)</f>
        <v>8300</v>
      </c>
      <c r="H45" s="206">
        <f>ROUND(H67-H41-H63,-2)</f>
        <v>1800</v>
      </c>
      <c r="I45" s="206">
        <f>ROUND(I67-I41-I63,-2)</f>
        <v>1900</v>
      </c>
      <c r="J45" s="159">
        <f>SUM(G45:I45)</f>
        <v>12000</v>
      </c>
      <c r="K45" s="412" t="str">
        <f>IF(J67=0,"Program has a zero base",IF(E51=0,"ERROR! Enter Original Appropriation amount in DU 3.00!","Calculated "&amp;IF(J45&gt;0,"overfunding ","underfunding ")&amp;"is "&amp;TEXT(J45/J67,"#.0%;(#.0% );0% ;")&amp;" of the Base"))</f>
        <v>Calculated overfunding is 6.7% of the Base</v>
      </c>
      <c r="L45" s="413"/>
      <c r="M45" s="413"/>
      <c r="N45" s="414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3">
      <c r="A46" s="139"/>
      <c r="B46" s="202"/>
      <c r="C46" s="215"/>
      <c r="D46" s="215"/>
      <c r="E46" s="421" t="s">
        <v>100</v>
      </c>
      <c r="F46" s="422"/>
      <c r="G46" s="422"/>
      <c r="H46" s="422"/>
      <c r="I46" s="422"/>
      <c r="J46" s="423"/>
      <c r="K46" s="415" t="str">
        <f>IF(OR(J45&lt;0,F45&lt;0),"You may not have sufficient funding or authorized FTP, and may need to make additional adjustments to finalize this form.  Please contact both your DFM and LSO analysts.","")</f>
        <v>You may not have sufficient funding or authorized FTP, and may need to make additional adjustments to finalize this form.  Please contact both your DFM and LSO analysts.</v>
      </c>
      <c r="L46" s="416"/>
      <c r="M46" s="416"/>
      <c r="N46" s="417"/>
      <c r="O46"/>
      <c r="P46"/>
      <c r="Q46"/>
      <c r="R46"/>
      <c r="S46"/>
      <c r="T46"/>
      <c r="U46"/>
      <c r="V46"/>
      <c r="W46"/>
      <c r="X46"/>
      <c r="Y46"/>
      <c r="Z46" s="344"/>
      <c r="AA46" s="364"/>
      <c r="AB46" s="364"/>
      <c r="AC46" s="364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3">
      <c r="A47" s="139"/>
      <c r="B47" s="202"/>
      <c r="C47" s="215"/>
      <c r="D47" s="215"/>
      <c r="E47" s="424"/>
      <c r="F47" s="425"/>
      <c r="G47" s="425"/>
      <c r="H47" s="425"/>
      <c r="I47" s="425"/>
      <c r="J47" s="426"/>
      <c r="K47" s="418"/>
      <c r="L47" s="419"/>
      <c r="M47" s="419"/>
      <c r="N47" s="420"/>
      <c r="O47"/>
      <c r="P47"/>
      <c r="Q47"/>
      <c r="R47"/>
      <c r="S47"/>
      <c r="T47"/>
      <c r="U47"/>
      <c r="V47"/>
      <c r="W47"/>
      <c r="X47"/>
      <c r="Y47"/>
      <c r="Z47" s="344"/>
      <c r="AA47" s="364"/>
      <c r="AB47" s="364"/>
      <c r="AC47" s="364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3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3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4"/>
      <c r="AB49" s="364"/>
      <c r="AC49" s="364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3">
      <c r="A50" s="257" t="s">
        <v>42</v>
      </c>
      <c r="B50" s="71"/>
      <c r="C50" s="452"/>
      <c r="D50" s="453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4"/>
      <c r="AB50" s="364"/>
      <c r="AC50" s="364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3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179100</v>
      </c>
      <c r="F51" s="272">
        <f>AppropFTP</f>
        <v>2.13</v>
      </c>
      <c r="G51" s="274">
        <f>IF(E51=0,0,(G41/$J$41)*$E$51)</f>
        <v>123911.19762141847</v>
      </c>
      <c r="H51" s="274">
        <f>IF(E51=0,0,(H41/$J$41)*$E$51)</f>
        <v>27099.407422928896</v>
      </c>
      <c r="I51" s="275">
        <f>IF(E51=0,0,(I41/$J$41)*$E$51)</f>
        <v>28089.394955652657</v>
      </c>
      <c r="J51" s="90">
        <f>SUM(G51:I51)</f>
        <v>179100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4"/>
      <c r="AC51" s="364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3">
      <c r="A52" s="82"/>
      <c r="B52" s="83"/>
      <c r="C52" s="84"/>
      <c r="D52" s="132" t="s">
        <v>46</v>
      </c>
      <c r="E52" s="133"/>
      <c r="F52" s="55">
        <f>F51</f>
        <v>2.13</v>
      </c>
      <c r="G52" s="79">
        <f>ROUND(G51,-2)</f>
        <v>123900</v>
      </c>
      <c r="H52" s="79">
        <f>ROUND(H51,-2)</f>
        <v>27100</v>
      </c>
      <c r="I52" s="266">
        <f>ROUND(I51,-2)</f>
        <v>28100</v>
      </c>
      <c r="J52" s="80">
        <f>ROUND(J51,-2)</f>
        <v>179100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4"/>
      <c r="AC52" s="364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4.4" x14ac:dyDescent="0.3">
      <c r="A53" s="85"/>
      <c r="B53" s="83"/>
      <c r="C53" s="444" t="s">
        <v>47</v>
      </c>
      <c r="D53" s="445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4"/>
      <c r="AB53" s="364"/>
      <c r="AC53" s="364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3">
      <c r="A54" s="85">
        <v>4.1100000000000003</v>
      </c>
      <c r="B54" s="83"/>
      <c r="C54" s="408" t="s">
        <v>48</v>
      </c>
      <c r="D54" s="409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4"/>
      <c r="AB54" s="364"/>
      <c r="AC54" s="364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3">
      <c r="A55" s="85">
        <v>4.3099999999999996</v>
      </c>
      <c r="B55" s="83"/>
      <c r="C55" s="410" t="s">
        <v>49</v>
      </c>
      <c r="D55" s="411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4"/>
      <c r="AB55" s="364"/>
      <c r="AC55" s="364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3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2.13</v>
      </c>
      <c r="G56" s="80">
        <f>SUM(G52:G55)</f>
        <v>123900</v>
      </c>
      <c r="H56" s="80">
        <f>SUM(H52:H55)</f>
        <v>27100</v>
      </c>
      <c r="I56" s="260">
        <f>SUM(I52:I55)</f>
        <v>28100</v>
      </c>
      <c r="J56" s="80">
        <f>SUM(J52:J55)</f>
        <v>179100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4"/>
      <c r="AB56" s="364"/>
      <c r="AC56" s="364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3">
      <c r="A57" s="85"/>
      <c r="B57" s="83"/>
      <c r="C57" s="406" t="s">
        <v>51</v>
      </c>
      <c r="D57" s="407"/>
      <c r="E57" s="368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4"/>
      <c r="AB57" s="364"/>
      <c r="AC57" s="364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3">
      <c r="A58" s="85">
        <v>6.31</v>
      </c>
      <c r="B58" s="83"/>
      <c r="C58" s="408" t="s">
        <v>52</v>
      </c>
      <c r="D58" s="409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4"/>
      <c r="AB58" s="364"/>
      <c r="AC58" s="364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3">
      <c r="A59" s="85">
        <v>6.51</v>
      </c>
      <c r="B59" s="83"/>
      <c r="C59" s="410" t="s">
        <v>66</v>
      </c>
      <c r="D59" s="411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4"/>
      <c r="AB59" s="364"/>
      <c r="AC59" s="364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3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2.13</v>
      </c>
      <c r="G60" s="80">
        <f>SUM(G56:G59)</f>
        <v>123900</v>
      </c>
      <c r="H60" s="80">
        <f>SUM(H56:H59)</f>
        <v>27100</v>
      </c>
      <c r="I60" s="260">
        <f>SUM(I56:I59)</f>
        <v>28100</v>
      </c>
      <c r="J60" s="80">
        <f>SUM(J56:J59)</f>
        <v>179100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4"/>
      <c r="AB60" s="364"/>
      <c r="AC60" s="364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3">
      <c r="A61" s="85"/>
      <c r="B61" s="83"/>
      <c r="C61" s="406" t="s">
        <v>54</v>
      </c>
      <c r="D61" s="407"/>
      <c r="E61" s="368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4"/>
      <c r="AB61" s="364"/>
      <c r="AC61" s="364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3">
      <c r="A62" s="85">
        <v>8.31</v>
      </c>
      <c r="B62" s="83"/>
      <c r="C62" s="408" t="s">
        <v>67</v>
      </c>
      <c r="D62" s="409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4"/>
      <c r="AB62" s="364"/>
      <c r="AC62" s="364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3">
      <c r="A63" s="85">
        <v>8.41</v>
      </c>
      <c r="B63" s="83"/>
      <c r="C63" s="408" t="s">
        <v>55</v>
      </c>
      <c r="D63" s="409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4"/>
      <c r="AB63" s="364"/>
      <c r="AC63" s="364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5">
      <c r="A64" s="93">
        <v>8.51</v>
      </c>
      <c r="B64" s="93"/>
      <c r="C64" s="404" t="s">
        <v>56</v>
      </c>
      <c r="D64" s="405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4"/>
      <c r="AB64" s="364"/>
      <c r="AC64" s="364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3">
      <c r="A65" s="94"/>
      <c r="B65" s="95"/>
      <c r="C65" s="442"/>
      <c r="D65" s="443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4"/>
      <c r="AB65" s="364"/>
      <c r="AC65" s="364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4.4" x14ac:dyDescent="0.3">
      <c r="A66" s="100"/>
      <c r="B66" s="101"/>
      <c r="C66" s="429"/>
      <c r="D66" s="430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4.4" x14ac:dyDescent="0.3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2.13</v>
      </c>
      <c r="G67" s="80">
        <f>SUM(G60:G64)</f>
        <v>123900</v>
      </c>
      <c r="H67" s="80">
        <f>SUM(H60:H64)</f>
        <v>27100</v>
      </c>
      <c r="I67" s="80">
        <f>SUM(I60:I64)</f>
        <v>28100</v>
      </c>
      <c r="J67" s="80">
        <f>SUM(J60:J64)</f>
        <v>179100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4"/>
      <c r="AB67" s="364"/>
      <c r="AC67" s="364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3">
      <c r="A68" s="85">
        <v>10.11</v>
      </c>
      <c r="B68" s="83"/>
      <c r="C68" s="406" t="s">
        <v>58</v>
      </c>
      <c r="D68" s="431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4"/>
      <c r="AB68" s="364"/>
      <c r="AC68" s="364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4.4" x14ac:dyDescent="0.3">
      <c r="A69" s="85">
        <v>10.119999999999999</v>
      </c>
      <c r="B69" s="83"/>
      <c r="C69" s="406" t="s">
        <v>59</v>
      </c>
      <c r="D69" s="431"/>
      <c r="E69" s="112"/>
      <c r="F69" s="288"/>
      <c r="G69" s="113"/>
      <c r="H69" s="113"/>
      <c r="I69" s="113">
        <f>IF(DUNine=0,0,ROUND(SUM(M41:M64),-2))</f>
        <v>-800</v>
      </c>
      <c r="J69" s="287">
        <f>SUM(G69:I69)</f>
        <v>-800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4"/>
      <c r="AB69" s="364"/>
      <c r="AC69" s="364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4.4" x14ac:dyDescent="0.3">
      <c r="A70" s="85"/>
      <c r="B70" s="83"/>
      <c r="C70" s="432"/>
      <c r="D70" s="433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4"/>
      <c r="AB70" s="364"/>
      <c r="AC70" s="364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3">
      <c r="A71" s="85">
        <v>10.51</v>
      </c>
      <c r="B71" s="83"/>
      <c r="C71" s="408" t="s">
        <v>60</v>
      </c>
      <c r="D71" s="409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4"/>
      <c r="AB71" s="364"/>
      <c r="AC71" s="364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3">
      <c r="A72" s="85">
        <v>10.61</v>
      </c>
      <c r="B72" s="83"/>
      <c r="C72" s="408" t="s">
        <v>101</v>
      </c>
      <c r="D72" s="434"/>
      <c r="E72" s="290">
        <f>CECPerm</f>
        <v>0.01</v>
      </c>
      <c r="F72" s="288"/>
      <c r="G72" s="356">
        <f>IF(DUNine=0,0,IF(DUNine&lt;0,0,ROUND(AdjPermSalary*CECPerm,-2)))</f>
        <v>1200</v>
      </c>
      <c r="H72" s="287"/>
      <c r="I72" s="287">
        <f>ROUND(($G72*PermVBBY+$G72*Retire1BY),-2)</f>
        <v>300</v>
      </c>
      <c r="J72" s="113">
        <f>SUM(G72:I72)</f>
        <v>1500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4"/>
      <c r="AB72" s="364"/>
      <c r="AC72" s="364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3">
      <c r="A73" s="85">
        <v>10.62</v>
      </c>
      <c r="B73" s="83"/>
      <c r="C73" s="408" t="s">
        <v>61</v>
      </c>
      <c r="D73" s="434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4"/>
      <c r="AB73" s="364"/>
      <c r="AC73" s="364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3">
      <c r="A74" s="85">
        <v>10.63</v>
      </c>
      <c r="B74" s="83"/>
      <c r="C74" s="367" t="s">
        <v>62</v>
      </c>
      <c r="D74" s="369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4"/>
      <c r="AB74" s="364"/>
      <c r="AC74" s="364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3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2.13</v>
      </c>
      <c r="G75" s="80">
        <f>SUM(G67:G74)</f>
        <v>125100</v>
      </c>
      <c r="H75" s="80">
        <f>SUM(H67:H74)</f>
        <v>27100</v>
      </c>
      <c r="I75" s="80">
        <f>SUM(I67:I74)</f>
        <v>27600</v>
      </c>
      <c r="J75" s="80">
        <f>SUM(J67:K74)</f>
        <v>179800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4"/>
      <c r="AB75" s="364"/>
      <c r="AC75" s="364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3">
      <c r="A76" s="85"/>
      <c r="B76" s="83"/>
      <c r="C76" s="435" t="s">
        <v>64</v>
      </c>
      <c r="D76" s="436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4"/>
      <c r="AB76" s="364"/>
      <c r="AC76" s="364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4.4" x14ac:dyDescent="0.3">
      <c r="A77" s="116">
        <v>12.01</v>
      </c>
      <c r="B77" s="57"/>
      <c r="C77" s="427"/>
      <c r="D77" s="428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4"/>
      <c r="AB77" s="364"/>
      <c r="AC77" s="364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4.4" x14ac:dyDescent="0.3">
      <c r="A78" s="116">
        <v>12.02</v>
      </c>
      <c r="B78" s="57"/>
      <c r="C78" s="427"/>
      <c r="D78" s="428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4"/>
      <c r="AB78" s="364"/>
      <c r="AC78" s="364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4.4" x14ac:dyDescent="0.3">
      <c r="A79" s="116">
        <v>12.03</v>
      </c>
      <c r="B79" s="57" t="s">
        <v>45</v>
      </c>
      <c r="C79" s="427"/>
      <c r="D79" s="428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4"/>
      <c r="AB79" s="364"/>
      <c r="AC79" s="364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3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2.13</v>
      </c>
      <c r="G80" s="80">
        <f>SUM(G75:G79)</f>
        <v>125100</v>
      </c>
      <c r="H80" s="80">
        <f>SUM(H75:H79)</f>
        <v>27100</v>
      </c>
      <c r="I80" s="80">
        <f>SUM(I75:I79)</f>
        <v>27600</v>
      </c>
      <c r="J80" s="80">
        <f>SUM(J75:J79)</f>
        <v>179800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4"/>
      <c r="AB80" s="364"/>
      <c r="AC80" s="364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78:D78"/>
    <mergeCell ref="C79:D79"/>
    <mergeCell ref="C70:D70"/>
    <mergeCell ref="C71:D71"/>
    <mergeCell ref="C72:D72"/>
    <mergeCell ref="C73:D73"/>
    <mergeCell ref="C76:D76"/>
    <mergeCell ref="C77:D77"/>
    <mergeCell ref="C63:D63"/>
    <mergeCell ref="C64:D64"/>
    <mergeCell ref="C65:D65"/>
    <mergeCell ref="C66:D66"/>
    <mergeCell ref="C68:D68"/>
    <mergeCell ref="C69:D69"/>
    <mergeCell ref="C55:D55"/>
    <mergeCell ref="C57:D57"/>
    <mergeCell ref="C58:D58"/>
    <mergeCell ref="C59:D59"/>
    <mergeCell ref="C61:D61"/>
    <mergeCell ref="C62:D62"/>
    <mergeCell ref="K45:N45"/>
    <mergeCell ref="E46:J47"/>
    <mergeCell ref="K46:N47"/>
    <mergeCell ref="C50:D50"/>
    <mergeCell ref="C53:D53"/>
    <mergeCell ref="C54:D54"/>
    <mergeCell ref="C39:D39"/>
    <mergeCell ref="C41:D41"/>
    <mergeCell ref="C42:D42"/>
    <mergeCell ref="C43:D44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AA8:AC8"/>
    <mergeCell ref="C9:D9"/>
    <mergeCell ref="C10:D10"/>
    <mergeCell ref="C11:D11"/>
    <mergeCell ref="C12:D12"/>
    <mergeCell ref="C13:D13"/>
    <mergeCell ref="M1:N1"/>
    <mergeCell ref="M2:N2"/>
    <mergeCell ref="M3:N3"/>
    <mergeCell ref="M4:N4"/>
    <mergeCell ref="I5:L5"/>
    <mergeCell ref="C8:D8"/>
  </mergeCells>
  <conditionalFormatting sqref="K44">
    <cfRule type="expression" dxfId="11" priority="5">
      <formula>$J$44&lt;0</formula>
    </cfRule>
  </conditionalFormatting>
  <conditionalFormatting sqref="K43">
    <cfRule type="expression" dxfId="10" priority="4">
      <formula>$J$43&lt;0</formula>
    </cfRule>
  </conditionalFormatting>
  <conditionalFormatting sqref="L16">
    <cfRule type="expression" dxfId="9" priority="3">
      <formula>$J$16&lt;0</formula>
    </cfRule>
  </conditionalFormatting>
  <conditionalFormatting sqref="K45">
    <cfRule type="expression" dxfId="8" priority="2">
      <formula>$J$44&lt;0</formula>
    </cfRule>
  </conditionalFormatting>
  <conditionalFormatting sqref="K43:N45">
    <cfRule type="containsText" dxfId="7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46CE5E3-1BC1-4D67-AB25-655523363C2A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DC64"/>
  <sheetViews>
    <sheetView workbookViewId="0">
      <pane xSplit="3" ySplit="1" topLeftCell="AM42" activePane="bottomRight" state="frozen"/>
      <selection pane="topRight" activeCell="D1" sqref="D1"/>
      <selection pane="bottomLeft" activeCell="A2" sqref="A2"/>
      <selection pane="bottomRight" activeCell="AS49" sqref="AS49:BA64"/>
    </sheetView>
  </sheetViews>
  <sheetFormatPr defaultRowHeight="14.4" x14ac:dyDescent="0.3"/>
  <cols>
    <col min="45" max="53" width="15.77734375" customWidth="1"/>
    <col min="54" max="54" width="11.6640625" bestFit="1" customWidth="1"/>
    <col min="55" max="55" width="9" bestFit="1" customWidth="1"/>
    <col min="56" max="56" width="10.5546875" bestFit="1" customWidth="1"/>
    <col min="57" max="57" width="9.44140625" bestFit="1" customWidth="1"/>
    <col min="58" max="58" width="10.5546875" bestFit="1" customWidth="1"/>
    <col min="59" max="62" width="9.44140625" bestFit="1" customWidth="1"/>
    <col min="63" max="63" width="9" bestFit="1" customWidth="1"/>
    <col min="64" max="64" width="11.6640625" bestFit="1" customWidth="1"/>
    <col min="65" max="65" width="9" bestFit="1" customWidth="1"/>
    <col min="66" max="66" width="11.6640625" bestFit="1" customWidth="1"/>
    <col min="67" max="67" width="9" bestFit="1" customWidth="1"/>
    <col min="68" max="68" width="10.5546875" bestFit="1" customWidth="1"/>
    <col min="69" max="69" width="9.44140625" bestFit="1" customWidth="1"/>
    <col min="70" max="70" width="10.5546875" bestFit="1" customWidth="1"/>
    <col min="71" max="71" width="9.44140625" bestFit="1" customWidth="1"/>
    <col min="72" max="72" width="9" bestFit="1" customWidth="1"/>
    <col min="73" max="74" width="9.44140625" bestFit="1" customWidth="1"/>
    <col min="75" max="75" width="9" bestFit="1" customWidth="1"/>
    <col min="76" max="76" width="11.6640625" bestFit="1" customWidth="1"/>
    <col min="77" max="83" width="9" bestFit="1" customWidth="1"/>
    <col min="84" max="84" width="10.109375" bestFit="1" customWidth="1"/>
    <col min="85" max="85" width="9" bestFit="1" customWidth="1"/>
    <col min="86" max="86" width="10.109375" bestFit="1" customWidth="1"/>
    <col min="87" max="87" width="9" bestFit="1" customWidth="1"/>
    <col min="88" max="88" width="10.109375" bestFit="1" customWidth="1"/>
    <col min="89" max="89" width="9" bestFit="1" customWidth="1"/>
    <col min="90" max="90" width="9.44140625" bestFit="1" customWidth="1"/>
    <col min="91" max="91" width="9" bestFit="1" customWidth="1"/>
  </cols>
  <sheetData>
    <row r="1" spans="1:92" ht="12.75" customHeight="1" thickBot="1" x14ac:dyDescent="0.35">
      <c r="A1" s="374" t="s">
        <v>118</v>
      </c>
      <c r="B1" s="374" t="s">
        <v>119</v>
      </c>
      <c r="C1" s="374" t="s">
        <v>20</v>
      </c>
      <c r="D1" s="374" t="s">
        <v>120</v>
      </c>
      <c r="E1" s="374" t="s">
        <v>121</v>
      </c>
      <c r="F1" s="375" t="s">
        <v>122</v>
      </c>
      <c r="G1" s="374" t="s">
        <v>123</v>
      </c>
      <c r="H1" s="374" t="s">
        <v>124</v>
      </c>
      <c r="I1" s="374" t="s">
        <v>125</v>
      </c>
      <c r="J1" s="374" t="s">
        <v>126</v>
      </c>
      <c r="K1" s="374" t="s">
        <v>127</v>
      </c>
      <c r="L1" s="374" t="s">
        <v>128</v>
      </c>
      <c r="M1" s="374" t="s">
        <v>129</v>
      </c>
      <c r="N1" s="374" t="s">
        <v>130</v>
      </c>
      <c r="O1" s="374" t="s">
        <v>131</v>
      </c>
      <c r="P1" s="374" t="s">
        <v>132</v>
      </c>
      <c r="Q1" s="374" t="s">
        <v>133</v>
      </c>
      <c r="R1" s="374" t="s">
        <v>134</v>
      </c>
      <c r="S1" s="374" t="s">
        <v>135</v>
      </c>
      <c r="T1" s="374" t="s">
        <v>136</v>
      </c>
      <c r="U1" s="374" t="s">
        <v>137</v>
      </c>
      <c r="V1" s="374" t="s">
        <v>138</v>
      </c>
      <c r="W1" s="374" t="s">
        <v>139</v>
      </c>
      <c r="X1" s="374" t="s">
        <v>140</v>
      </c>
      <c r="Y1" s="374" t="s">
        <v>141</v>
      </c>
      <c r="Z1" s="374" t="s">
        <v>142</v>
      </c>
      <c r="AA1" s="374" t="s">
        <v>143</v>
      </c>
      <c r="AB1" s="374" t="s">
        <v>144</v>
      </c>
      <c r="AC1" s="374" t="s">
        <v>145</v>
      </c>
      <c r="AD1" s="374" t="s">
        <v>146</v>
      </c>
      <c r="AE1" s="374" t="s">
        <v>147</v>
      </c>
      <c r="AF1" s="374" t="s">
        <v>148</v>
      </c>
      <c r="AG1" s="374" t="s">
        <v>149</v>
      </c>
      <c r="AH1" s="374" t="s">
        <v>150</v>
      </c>
      <c r="AI1" s="374" t="s">
        <v>151</v>
      </c>
      <c r="AJ1" s="374" t="s">
        <v>152</v>
      </c>
      <c r="AK1" s="374" t="s">
        <v>153</v>
      </c>
      <c r="AL1" s="374" t="s">
        <v>154</v>
      </c>
      <c r="AM1" s="374" t="s">
        <v>155</v>
      </c>
      <c r="AN1" s="374" t="s">
        <v>156</v>
      </c>
      <c r="AO1" s="374" t="s">
        <v>157</v>
      </c>
      <c r="AP1" s="374" t="s">
        <v>158</v>
      </c>
      <c r="AQ1" s="374" t="s">
        <v>159</v>
      </c>
      <c r="AR1" s="374" t="s">
        <v>160</v>
      </c>
      <c r="AS1" s="460" t="s">
        <v>309</v>
      </c>
      <c r="AT1" s="460" t="s">
        <v>310</v>
      </c>
      <c r="AU1" s="460" t="s">
        <v>311</v>
      </c>
      <c r="AV1" s="460" t="s">
        <v>312</v>
      </c>
      <c r="AW1" s="460" t="s">
        <v>313</v>
      </c>
      <c r="AX1" s="460" t="s">
        <v>314</v>
      </c>
      <c r="AY1" s="460" t="s">
        <v>315</v>
      </c>
      <c r="AZ1" s="460" t="s">
        <v>316</v>
      </c>
      <c r="BA1" s="462" t="s">
        <v>317</v>
      </c>
      <c r="BB1" s="463" t="s">
        <v>318</v>
      </c>
      <c r="BC1" s="463" t="s">
        <v>319</v>
      </c>
      <c r="BD1" s="463" t="s">
        <v>320</v>
      </c>
      <c r="BE1" s="463" t="s">
        <v>321</v>
      </c>
      <c r="BF1" s="463" t="s">
        <v>322</v>
      </c>
      <c r="BG1" s="463" t="s">
        <v>323</v>
      </c>
      <c r="BH1" s="463" t="s">
        <v>324</v>
      </c>
      <c r="BI1" s="463" t="s">
        <v>325</v>
      </c>
      <c r="BJ1" s="463" t="s">
        <v>326</v>
      </c>
      <c r="BK1" s="463" t="s">
        <v>327</v>
      </c>
      <c r="BL1" s="464" t="s">
        <v>328</v>
      </c>
      <c r="BM1" s="464" t="s">
        <v>329</v>
      </c>
      <c r="BN1" s="463" t="s">
        <v>330</v>
      </c>
      <c r="BO1" s="463" t="s">
        <v>331</v>
      </c>
      <c r="BP1" s="463" t="s">
        <v>332</v>
      </c>
      <c r="BQ1" s="463" t="s">
        <v>333</v>
      </c>
      <c r="BR1" s="463" t="s">
        <v>334</v>
      </c>
      <c r="BS1" s="463" t="s">
        <v>335</v>
      </c>
      <c r="BT1" s="463" t="s">
        <v>336</v>
      </c>
      <c r="BU1" s="463" t="s">
        <v>337</v>
      </c>
      <c r="BV1" s="463" t="s">
        <v>338</v>
      </c>
      <c r="BW1" s="463" t="s">
        <v>339</v>
      </c>
      <c r="BX1" s="464" t="s">
        <v>340</v>
      </c>
      <c r="BY1" s="464" t="s">
        <v>341</v>
      </c>
      <c r="BZ1" s="463" t="s">
        <v>342</v>
      </c>
      <c r="CA1" s="463" t="s">
        <v>343</v>
      </c>
      <c r="CB1" s="463" t="s">
        <v>344</v>
      </c>
      <c r="CC1" s="463" t="s">
        <v>345</v>
      </c>
      <c r="CD1" s="463" t="s">
        <v>346</v>
      </c>
      <c r="CE1" s="463" t="s">
        <v>347</v>
      </c>
      <c r="CF1" s="463" t="s">
        <v>348</v>
      </c>
      <c r="CG1" s="463" t="s">
        <v>349</v>
      </c>
      <c r="CH1" s="463" t="s">
        <v>350</v>
      </c>
      <c r="CI1" s="463" t="s">
        <v>351</v>
      </c>
      <c r="CJ1" s="464" t="s">
        <v>352</v>
      </c>
      <c r="CK1" s="464" t="s">
        <v>353</v>
      </c>
      <c r="CL1" s="465" t="s">
        <v>354</v>
      </c>
      <c r="CM1" s="465" t="s">
        <v>355</v>
      </c>
      <c r="CN1" s="465" t="s">
        <v>356</v>
      </c>
    </row>
    <row r="2" spans="1:92" ht="15" thickBot="1" x14ac:dyDescent="0.35">
      <c r="A2" s="376" t="s">
        <v>161</v>
      </c>
      <c r="B2" s="376" t="s">
        <v>162</v>
      </c>
      <c r="C2" s="376" t="s">
        <v>163</v>
      </c>
      <c r="D2" s="376" t="s">
        <v>164</v>
      </c>
      <c r="E2" s="376" t="s">
        <v>165</v>
      </c>
      <c r="F2" s="377" t="s">
        <v>166</v>
      </c>
      <c r="G2" s="376" t="s">
        <v>167</v>
      </c>
      <c r="H2" s="378"/>
      <c r="I2" s="378"/>
      <c r="J2" s="376" t="s">
        <v>168</v>
      </c>
      <c r="K2" s="376" t="s">
        <v>169</v>
      </c>
      <c r="L2" s="376" t="s">
        <v>166</v>
      </c>
      <c r="M2" s="376" t="s">
        <v>170</v>
      </c>
      <c r="N2" s="376" t="s">
        <v>171</v>
      </c>
      <c r="O2" s="379">
        <v>0</v>
      </c>
      <c r="P2" s="459">
        <v>0</v>
      </c>
      <c r="Q2" s="459">
        <v>0</v>
      </c>
      <c r="R2" s="380">
        <v>80</v>
      </c>
      <c r="S2" s="459">
        <v>0</v>
      </c>
      <c r="T2" s="380">
        <v>0</v>
      </c>
      <c r="U2" s="380">
        <v>0</v>
      </c>
      <c r="V2" s="380">
        <v>-485.42</v>
      </c>
      <c r="W2" s="380">
        <v>0</v>
      </c>
      <c r="X2" s="380">
        <v>0</v>
      </c>
      <c r="Y2" s="380">
        <v>0</v>
      </c>
      <c r="Z2" s="380">
        <v>0</v>
      </c>
      <c r="AA2" s="378"/>
      <c r="AB2" s="376" t="s">
        <v>45</v>
      </c>
      <c r="AC2" s="376" t="s">
        <v>45</v>
      </c>
      <c r="AD2" s="378"/>
      <c r="AE2" s="378"/>
      <c r="AF2" s="378"/>
      <c r="AG2" s="378"/>
      <c r="AH2" s="379">
        <v>0</v>
      </c>
      <c r="AI2" s="379">
        <v>0</v>
      </c>
      <c r="AJ2" s="378"/>
      <c r="AK2" s="378"/>
      <c r="AL2" s="376" t="s">
        <v>172</v>
      </c>
      <c r="AM2" s="378"/>
      <c r="AN2" s="378"/>
      <c r="AO2" s="379">
        <v>0</v>
      </c>
      <c r="AP2" s="459">
        <v>0</v>
      </c>
      <c r="AQ2" s="459">
        <v>0</v>
      </c>
      <c r="AR2" s="457"/>
      <c r="AS2" s="461">
        <f>IF(((AO2/80)*AP2*P2)&gt;1,AQ2,((AO2/80)*AP2*P2))</f>
        <v>0</v>
      </c>
      <c r="AT2">
        <f>IF(AND(M2="F",N2&lt;&gt;"NG",AS2&lt;&gt;0,AND(AR2&lt;&gt;6,AR2&lt;&gt;36,AR2&lt;&gt;56),AG2&lt;&gt;"A",OR(AG2="H",AJ2="FS")),1,IF(AND(M2="F",N2&lt;&gt;"NG",AS2&lt;&gt;0,AG2="A"),3,0))</f>
        <v>0</v>
      </c>
      <c r="AU2" s="461" t="str">
        <f>IF(AT2=0,"",IF(AND(AT2=1,M2="F",SUMIF(C2:C35,C2,AS2:AS35)&lt;=1),SUMIF(C2:C35,C2,AS2:AS35),IF(AND(AT2=1,M2="F",SUMIF(C2:C35,C2,AS2:AS35)&gt;1),1,"")))</f>
        <v/>
      </c>
      <c r="AV2" s="461" t="str">
        <f>IF(AT2=0,"",IF(AND(AT2=3,M2="F",SUMIF(C2:C35,C2,AS2:AS35)&lt;=1),SUMIF(C2:C35,C2,AS2:AS35),IF(AND(AT2=3,M2="F",SUMIF(C2:C35,C2,AS2:AS35)&gt;1),1,"")))</f>
        <v/>
      </c>
      <c r="AW2" s="461">
        <f>SUMIF(C2:C35,C2,O2:O35)</f>
        <v>0</v>
      </c>
      <c r="AX2" s="461">
        <f>IF(AND(M2="F",AS2&lt;&gt;0),SUMIF(C2:C35,C2,W2:W35),0)</f>
        <v>0</v>
      </c>
      <c r="AY2" s="461" t="str">
        <f>IF(AT2=1,W2,"")</f>
        <v/>
      </c>
      <c r="AZ2" s="461" t="str">
        <f>IF(AT2=3,W2,"")</f>
        <v/>
      </c>
      <c r="BA2" s="461">
        <f>IF(AT2=1,Y2-W2,0)</f>
        <v>0</v>
      </c>
      <c r="BB2" s="461">
        <f>IF(AND(AT2=1,AK2="E",AU2&gt;=0.75,AW2=1),Health,IF(AND(AT2=1,AK2="E",AU2&gt;=0.75),Health*P2,IF(AND(AT2=1,AK2="E",AU2&gt;=0.5,AW2=1),PTHealth,IF(AND(AT2=1,AK2="E",AU2&gt;=0.5),PTHealth*P2,0))))</f>
        <v>0</v>
      </c>
      <c r="BC2" s="461">
        <f>IF(AND(AT2=3,AK2="E",AV2&gt;=0.75,AW2=1),Health,IF(AND(AT2=3,AK2="E",AV2&gt;=0.75),Health*P2,IF(AND(AT2=3,AK2="E",AV2&gt;=0.5,AW2=1),PTHealth,IF(AND(AT2=3,AK2="E",AV2&gt;=0.5),PTHealth*P2,0))))</f>
        <v>0</v>
      </c>
      <c r="BD2" s="461">
        <f>IF(AND(AT2&lt;&gt;0,AX2&gt;=MAXSSDI),SSDI*MAXSSDI*P2,IF(AT2&lt;&gt;0,SSDI*W2,0))</f>
        <v>0</v>
      </c>
      <c r="BE2" s="461">
        <f>IF(AT2&lt;&gt;0,SSHI*W2,0)</f>
        <v>0</v>
      </c>
      <c r="BF2" s="461">
        <f>IF(AND(AT2&lt;&gt;0,AN2&lt;&gt;"NE"),VLOOKUP(AN2,Retirement_Rates,3,FALSE)*W2,0)</f>
        <v>0</v>
      </c>
      <c r="BG2" s="461">
        <f>IF(AND(AT2&lt;&gt;0,AJ2&lt;&gt;"PF"),Life*W2,0)</f>
        <v>0</v>
      </c>
      <c r="BH2" s="461">
        <f>IF(AND(AT2&lt;&gt;0,AM2="Y"),UI*W2,0)</f>
        <v>0</v>
      </c>
      <c r="BI2" s="461">
        <f>IF(AND(AT2&lt;&gt;0,N2&lt;&gt;"NR"),DHR*W2,0)</f>
        <v>0</v>
      </c>
      <c r="BJ2" s="461">
        <f>IF(AT2&lt;&gt;0,WC*W2,0)</f>
        <v>0</v>
      </c>
      <c r="BK2" s="461">
        <f>IF(OR(AND(AT2&lt;&gt;0,AJ2&lt;&gt;"PF",AN2&lt;&gt;"NE",AG2&lt;&gt;"A"),AND(AL2="E",OR(AT2=1,AT2=3))),Sick*W2,0)</f>
        <v>0</v>
      </c>
      <c r="BL2" s="461">
        <f>IF(AT2=1,SUM(BD2:BK2),0)</f>
        <v>0</v>
      </c>
      <c r="BM2" s="461">
        <f>IF(AT2=3,SUM(BD2:BK2),0)</f>
        <v>0</v>
      </c>
      <c r="BN2" s="461">
        <f>IF(AND(AT2=1,AK2="E",AU2&gt;=0.75,AW2=1),HealthBY,IF(AND(AT2=1,AK2="E",AU2&gt;=0.75),HealthBY*P2,IF(AND(AT2=1,AK2="E",AU2&gt;=0.5,AW2=1),PTHealthBY,IF(AND(AT2=1,AK2="E",AU2&gt;=0.5),PTHealthBY*P2,0))))</f>
        <v>0</v>
      </c>
      <c r="BO2" s="461">
        <f>IF(AND(AT2=3,AK2="E",AV2&gt;=0.75,AW2=1),HealthBY,IF(AND(AT2=3,AK2="E",AV2&gt;=0.75),HealthBY*P2,IF(AND(AT2=3,AK2="E",AV2&gt;=0.5,AW2=1),PTHealthBY,IF(AND(AT2=3,AK2="E",AV2&gt;=0.5),PTHealthBY*P2,0))))</f>
        <v>0</v>
      </c>
      <c r="BP2" s="461">
        <f>IF(AND(AT2&lt;&gt;0,(AX2+BA2)&gt;=MAXSSDIBY),SSDIBY*MAXSSDIBY*P2,IF(AT2&lt;&gt;0,SSDIBY*W2,0))</f>
        <v>0</v>
      </c>
      <c r="BQ2" s="461">
        <f>IF(AT2&lt;&gt;0,SSHIBY*W2,0)</f>
        <v>0</v>
      </c>
      <c r="BR2" s="461">
        <f>IF(AND(AT2&lt;&gt;0,AN2&lt;&gt;"NE"),VLOOKUP(AN2,Retirement_Rates,4,FALSE)*W2,0)</f>
        <v>0</v>
      </c>
      <c r="BS2" s="461">
        <f>IF(AND(AT2&lt;&gt;0,AJ2&lt;&gt;"PF"),LifeBY*W2,0)</f>
        <v>0</v>
      </c>
      <c r="BT2" s="461">
        <f>IF(AND(AT2&lt;&gt;0,AM2="Y"),UIBY*W2,0)</f>
        <v>0</v>
      </c>
      <c r="BU2" s="461">
        <f>IF(AND(AT2&lt;&gt;0,N2&lt;&gt;"NR"),DHRBY*W2,0)</f>
        <v>0</v>
      </c>
      <c r="BV2" s="461">
        <f>IF(AT2&lt;&gt;0,WCBY*W2,0)</f>
        <v>0</v>
      </c>
      <c r="BW2" s="461">
        <f>IF(OR(AND(AT2&lt;&gt;0,AJ2&lt;&gt;"PF",AN2&lt;&gt;"NE",AG2&lt;&gt;"A"),AND(AL2="E",OR(AT2=1,AT2=3))),SickBY*W2,0)</f>
        <v>0</v>
      </c>
      <c r="BX2" s="461">
        <f>IF(AT2=1,SUM(BP2:BW2),0)</f>
        <v>0</v>
      </c>
      <c r="BY2" s="461">
        <f>IF(AT2=3,SUM(BP2:BW2),0)</f>
        <v>0</v>
      </c>
      <c r="BZ2" s="461">
        <f>IF(AT2=1,BN2-BB2,0)</f>
        <v>0</v>
      </c>
      <c r="CA2" s="461">
        <f>IF(AT2=3,BO2-BC2,0)</f>
        <v>0</v>
      </c>
      <c r="CB2" s="461">
        <f>BP2-BD2</f>
        <v>0</v>
      </c>
      <c r="CC2" s="461">
        <f>IF(AT2&lt;&gt;0,SSHICHG*Y2,0)</f>
        <v>0</v>
      </c>
      <c r="CD2" s="461">
        <f>IF(AND(AT2&lt;&gt;0,AN2&lt;&gt;"NE"),VLOOKUP(AN2,Retirement_Rates,5,FALSE)*Y2,0)</f>
        <v>0</v>
      </c>
      <c r="CE2" s="461">
        <f>IF(AND(AT2&lt;&gt;0,AJ2&lt;&gt;"PF"),LifeCHG*Y2,0)</f>
        <v>0</v>
      </c>
      <c r="CF2" s="461">
        <f>IF(AND(AT2&lt;&gt;0,AM2="Y"),UICHG*Y2,0)</f>
        <v>0</v>
      </c>
      <c r="CG2" s="461">
        <f>IF(AND(AT2&lt;&gt;0,N2&lt;&gt;"NR"),DHRCHG*Y2,0)</f>
        <v>0</v>
      </c>
      <c r="CH2" s="461">
        <f>IF(AT2&lt;&gt;0,WCCHG*Y2,0)</f>
        <v>0</v>
      </c>
      <c r="CI2" s="461">
        <f>IF(OR(AND(AT2&lt;&gt;0,AJ2&lt;&gt;"PF",AN2&lt;&gt;"NE",AG2&lt;&gt;"A"),AND(AL2="E",OR(AT2=1,AT2=3))),SickCHG*Y2,0)</f>
        <v>0</v>
      </c>
      <c r="CJ2" s="461">
        <f>IF(AT2=1,SUM(CB2:CI2),0)</f>
        <v>0</v>
      </c>
      <c r="CK2" s="461" t="str">
        <f>IF(AT2=3,SUM(CB2:CI2),"")</f>
        <v/>
      </c>
      <c r="CL2" s="461" t="str">
        <f>IF(OR(N2="NG",AG2="D"),(T2+U2),"")</f>
        <v/>
      </c>
      <c r="CM2" s="461" t="str">
        <f>IF(OR(N2="NG",AG2="D"),V2,"")</f>
        <v/>
      </c>
      <c r="CN2" s="461" t="str">
        <f>E2 &amp; "-" &amp; F2</f>
        <v>0001-00</v>
      </c>
    </row>
    <row r="3" spans="1:92" ht="15" thickBot="1" x14ac:dyDescent="0.35">
      <c r="A3" s="376" t="s">
        <v>161</v>
      </c>
      <c r="B3" s="376" t="s">
        <v>162</v>
      </c>
      <c r="C3" s="376" t="s">
        <v>173</v>
      </c>
      <c r="D3" s="376" t="s">
        <v>174</v>
      </c>
      <c r="E3" s="376" t="s">
        <v>165</v>
      </c>
      <c r="F3" s="377" t="s">
        <v>166</v>
      </c>
      <c r="G3" s="376" t="s">
        <v>167</v>
      </c>
      <c r="H3" s="378"/>
      <c r="I3" s="378"/>
      <c r="J3" s="376" t="s">
        <v>175</v>
      </c>
      <c r="K3" s="376" t="s">
        <v>176</v>
      </c>
      <c r="L3" s="376" t="s">
        <v>177</v>
      </c>
      <c r="M3" s="376" t="s">
        <v>178</v>
      </c>
      <c r="N3" s="376" t="s">
        <v>179</v>
      </c>
      <c r="O3" s="379">
        <v>0</v>
      </c>
      <c r="P3" s="459">
        <v>1</v>
      </c>
      <c r="Q3" s="459">
        <v>1</v>
      </c>
      <c r="R3" s="380">
        <v>80</v>
      </c>
      <c r="S3" s="459">
        <v>1</v>
      </c>
      <c r="T3" s="380">
        <v>64878.400000000001</v>
      </c>
      <c r="U3" s="380">
        <v>0</v>
      </c>
      <c r="V3" s="380">
        <v>25890.9</v>
      </c>
      <c r="W3" s="380">
        <v>60465.58</v>
      </c>
      <c r="X3" s="380">
        <v>26483.91</v>
      </c>
      <c r="Y3" s="380">
        <v>60465.58</v>
      </c>
      <c r="Z3" s="380">
        <v>26181.58</v>
      </c>
      <c r="AA3" s="378"/>
      <c r="AB3" s="376" t="s">
        <v>45</v>
      </c>
      <c r="AC3" s="376" t="s">
        <v>45</v>
      </c>
      <c r="AD3" s="378"/>
      <c r="AE3" s="378"/>
      <c r="AF3" s="378"/>
      <c r="AG3" s="378"/>
      <c r="AH3" s="379">
        <v>0</v>
      </c>
      <c r="AI3" s="379">
        <v>0</v>
      </c>
      <c r="AJ3" s="378"/>
      <c r="AK3" s="378"/>
      <c r="AL3" s="376" t="s">
        <v>172</v>
      </c>
      <c r="AM3" s="378"/>
      <c r="AN3" s="378"/>
      <c r="AO3" s="379">
        <v>0</v>
      </c>
      <c r="AP3" s="459">
        <v>0</v>
      </c>
      <c r="AQ3" s="459">
        <v>0</v>
      </c>
      <c r="AR3" s="457"/>
      <c r="AS3" s="461">
        <f t="shared" ref="AS3:AS35" si="0">IF(((AO3/80)*AP3*P3)&gt;1,AQ3,((AO3/80)*AP3*P3))</f>
        <v>0</v>
      </c>
      <c r="AT3">
        <f t="shared" ref="AT3:AT35" si="1">IF(AND(M3="F",N3&lt;&gt;"NG",AS3&lt;&gt;0,AND(AR3&lt;&gt;6,AR3&lt;&gt;36,AR3&lt;&gt;56),AG3&lt;&gt;"A",OR(AG3="H",AJ3="FS")),1,IF(AND(M3="F",N3&lt;&gt;"NG",AS3&lt;&gt;0,AG3="A"),3,0))</f>
        <v>0</v>
      </c>
      <c r="AU3" s="461" t="str">
        <f>IF(AT3=0,"",IF(AND(AT3=1,M3="F",SUMIF(C2:C35,C3,AS2:AS35)&lt;=1),SUMIF(C2:C35,C3,AS2:AS35),IF(AND(AT3=1,M3="F",SUMIF(C2:C35,C3,AS2:AS35)&gt;1),1,"")))</f>
        <v/>
      </c>
      <c r="AV3" s="461" t="str">
        <f>IF(AT3=0,"",IF(AND(AT3=3,M3="F",SUMIF(C2:C35,C3,AS2:AS35)&lt;=1),SUMIF(C2:C35,C3,AS2:AS35),IF(AND(AT3=3,M3="F",SUMIF(C2:C35,C3,AS2:AS35)&gt;1),1,"")))</f>
        <v/>
      </c>
      <c r="AW3" s="461">
        <f>SUMIF(C2:C35,C3,O2:O35)</f>
        <v>0</v>
      </c>
      <c r="AX3" s="461">
        <f>IF(AND(M3="F",AS3&lt;&gt;0),SUMIF(C2:C35,C3,W2:W35),0)</f>
        <v>0</v>
      </c>
      <c r="AY3" s="461" t="str">
        <f t="shared" ref="AY3:AY35" si="2">IF(AT3=1,W3,"")</f>
        <v/>
      </c>
      <c r="AZ3" s="461" t="str">
        <f t="shared" ref="AZ3:AZ35" si="3">IF(AT3=3,W3,"")</f>
        <v/>
      </c>
      <c r="BA3" s="461">
        <f t="shared" ref="BA3:BA35" si="4">IF(AT3=1,Y3-W3,0)</f>
        <v>0</v>
      </c>
      <c r="BB3" s="461">
        <f>IF(AND(AT3=1,AK3="E",AU3&gt;=0.75,AW3=1),Health,IF(AND(AT3=1,AK3="E",AU3&gt;=0.75),Health*P3,IF(AND(AT3=1,AK3="E",AU3&gt;=0.5,AW3=1),PTHealth,IF(AND(AT3=1,AK3="E",AU3&gt;=0.5),PTHealth*P3,0))))</f>
        <v>0</v>
      </c>
      <c r="BC3" s="461">
        <f>IF(AND(AT3=3,AK3="E",AV3&gt;=0.75,AW3=1),Health,IF(AND(AT3=3,AK3="E",AV3&gt;=0.75),Health*P3,IF(AND(AT3=3,AK3="E",AV3&gt;=0.5,AW3=1),PTHealth,IF(AND(AT3=3,AK3="E",AV3&gt;=0.5),PTHealth*P3,0))))</f>
        <v>0</v>
      </c>
      <c r="BD3" s="461">
        <f>IF(AND(AT3&lt;&gt;0,AX3&gt;=MAXSSDI),SSDI*MAXSSDI*P3,IF(AT3&lt;&gt;0,SSDI*W3,0))</f>
        <v>0</v>
      </c>
      <c r="BE3" s="461">
        <f>IF(AT3&lt;&gt;0,SSHI*W3,0)</f>
        <v>0</v>
      </c>
      <c r="BF3" s="461">
        <f>IF(AND(AT3&lt;&gt;0,AN3&lt;&gt;"NE"),VLOOKUP(AN3,Retirement_Rates,3,FALSE)*W3,0)</f>
        <v>0</v>
      </c>
      <c r="BG3" s="461">
        <f>IF(AND(AT3&lt;&gt;0,AJ3&lt;&gt;"PF"),Life*W3,0)</f>
        <v>0</v>
      </c>
      <c r="BH3" s="461">
        <f>IF(AND(AT3&lt;&gt;0,AM3="Y"),UI*W3,0)</f>
        <v>0</v>
      </c>
      <c r="BI3" s="461">
        <f>IF(AND(AT3&lt;&gt;0,N3&lt;&gt;"NR"),DHR*W3,0)</f>
        <v>0</v>
      </c>
      <c r="BJ3" s="461">
        <f>IF(AT3&lt;&gt;0,WC*W3,0)</f>
        <v>0</v>
      </c>
      <c r="BK3" s="461">
        <f>IF(OR(AND(AT3&lt;&gt;0,AJ3&lt;&gt;"PF",AN3&lt;&gt;"NE",AG3&lt;&gt;"A"),AND(AL3="E",OR(AT3=1,AT3=3))),Sick*W3,0)</f>
        <v>0</v>
      </c>
      <c r="BL3" s="461">
        <f t="shared" ref="BL3:BL35" si="5">IF(AT3=1,SUM(BD3:BK3),0)</f>
        <v>0</v>
      </c>
      <c r="BM3" s="461">
        <f t="shared" ref="BM3:BM35" si="6">IF(AT3=3,SUM(BD3:BK3),0)</f>
        <v>0</v>
      </c>
      <c r="BN3" s="461">
        <f>IF(AND(AT3=1,AK3="E",AU3&gt;=0.75,AW3=1),HealthBY,IF(AND(AT3=1,AK3="E",AU3&gt;=0.75),HealthBY*P3,IF(AND(AT3=1,AK3="E",AU3&gt;=0.5,AW3=1),PTHealthBY,IF(AND(AT3=1,AK3="E",AU3&gt;=0.5),PTHealthBY*P3,0))))</f>
        <v>0</v>
      </c>
      <c r="BO3" s="461">
        <f>IF(AND(AT3=3,AK3="E",AV3&gt;=0.75,AW3=1),HealthBY,IF(AND(AT3=3,AK3="E",AV3&gt;=0.75),HealthBY*P3,IF(AND(AT3=3,AK3="E",AV3&gt;=0.5,AW3=1),PTHealthBY,IF(AND(AT3=3,AK3="E",AV3&gt;=0.5),PTHealthBY*P3,0))))</f>
        <v>0</v>
      </c>
      <c r="BP3" s="461">
        <f>IF(AND(AT3&lt;&gt;0,(AX3+BA3)&gt;=MAXSSDIBY),SSDIBY*MAXSSDIBY*P3,IF(AT3&lt;&gt;0,SSDIBY*W3,0))</f>
        <v>0</v>
      </c>
      <c r="BQ3" s="461">
        <f>IF(AT3&lt;&gt;0,SSHIBY*W3,0)</f>
        <v>0</v>
      </c>
      <c r="BR3" s="461">
        <f>IF(AND(AT3&lt;&gt;0,AN3&lt;&gt;"NE"),VLOOKUP(AN3,Retirement_Rates,4,FALSE)*W3,0)</f>
        <v>0</v>
      </c>
      <c r="BS3" s="461">
        <f>IF(AND(AT3&lt;&gt;0,AJ3&lt;&gt;"PF"),LifeBY*W3,0)</f>
        <v>0</v>
      </c>
      <c r="BT3" s="461">
        <f>IF(AND(AT3&lt;&gt;0,AM3="Y"),UIBY*W3,0)</f>
        <v>0</v>
      </c>
      <c r="BU3" s="461">
        <f>IF(AND(AT3&lt;&gt;0,N3&lt;&gt;"NR"),DHRBY*W3,0)</f>
        <v>0</v>
      </c>
      <c r="BV3" s="461">
        <f>IF(AT3&lt;&gt;0,WCBY*W3,0)</f>
        <v>0</v>
      </c>
      <c r="BW3" s="461">
        <f>IF(OR(AND(AT3&lt;&gt;0,AJ3&lt;&gt;"PF",AN3&lt;&gt;"NE",AG3&lt;&gt;"A"),AND(AL3="E",OR(AT3=1,AT3=3))),SickBY*W3,0)</f>
        <v>0</v>
      </c>
      <c r="BX3" s="461">
        <f t="shared" ref="BX3:BX35" si="7">IF(AT3=1,SUM(BP3:BW3),0)</f>
        <v>0</v>
      </c>
      <c r="BY3" s="461">
        <f t="shared" ref="BY3:BY35" si="8">IF(AT3=3,SUM(BP3:BW3),0)</f>
        <v>0</v>
      </c>
      <c r="BZ3" s="461">
        <f t="shared" ref="BZ3:BZ35" si="9">IF(AT3=1,BN3-BB3,0)</f>
        <v>0</v>
      </c>
      <c r="CA3" s="461">
        <f t="shared" ref="CA3:CA35" si="10">IF(AT3=3,BO3-BC3,0)</f>
        <v>0</v>
      </c>
      <c r="CB3" s="461">
        <f t="shared" ref="CB3:CB35" si="11">BP3-BD3</f>
        <v>0</v>
      </c>
      <c r="CC3" s="461">
        <f>IF(AT3&lt;&gt;0,SSHICHG*Y3,0)</f>
        <v>0</v>
      </c>
      <c r="CD3" s="461">
        <f>IF(AND(AT3&lt;&gt;0,AN3&lt;&gt;"NE"),VLOOKUP(AN3,Retirement_Rates,5,FALSE)*Y3,0)</f>
        <v>0</v>
      </c>
      <c r="CE3" s="461">
        <f>IF(AND(AT3&lt;&gt;0,AJ3&lt;&gt;"PF"),LifeCHG*Y3,0)</f>
        <v>0</v>
      </c>
      <c r="CF3" s="461">
        <f>IF(AND(AT3&lt;&gt;0,AM3="Y"),UICHG*Y3,0)</f>
        <v>0</v>
      </c>
      <c r="CG3" s="461">
        <f>IF(AND(AT3&lt;&gt;0,N3&lt;&gt;"NR"),DHRCHG*Y3,0)</f>
        <v>0</v>
      </c>
      <c r="CH3" s="461">
        <f>IF(AT3&lt;&gt;0,WCCHG*Y3,0)</f>
        <v>0</v>
      </c>
      <c r="CI3" s="461">
        <f>IF(OR(AND(AT3&lt;&gt;0,AJ3&lt;&gt;"PF",AN3&lt;&gt;"NE",AG3&lt;&gt;"A"),AND(AL3="E",OR(AT3=1,AT3=3))),SickCHG*Y3,0)</f>
        <v>0</v>
      </c>
      <c r="CJ3" s="461">
        <f t="shared" ref="CJ3:CJ35" si="12">IF(AT3=1,SUM(CB3:CI3),0)</f>
        <v>0</v>
      </c>
      <c r="CK3" s="461" t="str">
        <f t="shared" ref="CK3:CK35" si="13">IF(AT3=3,SUM(CB3:CI3),"")</f>
        <v/>
      </c>
      <c r="CL3" s="461" t="str">
        <f t="shared" ref="CL3:CL35" si="14">IF(OR(N3="NG",AG3="D"),(T3+U3),"")</f>
        <v/>
      </c>
      <c r="CM3" s="461" t="str">
        <f t="shared" ref="CM3:CM35" si="15">IF(OR(N3="NG",AG3="D"),V3,"")</f>
        <v/>
      </c>
      <c r="CN3" s="461" t="str">
        <f t="shared" ref="CN3:CN35" si="16">E3 &amp; "-" &amp; F3</f>
        <v>0001-00</v>
      </c>
    </row>
    <row r="4" spans="1:92" ht="15" thickBot="1" x14ac:dyDescent="0.35">
      <c r="A4" s="376" t="s">
        <v>161</v>
      </c>
      <c r="B4" s="376" t="s">
        <v>162</v>
      </c>
      <c r="C4" s="376" t="s">
        <v>180</v>
      </c>
      <c r="D4" s="376" t="s">
        <v>181</v>
      </c>
      <c r="E4" s="376" t="s">
        <v>165</v>
      </c>
      <c r="F4" s="377" t="s">
        <v>166</v>
      </c>
      <c r="G4" s="376" t="s">
        <v>167</v>
      </c>
      <c r="H4" s="378"/>
      <c r="I4" s="378"/>
      <c r="J4" s="376" t="s">
        <v>182</v>
      </c>
      <c r="K4" s="376" t="s">
        <v>183</v>
      </c>
      <c r="L4" s="376" t="s">
        <v>166</v>
      </c>
      <c r="M4" s="376" t="s">
        <v>178</v>
      </c>
      <c r="N4" s="376" t="s">
        <v>171</v>
      </c>
      <c r="O4" s="379">
        <v>0</v>
      </c>
      <c r="P4" s="459">
        <v>0.92</v>
      </c>
      <c r="Q4" s="459">
        <v>0.92</v>
      </c>
      <c r="R4" s="380">
        <v>80</v>
      </c>
      <c r="S4" s="459">
        <v>0.92</v>
      </c>
      <c r="T4" s="380">
        <v>94038.17</v>
      </c>
      <c r="U4" s="380">
        <v>0</v>
      </c>
      <c r="V4" s="380">
        <v>28224.83</v>
      </c>
      <c r="W4" s="380">
        <v>84007.039999999994</v>
      </c>
      <c r="X4" s="380">
        <v>36795.07</v>
      </c>
      <c r="Y4" s="380">
        <v>84007.039999999994</v>
      </c>
      <c r="Z4" s="380">
        <v>36375.040000000001</v>
      </c>
      <c r="AA4" s="378"/>
      <c r="AB4" s="376" t="s">
        <v>45</v>
      </c>
      <c r="AC4" s="376" t="s">
        <v>45</v>
      </c>
      <c r="AD4" s="378"/>
      <c r="AE4" s="378"/>
      <c r="AF4" s="378"/>
      <c r="AG4" s="378"/>
      <c r="AH4" s="379">
        <v>0</v>
      </c>
      <c r="AI4" s="379">
        <v>0</v>
      </c>
      <c r="AJ4" s="378"/>
      <c r="AK4" s="378"/>
      <c r="AL4" s="376" t="s">
        <v>172</v>
      </c>
      <c r="AM4" s="378"/>
      <c r="AN4" s="378"/>
      <c r="AO4" s="379">
        <v>0</v>
      </c>
      <c r="AP4" s="459">
        <v>0</v>
      </c>
      <c r="AQ4" s="459">
        <v>0</v>
      </c>
      <c r="AR4" s="457"/>
      <c r="AS4" s="461">
        <f t="shared" si="0"/>
        <v>0</v>
      </c>
      <c r="AT4">
        <f t="shared" si="1"/>
        <v>0</v>
      </c>
      <c r="AU4" s="461" t="str">
        <f>IF(AT4=0,"",IF(AND(AT4=1,M4="F",SUMIF(C2:C35,C4,AS2:AS35)&lt;=1),SUMIF(C2:C35,C4,AS2:AS35),IF(AND(AT4=1,M4="F",SUMIF(C2:C35,C4,AS2:AS35)&gt;1),1,"")))</f>
        <v/>
      </c>
      <c r="AV4" s="461" t="str">
        <f>IF(AT4=0,"",IF(AND(AT4=3,M4="F",SUMIF(C2:C35,C4,AS2:AS35)&lt;=1),SUMIF(C2:C35,C4,AS2:AS35),IF(AND(AT4=3,M4="F",SUMIF(C2:C35,C4,AS2:AS35)&gt;1),1,"")))</f>
        <v/>
      </c>
      <c r="AW4" s="461">
        <f>SUMIF(C2:C35,C4,O2:O35)</f>
        <v>0</v>
      </c>
      <c r="AX4" s="461">
        <f>IF(AND(M4="F",AS4&lt;&gt;0),SUMIF(C2:C35,C4,W2:W35),0)</f>
        <v>0</v>
      </c>
      <c r="AY4" s="461" t="str">
        <f t="shared" si="2"/>
        <v/>
      </c>
      <c r="AZ4" s="461" t="str">
        <f t="shared" si="3"/>
        <v/>
      </c>
      <c r="BA4" s="461">
        <f t="shared" si="4"/>
        <v>0</v>
      </c>
      <c r="BB4" s="461">
        <f>IF(AND(AT4=1,AK4="E",AU4&gt;=0.75,AW4=1),Health,IF(AND(AT4=1,AK4="E",AU4&gt;=0.75),Health*P4,IF(AND(AT4=1,AK4="E",AU4&gt;=0.5,AW4=1),PTHealth,IF(AND(AT4=1,AK4="E",AU4&gt;=0.5),PTHealth*P4,0))))</f>
        <v>0</v>
      </c>
      <c r="BC4" s="461">
        <f>IF(AND(AT4=3,AK4="E",AV4&gt;=0.75,AW4=1),Health,IF(AND(AT4=3,AK4="E",AV4&gt;=0.75),Health*P4,IF(AND(AT4=3,AK4="E",AV4&gt;=0.5,AW4=1),PTHealth,IF(AND(AT4=3,AK4="E",AV4&gt;=0.5),PTHealth*P4,0))))</f>
        <v>0</v>
      </c>
      <c r="BD4" s="461">
        <f>IF(AND(AT4&lt;&gt;0,AX4&gt;=MAXSSDI),SSDI*MAXSSDI*P4,IF(AT4&lt;&gt;0,SSDI*W4,0))</f>
        <v>0</v>
      </c>
      <c r="BE4" s="461">
        <f>IF(AT4&lt;&gt;0,SSHI*W4,0)</f>
        <v>0</v>
      </c>
      <c r="BF4" s="461">
        <f>IF(AND(AT4&lt;&gt;0,AN4&lt;&gt;"NE"),VLOOKUP(AN4,Retirement_Rates,3,FALSE)*W4,0)</f>
        <v>0</v>
      </c>
      <c r="BG4" s="461">
        <f>IF(AND(AT4&lt;&gt;0,AJ4&lt;&gt;"PF"),Life*W4,0)</f>
        <v>0</v>
      </c>
      <c r="BH4" s="461">
        <f>IF(AND(AT4&lt;&gt;0,AM4="Y"),UI*W4,0)</f>
        <v>0</v>
      </c>
      <c r="BI4" s="461">
        <f>IF(AND(AT4&lt;&gt;0,N4&lt;&gt;"NR"),DHR*W4,0)</f>
        <v>0</v>
      </c>
      <c r="BJ4" s="461">
        <f>IF(AT4&lt;&gt;0,WC*W4,0)</f>
        <v>0</v>
      </c>
      <c r="BK4" s="461">
        <f>IF(OR(AND(AT4&lt;&gt;0,AJ4&lt;&gt;"PF",AN4&lt;&gt;"NE",AG4&lt;&gt;"A"),AND(AL4="E",OR(AT4=1,AT4=3))),Sick*W4,0)</f>
        <v>0</v>
      </c>
      <c r="BL4" s="461">
        <f t="shared" si="5"/>
        <v>0</v>
      </c>
      <c r="BM4" s="461">
        <f t="shared" si="6"/>
        <v>0</v>
      </c>
      <c r="BN4" s="461">
        <f>IF(AND(AT4=1,AK4="E",AU4&gt;=0.75,AW4=1),HealthBY,IF(AND(AT4=1,AK4="E",AU4&gt;=0.75),HealthBY*P4,IF(AND(AT4=1,AK4="E",AU4&gt;=0.5,AW4=1),PTHealthBY,IF(AND(AT4=1,AK4="E",AU4&gt;=0.5),PTHealthBY*P4,0))))</f>
        <v>0</v>
      </c>
      <c r="BO4" s="461">
        <f>IF(AND(AT4=3,AK4="E",AV4&gt;=0.75,AW4=1),HealthBY,IF(AND(AT4=3,AK4="E",AV4&gt;=0.75),HealthBY*P4,IF(AND(AT4=3,AK4="E",AV4&gt;=0.5,AW4=1),PTHealthBY,IF(AND(AT4=3,AK4="E",AV4&gt;=0.5),PTHealthBY*P4,0))))</f>
        <v>0</v>
      </c>
      <c r="BP4" s="461">
        <f>IF(AND(AT4&lt;&gt;0,(AX4+BA4)&gt;=MAXSSDIBY),SSDIBY*MAXSSDIBY*P4,IF(AT4&lt;&gt;0,SSDIBY*W4,0))</f>
        <v>0</v>
      </c>
      <c r="BQ4" s="461">
        <f>IF(AT4&lt;&gt;0,SSHIBY*W4,0)</f>
        <v>0</v>
      </c>
      <c r="BR4" s="461">
        <f>IF(AND(AT4&lt;&gt;0,AN4&lt;&gt;"NE"),VLOOKUP(AN4,Retirement_Rates,4,FALSE)*W4,0)</f>
        <v>0</v>
      </c>
      <c r="BS4" s="461">
        <f>IF(AND(AT4&lt;&gt;0,AJ4&lt;&gt;"PF"),LifeBY*W4,0)</f>
        <v>0</v>
      </c>
      <c r="BT4" s="461">
        <f>IF(AND(AT4&lt;&gt;0,AM4="Y"),UIBY*W4,0)</f>
        <v>0</v>
      </c>
      <c r="BU4" s="461">
        <f>IF(AND(AT4&lt;&gt;0,N4&lt;&gt;"NR"),DHRBY*W4,0)</f>
        <v>0</v>
      </c>
      <c r="BV4" s="461">
        <f>IF(AT4&lt;&gt;0,WCBY*W4,0)</f>
        <v>0</v>
      </c>
      <c r="BW4" s="461">
        <f>IF(OR(AND(AT4&lt;&gt;0,AJ4&lt;&gt;"PF",AN4&lt;&gt;"NE",AG4&lt;&gt;"A"),AND(AL4="E",OR(AT4=1,AT4=3))),SickBY*W4,0)</f>
        <v>0</v>
      </c>
      <c r="BX4" s="461">
        <f t="shared" si="7"/>
        <v>0</v>
      </c>
      <c r="BY4" s="461">
        <f t="shared" si="8"/>
        <v>0</v>
      </c>
      <c r="BZ4" s="461">
        <f t="shared" si="9"/>
        <v>0</v>
      </c>
      <c r="CA4" s="461">
        <f t="shared" si="10"/>
        <v>0</v>
      </c>
      <c r="CB4" s="461">
        <f t="shared" si="11"/>
        <v>0</v>
      </c>
      <c r="CC4" s="461">
        <f>IF(AT4&lt;&gt;0,SSHICHG*Y4,0)</f>
        <v>0</v>
      </c>
      <c r="CD4" s="461">
        <f>IF(AND(AT4&lt;&gt;0,AN4&lt;&gt;"NE"),VLOOKUP(AN4,Retirement_Rates,5,FALSE)*Y4,0)</f>
        <v>0</v>
      </c>
      <c r="CE4" s="461">
        <f>IF(AND(AT4&lt;&gt;0,AJ4&lt;&gt;"PF"),LifeCHG*Y4,0)</f>
        <v>0</v>
      </c>
      <c r="CF4" s="461">
        <f>IF(AND(AT4&lt;&gt;0,AM4="Y"),UICHG*Y4,0)</f>
        <v>0</v>
      </c>
      <c r="CG4" s="461">
        <f>IF(AND(AT4&lt;&gt;0,N4&lt;&gt;"NR"),DHRCHG*Y4,0)</f>
        <v>0</v>
      </c>
      <c r="CH4" s="461">
        <f>IF(AT4&lt;&gt;0,WCCHG*Y4,0)</f>
        <v>0</v>
      </c>
      <c r="CI4" s="461">
        <f>IF(OR(AND(AT4&lt;&gt;0,AJ4&lt;&gt;"PF",AN4&lt;&gt;"NE",AG4&lt;&gt;"A"),AND(AL4="E",OR(AT4=1,AT4=3))),SickCHG*Y4,0)</f>
        <v>0</v>
      </c>
      <c r="CJ4" s="461">
        <f t="shared" si="12"/>
        <v>0</v>
      </c>
      <c r="CK4" s="461" t="str">
        <f t="shared" si="13"/>
        <v/>
      </c>
      <c r="CL4" s="461" t="str">
        <f t="shared" si="14"/>
        <v/>
      </c>
      <c r="CM4" s="461" t="str">
        <f t="shared" si="15"/>
        <v/>
      </c>
      <c r="CN4" s="461" t="str">
        <f t="shared" si="16"/>
        <v>0001-00</v>
      </c>
    </row>
    <row r="5" spans="1:92" ht="15" thickBot="1" x14ac:dyDescent="0.35">
      <c r="A5" s="376" t="s">
        <v>161</v>
      </c>
      <c r="B5" s="376" t="s">
        <v>162</v>
      </c>
      <c r="C5" s="376" t="s">
        <v>184</v>
      </c>
      <c r="D5" s="376" t="s">
        <v>185</v>
      </c>
      <c r="E5" s="376" t="s">
        <v>165</v>
      </c>
      <c r="F5" s="377" t="s">
        <v>166</v>
      </c>
      <c r="G5" s="376" t="s">
        <v>167</v>
      </c>
      <c r="H5" s="378"/>
      <c r="I5" s="378"/>
      <c r="J5" s="376" t="s">
        <v>186</v>
      </c>
      <c r="K5" s="376" t="s">
        <v>187</v>
      </c>
      <c r="L5" s="376" t="s">
        <v>177</v>
      </c>
      <c r="M5" s="376" t="s">
        <v>178</v>
      </c>
      <c r="N5" s="376" t="s">
        <v>179</v>
      </c>
      <c r="O5" s="379">
        <v>0</v>
      </c>
      <c r="P5" s="459">
        <v>1</v>
      </c>
      <c r="Q5" s="459">
        <v>1</v>
      </c>
      <c r="R5" s="380">
        <v>80</v>
      </c>
      <c r="S5" s="459">
        <v>1</v>
      </c>
      <c r="T5" s="380">
        <v>22579.200000000001</v>
      </c>
      <c r="U5" s="380">
        <v>0</v>
      </c>
      <c r="V5" s="380">
        <v>8718.34</v>
      </c>
      <c r="W5" s="380">
        <v>60465.58</v>
      </c>
      <c r="X5" s="380">
        <v>26483.919999999998</v>
      </c>
      <c r="Y5" s="380">
        <v>60465.58</v>
      </c>
      <c r="Z5" s="380">
        <v>26181.58</v>
      </c>
      <c r="AA5" s="378"/>
      <c r="AB5" s="376" t="s">
        <v>45</v>
      </c>
      <c r="AC5" s="376" t="s">
        <v>45</v>
      </c>
      <c r="AD5" s="378"/>
      <c r="AE5" s="378"/>
      <c r="AF5" s="378"/>
      <c r="AG5" s="378"/>
      <c r="AH5" s="379">
        <v>0</v>
      </c>
      <c r="AI5" s="379">
        <v>0</v>
      </c>
      <c r="AJ5" s="378"/>
      <c r="AK5" s="378"/>
      <c r="AL5" s="376" t="s">
        <v>172</v>
      </c>
      <c r="AM5" s="378"/>
      <c r="AN5" s="378"/>
      <c r="AO5" s="379">
        <v>0</v>
      </c>
      <c r="AP5" s="459">
        <v>0</v>
      </c>
      <c r="AQ5" s="459">
        <v>0</v>
      </c>
      <c r="AR5" s="457"/>
      <c r="AS5" s="461">
        <f t="shared" si="0"/>
        <v>0</v>
      </c>
      <c r="AT5">
        <f t="shared" si="1"/>
        <v>0</v>
      </c>
      <c r="AU5" s="461" t="str">
        <f>IF(AT5=0,"",IF(AND(AT5=1,M5="F",SUMIF(C2:C35,C5,AS2:AS35)&lt;=1),SUMIF(C2:C35,C5,AS2:AS35),IF(AND(AT5=1,M5="F",SUMIF(C2:C35,C5,AS2:AS35)&gt;1),1,"")))</f>
        <v/>
      </c>
      <c r="AV5" s="461" t="str">
        <f>IF(AT5=0,"",IF(AND(AT5=3,M5="F",SUMIF(C2:C35,C5,AS2:AS35)&lt;=1),SUMIF(C2:C35,C5,AS2:AS35),IF(AND(AT5=3,M5="F",SUMIF(C2:C35,C5,AS2:AS35)&gt;1),1,"")))</f>
        <v/>
      </c>
      <c r="AW5" s="461">
        <f>SUMIF(C2:C35,C5,O2:O35)</f>
        <v>0</v>
      </c>
      <c r="AX5" s="461">
        <f>IF(AND(M5="F",AS5&lt;&gt;0),SUMIF(C2:C35,C5,W2:W35),0)</f>
        <v>0</v>
      </c>
      <c r="AY5" s="461" t="str">
        <f t="shared" si="2"/>
        <v/>
      </c>
      <c r="AZ5" s="461" t="str">
        <f t="shared" si="3"/>
        <v/>
      </c>
      <c r="BA5" s="461">
        <f t="shared" si="4"/>
        <v>0</v>
      </c>
      <c r="BB5" s="461">
        <f>IF(AND(AT5=1,AK5="E",AU5&gt;=0.75,AW5=1),Health,IF(AND(AT5=1,AK5="E",AU5&gt;=0.75),Health*P5,IF(AND(AT5=1,AK5="E",AU5&gt;=0.5,AW5=1),PTHealth,IF(AND(AT5=1,AK5="E",AU5&gt;=0.5),PTHealth*P5,0))))</f>
        <v>0</v>
      </c>
      <c r="BC5" s="461">
        <f>IF(AND(AT5=3,AK5="E",AV5&gt;=0.75,AW5=1),Health,IF(AND(AT5=3,AK5="E",AV5&gt;=0.75),Health*P5,IF(AND(AT5=3,AK5="E",AV5&gt;=0.5,AW5=1),PTHealth,IF(AND(AT5=3,AK5="E",AV5&gt;=0.5),PTHealth*P5,0))))</f>
        <v>0</v>
      </c>
      <c r="BD5" s="461">
        <f>IF(AND(AT5&lt;&gt;0,AX5&gt;=MAXSSDI),SSDI*MAXSSDI*P5,IF(AT5&lt;&gt;0,SSDI*W5,0))</f>
        <v>0</v>
      </c>
      <c r="BE5" s="461">
        <f>IF(AT5&lt;&gt;0,SSHI*W5,0)</f>
        <v>0</v>
      </c>
      <c r="BF5" s="461">
        <f>IF(AND(AT5&lt;&gt;0,AN5&lt;&gt;"NE"),VLOOKUP(AN5,Retirement_Rates,3,FALSE)*W5,0)</f>
        <v>0</v>
      </c>
      <c r="BG5" s="461">
        <f>IF(AND(AT5&lt;&gt;0,AJ5&lt;&gt;"PF"),Life*W5,0)</f>
        <v>0</v>
      </c>
      <c r="BH5" s="461">
        <f>IF(AND(AT5&lt;&gt;0,AM5="Y"),UI*W5,0)</f>
        <v>0</v>
      </c>
      <c r="BI5" s="461">
        <f>IF(AND(AT5&lt;&gt;0,N5&lt;&gt;"NR"),DHR*W5,0)</f>
        <v>0</v>
      </c>
      <c r="BJ5" s="461">
        <f>IF(AT5&lt;&gt;0,WC*W5,0)</f>
        <v>0</v>
      </c>
      <c r="BK5" s="461">
        <f>IF(OR(AND(AT5&lt;&gt;0,AJ5&lt;&gt;"PF",AN5&lt;&gt;"NE",AG5&lt;&gt;"A"),AND(AL5="E",OR(AT5=1,AT5=3))),Sick*W5,0)</f>
        <v>0</v>
      </c>
      <c r="BL5" s="461">
        <f t="shared" si="5"/>
        <v>0</v>
      </c>
      <c r="BM5" s="461">
        <f t="shared" si="6"/>
        <v>0</v>
      </c>
      <c r="BN5" s="461">
        <f>IF(AND(AT5=1,AK5="E",AU5&gt;=0.75,AW5=1),HealthBY,IF(AND(AT5=1,AK5="E",AU5&gt;=0.75),HealthBY*P5,IF(AND(AT5=1,AK5="E",AU5&gt;=0.5,AW5=1),PTHealthBY,IF(AND(AT5=1,AK5="E",AU5&gt;=0.5),PTHealthBY*P5,0))))</f>
        <v>0</v>
      </c>
      <c r="BO5" s="461">
        <f>IF(AND(AT5=3,AK5="E",AV5&gt;=0.75,AW5=1),HealthBY,IF(AND(AT5=3,AK5="E",AV5&gt;=0.75),HealthBY*P5,IF(AND(AT5=3,AK5="E",AV5&gt;=0.5,AW5=1),PTHealthBY,IF(AND(AT5=3,AK5="E",AV5&gt;=0.5),PTHealthBY*P5,0))))</f>
        <v>0</v>
      </c>
      <c r="BP5" s="461">
        <f>IF(AND(AT5&lt;&gt;0,(AX5+BA5)&gt;=MAXSSDIBY),SSDIBY*MAXSSDIBY*P5,IF(AT5&lt;&gt;0,SSDIBY*W5,0))</f>
        <v>0</v>
      </c>
      <c r="BQ5" s="461">
        <f>IF(AT5&lt;&gt;0,SSHIBY*W5,0)</f>
        <v>0</v>
      </c>
      <c r="BR5" s="461">
        <f>IF(AND(AT5&lt;&gt;0,AN5&lt;&gt;"NE"),VLOOKUP(AN5,Retirement_Rates,4,FALSE)*W5,0)</f>
        <v>0</v>
      </c>
      <c r="BS5" s="461">
        <f>IF(AND(AT5&lt;&gt;0,AJ5&lt;&gt;"PF"),LifeBY*W5,0)</f>
        <v>0</v>
      </c>
      <c r="BT5" s="461">
        <f>IF(AND(AT5&lt;&gt;0,AM5="Y"),UIBY*W5,0)</f>
        <v>0</v>
      </c>
      <c r="BU5" s="461">
        <f>IF(AND(AT5&lt;&gt;0,N5&lt;&gt;"NR"),DHRBY*W5,0)</f>
        <v>0</v>
      </c>
      <c r="BV5" s="461">
        <f>IF(AT5&lt;&gt;0,WCBY*W5,0)</f>
        <v>0</v>
      </c>
      <c r="BW5" s="461">
        <f>IF(OR(AND(AT5&lt;&gt;0,AJ5&lt;&gt;"PF",AN5&lt;&gt;"NE",AG5&lt;&gt;"A"),AND(AL5="E",OR(AT5=1,AT5=3))),SickBY*W5,0)</f>
        <v>0</v>
      </c>
      <c r="BX5" s="461">
        <f t="shared" si="7"/>
        <v>0</v>
      </c>
      <c r="BY5" s="461">
        <f t="shared" si="8"/>
        <v>0</v>
      </c>
      <c r="BZ5" s="461">
        <f t="shared" si="9"/>
        <v>0</v>
      </c>
      <c r="CA5" s="461">
        <f t="shared" si="10"/>
        <v>0</v>
      </c>
      <c r="CB5" s="461">
        <f t="shared" si="11"/>
        <v>0</v>
      </c>
      <c r="CC5" s="461">
        <f>IF(AT5&lt;&gt;0,SSHICHG*Y5,0)</f>
        <v>0</v>
      </c>
      <c r="CD5" s="461">
        <f>IF(AND(AT5&lt;&gt;0,AN5&lt;&gt;"NE"),VLOOKUP(AN5,Retirement_Rates,5,FALSE)*Y5,0)</f>
        <v>0</v>
      </c>
      <c r="CE5" s="461">
        <f>IF(AND(AT5&lt;&gt;0,AJ5&lt;&gt;"PF"),LifeCHG*Y5,0)</f>
        <v>0</v>
      </c>
      <c r="CF5" s="461">
        <f>IF(AND(AT5&lt;&gt;0,AM5="Y"),UICHG*Y5,0)</f>
        <v>0</v>
      </c>
      <c r="CG5" s="461">
        <f>IF(AND(AT5&lt;&gt;0,N5&lt;&gt;"NR"),DHRCHG*Y5,0)</f>
        <v>0</v>
      </c>
      <c r="CH5" s="461">
        <f>IF(AT5&lt;&gt;0,WCCHG*Y5,0)</f>
        <v>0</v>
      </c>
      <c r="CI5" s="461">
        <f>IF(OR(AND(AT5&lt;&gt;0,AJ5&lt;&gt;"PF",AN5&lt;&gt;"NE",AG5&lt;&gt;"A"),AND(AL5="E",OR(AT5=1,AT5=3))),SickCHG*Y5,0)</f>
        <v>0</v>
      </c>
      <c r="CJ5" s="461">
        <f t="shared" si="12"/>
        <v>0</v>
      </c>
      <c r="CK5" s="461" t="str">
        <f t="shared" si="13"/>
        <v/>
      </c>
      <c r="CL5" s="461" t="str">
        <f t="shared" si="14"/>
        <v/>
      </c>
      <c r="CM5" s="461" t="str">
        <f t="shared" si="15"/>
        <v/>
      </c>
      <c r="CN5" s="461" t="str">
        <f t="shared" si="16"/>
        <v>0001-00</v>
      </c>
    </row>
    <row r="6" spans="1:92" ht="15" thickBot="1" x14ac:dyDescent="0.35">
      <c r="A6" s="376" t="s">
        <v>161</v>
      </c>
      <c r="B6" s="376" t="s">
        <v>162</v>
      </c>
      <c r="C6" s="376" t="s">
        <v>188</v>
      </c>
      <c r="D6" s="376" t="s">
        <v>189</v>
      </c>
      <c r="E6" s="376" t="s">
        <v>165</v>
      </c>
      <c r="F6" s="377" t="s">
        <v>166</v>
      </c>
      <c r="G6" s="376" t="s">
        <v>167</v>
      </c>
      <c r="H6" s="378"/>
      <c r="I6" s="378"/>
      <c r="J6" s="376" t="s">
        <v>186</v>
      </c>
      <c r="K6" s="376" t="s">
        <v>190</v>
      </c>
      <c r="L6" s="376" t="s">
        <v>191</v>
      </c>
      <c r="M6" s="376" t="s">
        <v>192</v>
      </c>
      <c r="N6" s="376" t="s">
        <v>179</v>
      </c>
      <c r="O6" s="379">
        <v>1</v>
      </c>
      <c r="P6" s="459">
        <v>1</v>
      </c>
      <c r="Q6" s="459">
        <v>1</v>
      </c>
      <c r="R6" s="380">
        <v>80</v>
      </c>
      <c r="S6" s="459">
        <v>1</v>
      </c>
      <c r="T6" s="380">
        <v>67811.22</v>
      </c>
      <c r="U6" s="380">
        <v>0</v>
      </c>
      <c r="V6" s="380">
        <v>26431.01</v>
      </c>
      <c r="W6" s="380">
        <v>71593.59</v>
      </c>
      <c r="X6" s="380">
        <v>27912.42</v>
      </c>
      <c r="Y6" s="380">
        <v>71593.59</v>
      </c>
      <c r="Z6" s="380">
        <v>27439.91</v>
      </c>
      <c r="AA6" s="376" t="s">
        <v>193</v>
      </c>
      <c r="AB6" s="376" t="s">
        <v>194</v>
      </c>
      <c r="AC6" s="376" t="s">
        <v>195</v>
      </c>
      <c r="AD6" s="376" t="s">
        <v>196</v>
      </c>
      <c r="AE6" s="376" t="s">
        <v>190</v>
      </c>
      <c r="AF6" s="376" t="s">
        <v>197</v>
      </c>
      <c r="AG6" s="376" t="s">
        <v>198</v>
      </c>
      <c r="AH6" s="381">
        <v>34.42</v>
      </c>
      <c r="AI6" s="381">
        <v>25048.5</v>
      </c>
      <c r="AJ6" s="376" t="s">
        <v>199</v>
      </c>
      <c r="AK6" s="376" t="s">
        <v>200</v>
      </c>
      <c r="AL6" s="376" t="s">
        <v>172</v>
      </c>
      <c r="AM6" s="376" t="s">
        <v>201</v>
      </c>
      <c r="AN6" s="376" t="s">
        <v>68</v>
      </c>
      <c r="AO6" s="379">
        <v>80</v>
      </c>
      <c r="AP6" s="459">
        <v>1</v>
      </c>
      <c r="AQ6" s="459">
        <v>1</v>
      </c>
      <c r="AR6" s="458" t="s">
        <v>202</v>
      </c>
      <c r="AS6" s="461">
        <f t="shared" si="0"/>
        <v>1</v>
      </c>
      <c r="AT6">
        <f t="shared" si="1"/>
        <v>1</v>
      </c>
      <c r="AU6" s="461">
        <f>IF(AT6=0,"",IF(AND(AT6=1,M6="F",SUMIF(C2:C35,C6,AS2:AS35)&lt;=1),SUMIF(C2:C35,C6,AS2:AS35),IF(AND(AT6=1,M6="F",SUMIF(C2:C35,C6,AS2:AS35)&gt;1),1,"")))</f>
        <v>1</v>
      </c>
      <c r="AV6" s="461" t="str">
        <f>IF(AT6=0,"",IF(AND(AT6=3,M6="F",SUMIF(C2:C35,C6,AS2:AS35)&lt;=1),SUMIF(C2:C35,C6,AS2:AS35),IF(AND(AT6=3,M6="F",SUMIF(C2:C35,C6,AS2:AS35)&gt;1),1,"")))</f>
        <v/>
      </c>
      <c r="AW6" s="461">
        <f>SUMIF(C2:C35,C6,O2:O35)</f>
        <v>1</v>
      </c>
      <c r="AX6" s="461">
        <f>IF(AND(M6="F",AS6&lt;&gt;0),SUMIF(C2:C35,C6,W2:W35),0)</f>
        <v>71593.59</v>
      </c>
      <c r="AY6" s="461">
        <f t="shared" si="2"/>
        <v>71593.59</v>
      </c>
      <c r="AZ6" s="461" t="str">
        <f t="shared" si="3"/>
        <v/>
      </c>
      <c r="BA6" s="461">
        <f t="shared" si="4"/>
        <v>0</v>
      </c>
      <c r="BB6" s="461">
        <f>IF(AND(AT6=1,AK6="E",AU6&gt;=0.75,AW6=1),Health,IF(AND(AT6=1,AK6="E",AU6&gt;=0.75),Health*P6,IF(AND(AT6=1,AK6="E",AU6&gt;=0.5,AW6=1),PTHealth,IF(AND(AT6=1,AK6="E",AU6&gt;=0.5),PTHealth*P6,0))))</f>
        <v>11650</v>
      </c>
      <c r="BC6" s="461">
        <f>IF(AND(AT6=3,AK6="E",AV6&gt;=0.75,AW6=1),Health,IF(AND(AT6=3,AK6="E",AV6&gt;=0.75),Health*P6,IF(AND(AT6=3,AK6="E",AV6&gt;=0.5,AW6=1),PTHealth,IF(AND(AT6=3,AK6="E",AV6&gt;=0.5),PTHealth*P6,0))))</f>
        <v>0</v>
      </c>
      <c r="BD6" s="461">
        <f>IF(AND(AT6&lt;&gt;0,AX6&gt;=MAXSSDI),SSDI*MAXSSDI*P6,IF(AT6&lt;&gt;0,SSDI*W6,0))</f>
        <v>4438.8025799999996</v>
      </c>
      <c r="BE6" s="461">
        <f>IF(AT6&lt;&gt;0,SSHI*W6,0)</f>
        <v>1038.1070549999999</v>
      </c>
      <c r="BF6" s="461">
        <f>IF(AND(AT6&lt;&gt;0,AN6&lt;&gt;"NE"),VLOOKUP(AN6,Retirement_Rates,3,FALSE)*W6,0)</f>
        <v>8548.2746459999998</v>
      </c>
      <c r="BG6" s="461">
        <f>IF(AND(AT6&lt;&gt;0,AJ6&lt;&gt;"PF"),Life*W6,0)</f>
        <v>516.18978389999995</v>
      </c>
      <c r="BH6" s="461">
        <f>IF(AND(AT6&lt;&gt;0,AM6="Y"),UI*W6,0)</f>
        <v>350.80859099999998</v>
      </c>
      <c r="BI6" s="461">
        <f>IF(AND(AT6&lt;&gt;0,N6&lt;&gt;"NR"),DHR*W6,0)</f>
        <v>396.62848859999997</v>
      </c>
      <c r="BJ6" s="461">
        <f>IF(AT6&lt;&gt;0,WC*W6,0)</f>
        <v>973.67282399999988</v>
      </c>
      <c r="BK6" s="461">
        <f>IF(OR(AND(AT6&lt;&gt;0,AJ6&lt;&gt;"PF",AN6&lt;&gt;"NE",AG6&lt;&gt;"A"),AND(AL6="E",OR(AT6=1,AT6=3))),Sick*W6,0)</f>
        <v>0</v>
      </c>
      <c r="BL6" s="461">
        <f t="shared" si="5"/>
        <v>16262.483968499999</v>
      </c>
      <c r="BM6" s="461">
        <f t="shared" si="6"/>
        <v>0</v>
      </c>
      <c r="BN6" s="461">
        <f>IF(AND(AT6=1,AK6="E",AU6&gt;=0.75,AW6=1),HealthBY,IF(AND(AT6=1,AK6="E",AU6&gt;=0.75),HealthBY*P6,IF(AND(AT6=1,AK6="E",AU6&gt;=0.5,AW6=1),PTHealthBY,IF(AND(AT6=1,AK6="E",AU6&gt;=0.5),PTHealthBY*P6,0))))</f>
        <v>11650</v>
      </c>
      <c r="BO6" s="461">
        <f>IF(AND(AT6=3,AK6="E",AV6&gt;=0.75,AW6=1),HealthBY,IF(AND(AT6=3,AK6="E",AV6&gt;=0.75),HealthBY*P6,IF(AND(AT6=3,AK6="E",AV6&gt;=0.5,AW6=1),PTHealthBY,IF(AND(AT6=3,AK6="E",AV6&gt;=0.5),PTHealthBY*P6,0))))</f>
        <v>0</v>
      </c>
      <c r="BP6" s="461">
        <f>IF(AND(AT6&lt;&gt;0,(AX6+BA6)&gt;=MAXSSDIBY),SSDIBY*MAXSSDIBY*P6,IF(AT6&lt;&gt;0,SSDIBY*W6,0))</f>
        <v>4438.8025799999996</v>
      </c>
      <c r="BQ6" s="461">
        <f>IF(AT6&lt;&gt;0,SSHIBY*W6,0)</f>
        <v>1038.1070549999999</v>
      </c>
      <c r="BR6" s="461">
        <f>IF(AND(AT6&lt;&gt;0,AN6&lt;&gt;"NE"),VLOOKUP(AN6,Retirement_Rates,4,FALSE)*W6,0)</f>
        <v>8548.2746459999998</v>
      </c>
      <c r="BS6" s="461">
        <f>IF(AND(AT6&lt;&gt;0,AJ6&lt;&gt;"PF"),LifeBY*W6,0)</f>
        <v>516.18978389999995</v>
      </c>
      <c r="BT6" s="461">
        <f>IF(AND(AT6&lt;&gt;0,AM6="Y"),UIBY*W6,0)</f>
        <v>0</v>
      </c>
      <c r="BU6" s="461">
        <f>IF(AND(AT6&lt;&gt;0,N6&lt;&gt;"NR"),DHRBY*W6,0)</f>
        <v>396.62848859999997</v>
      </c>
      <c r="BV6" s="461">
        <f>IF(AT6&lt;&gt;0,WCBY*W6,0)</f>
        <v>851.96372099999996</v>
      </c>
      <c r="BW6" s="461">
        <f>IF(OR(AND(AT6&lt;&gt;0,AJ6&lt;&gt;"PF",AN6&lt;&gt;"NE",AG6&lt;&gt;"A"),AND(AL6="E",OR(AT6=1,AT6=3))),SickBY*W6,0)</f>
        <v>0</v>
      </c>
      <c r="BX6" s="461">
        <f t="shared" si="7"/>
        <v>15789.966274499999</v>
      </c>
      <c r="BY6" s="461">
        <f t="shared" si="8"/>
        <v>0</v>
      </c>
      <c r="BZ6" s="461">
        <f t="shared" si="9"/>
        <v>0</v>
      </c>
      <c r="CA6" s="461">
        <f t="shared" si="10"/>
        <v>0</v>
      </c>
      <c r="CB6" s="461">
        <f t="shared" si="11"/>
        <v>0</v>
      </c>
      <c r="CC6" s="461">
        <f>IF(AT6&lt;&gt;0,SSHICHG*Y6,0)</f>
        <v>0</v>
      </c>
      <c r="CD6" s="461">
        <f>IF(AND(AT6&lt;&gt;0,AN6&lt;&gt;"NE"),VLOOKUP(AN6,Retirement_Rates,5,FALSE)*Y6,0)</f>
        <v>0</v>
      </c>
      <c r="CE6" s="461">
        <f>IF(AND(AT6&lt;&gt;0,AJ6&lt;&gt;"PF"),LifeCHG*Y6,0)</f>
        <v>0</v>
      </c>
      <c r="CF6" s="461">
        <f>IF(AND(AT6&lt;&gt;0,AM6="Y"),UICHG*Y6,0)</f>
        <v>-350.80859099999998</v>
      </c>
      <c r="CG6" s="461">
        <f>IF(AND(AT6&lt;&gt;0,N6&lt;&gt;"NR"),DHRCHG*Y6,0)</f>
        <v>0</v>
      </c>
      <c r="CH6" s="461">
        <f>IF(AT6&lt;&gt;0,WCCHG*Y6,0)</f>
        <v>-121.70910299999989</v>
      </c>
      <c r="CI6" s="461">
        <f>IF(OR(AND(AT6&lt;&gt;0,AJ6&lt;&gt;"PF",AN6&lt;&gt;"NE",AG6&lt;&gt;"A"),AND(AL6="E",OR(AT6=1,AT6=3))),SickCHG*Y6,0)</f>
        <v>0</v>
      </c>
      <c r="CJ6" s="461">
        <f t="shared" si="12"/>
        <v>-472.51769399999989</v>
      </c>
      <c r="CK6" s="461" t="str">
        <f t="shared" si="13"/>
        <v/>
      </c>
      <c r="CL6" s="461" t="str">
        <f t="shared" si="14"/>
        <v/>
      </c>
      <c r="CM6" s="461" t="str">
        <f t="shared" si="15"/>
        <v/>
      </c>
      <c r="CN6" s="461" t="str">
        <f t="shared" si="16"/>
        <v>0001-00</v>
      </c>
    </row>
    <row r="7" spans="1:92" ht="15" thickBot="1" x14ac:dyDescent="0.35">
      <c r="A7" s="376" t="s">
        <v>161</v>
      </c>
      <c r="B7" s="376" t="s">
        <v>162</v>
      </c>
      <c r="C7" s="376" t="s">
        <v>203</v>
      </c>
      <c r="D7" s="376" t="s">
        <v>204</v>
      </c>
      <c r="E7" s="376" t="s">
        <v>165</v>
      </c>
      <c r="F7" s="377" t="s">
        <v>166</v>
      </c>
      <c r="G7" s="376" t="s">
        <v>167</v>
      </c>
      <c r="H7" s="378"/>
      <c r="I7" s="378"/>
      <c r="J7" s="376" t="s">
        <v>182</v>
      </c>
      <c r="K7" s="376" t="s">
        <v>205</v>
      </c>
      <c r="L7" s="376" t="s">
        <v>206</v>
      </c>
      <c r="M7" s="376" t="s">
        <v>192</v>
      </c>
      <c r="N7" s="376" t="s">
        <v>179</v>
      </c>
      <c r="O7" s="379">
        <v>1</v>
      </c>
      <c r="P7" s="459">
        <v>0.95</v>
      </c>
      <c r="Q7" s="459">
        <v>0.95</v>
      </c>
      <c r="R7" s="380">
        <v>80</v>
      </c>
      <c r="S7" s="459">
        <v>0.95</v>
      </c>
      <c r="T7" s="380">
        <v>36341.230000000003</v>
      </c>
      <c r="U7" s="380">
        <v>0</v>
      </c>
      <c r="V7" s="380">
        <v>18676.439999999999</v>
      </c>
      <c r="W7" s="380">
        <v>35666.800000000003</v>
      </c>
      <c r="X7" s="380">
        <v>19169.169999999998</v>
      </c>
      <c r="Y7" s="380">
        <v>35666.800000000003</v>
      </c>
      <c r="Z7" s="380">
        <v>18933.78</v>
      </c>
      <c r="AA7" s="376" t="s">
        <v>207</v>
      </c>
      <c r="AB7" s="376" t="s">
        <v>208</v>
      </c>
      <c r="AC7" s="376" t="s">
        <v>209</v>
      </c>
      <c r="AD7" s="376" t="s">
        <v>196</v>
      </c>
      <c r="AE7" s="376" t="s">
        <v>205</v>
      </c>
      <c r="AF7" s="376" t="s">
        <v>210</v>
      </c>
      <c r="AG7" s="376" t="s">
        <v>198</v>
      </c>
      <c r="AH7" s="381">
        <v>18.05</v>
      </c>
      <c r="AI7" s="381">
        <v>7927.2</v>
      </c>
      <c r="AJ7" s="376" t="s">
        <v>199</v>
      </c>
      <c r="AK7" s="376" t="s">
        <v>200</v>
      </c>
      <c r="AL7" s="376" t="s">
        <v>172</v>
      </c>
      <c r="AM7" s="376" t="s">
        <v>201</v>
      </c>
      <c r="AN7" s="376" t="s">
        <v>68</v>
      </c>
      <c r="AO7" s="379">
        <v>80</v>
      </c>
      <c r="AP7" s="459">
        <v>1</v>
      </c>
      <c r="AQ7" s="459">
        <v>0.95</v>
      </c>
      <c r="AR7" s="458" t="s">
        <v>202</v>
      </c>
      <c r="AS7" s="461">
        <f t="shared" si="0"/>
        <v>0.95</v>
      </c>
      <c r="AT7">
        <f t="shared" si="1"/>
        <v>1</v>
      </c>
      <c r="AU7" s="461">
        <f>IF(AT7=0,"",IF(AND(AT7=1,M7="F",SUMIF(C2:C35,C7,AS2:AS35)&lt;=1),SUMIF(C2:C35,C7,AS2:AS35),IF(AND(AT7=1,M7="F",SUMIF(C2:C35,C7,AS2:AS35)&gt;1),1,"")))</f>
        <v>1</v>
      </c>
      <c r="AV7" s="461" t="str">
        <f>IF(AT7=0,"",IF(AND(AT7=3,M7="F",SUMIF(C2:C35,C7,AS2:AS35)&lt;=1),SUMIF(C2:C35,C7,AS2:AS35),IF(AND(AT7=3,M7="F",SUMIF(C2:C35,C7,AS2:AS35)&gt;1),1,"")))</f>
        <v/>
      </c>
      <c r="AW7" s="461">
        <f>SUMIF(C2:C35,C7,O2:O35)</f>
        <v>2</v>
      </c>
      <c r="AX7" s="461">
        <f>IF(AND(M7="F",AS7&lt;&gt;0),SUMIF(C2:C35,C7,W2:W35),0)</f>
        <v>37544</v>
      </c>
      <c r="AY7" s="461">
        <f t="shared" si="2"/>
        <v>35666.800000000003</v>
      </c>
      <c r="AZ7" s="461" t="str">
        <f t="shared" si="3"/>
        <v/>
      </c>
      <c r="BA7" s="461">
        <f t="shared" si="4"/>
        <v>0</v>
      </c>
      <c r="BB7" s="461">
        <f>IF(AND(AT7=1,AK7="E",AU7&gt;=0.75,AW7=1),Health,IF(AND(AT7=1,AK7="E",AU7&gt;=0.75),Health*P7,IF(AND(AT7=1,AK7="E",AU7&gt;=0.5,AW7=1),PTHealth,IF(AND(AT7=1,AK7="E",AU7&gt;=0.5),PTHealth*P7,0))))</f>
        <v>11067.5</v>
      </c>
      <c r="BC7" s="461">
        <f>IF(AND(AT7=3,AK7="E",AV7&gt;=0.75,AW7=1),Health,IF(AND(AT7=3,AK7="E",AV7&gt;=0.75),Health*P7,IF(AND(AT7=3,AK7="E",AV7&gt;=0.5,AW7=1),PTHealth,IF(AND(AT7=3,AK7="E",AV7&gt;=0.5),PTHealth*P7,0))))</f>
        <v>0</v>
      </c>
      <c r="BD7" s="461">
        <f>IF(AND(AT7&lt;&gt;0,AX7&gt;=MAXSSDI),SSDI*MAXSSDI*P7,IF(AT7&lt;&gt;0,SSDI*W7,0))</f>
        <v>2211.3416000000002</v>
      </c>
      <c r="BE7" s="461">
        <f>IF(AT7&lt;&gt;0,SSHI*W7,0)</f>
        <v>517.16860000000008</v>
      </c>
      <c r="BF7" s="461">
        <f>IF(AND(AT7&lt;&gt;0,AN7&lt;&gt;"NE"),VLOOKUP(AN7,Retirement_Rates,3,FALSE)*W7,0)</f>
        <v>4258.6159200000002</v>
      </c>
      <c r="BG7" s="461">
        <f>IF(AND(AT7&lt;&gt;0,AJ7&lt;&gt;"PF"),Life*W7,0)</f>
        <v>257.15762800000005</v>
      </c>
      <c r="BH7" s="461">
        <f>IF(AND(AT7&lt;&gt;0,AM7="Y"),UI*W7,0)</f>
        <v>174.76732000000001</v>
      </c>
      <c r="BI7" s="461">
        <f>IF(AND(AT7&lt;&gt;0,N7&lt;&gt;"NR"),DHR*W7,0)</f>
        <v>197.59407200000001</v>
      </c>
      <c r="BJ7" s="461">
        <f>IF(AT7&lt;&gt;0,WC*W7,0)</f>
        <v>485.06848000000002</v>
      </c>
      <c r="BK7" s="461">
        <f>IF(OR(AND(AT7&lt;&gt;0,AJ7&lt;&gt;"PF",AN7&lt;&gt;"NE",AG7&lt;&gt;"A"),AND(AL7="E",OR(AT7=1,AT7=3))),Sick*W7,0)</f>
        <v>0</v>
      </c>
      <c r="BL7" s="461">
        <f t="shared" si="5"/>
        <v>8101.7136200000004</v>
      </c>
      <c r="BM7" s="461">
        <f t="shared" si="6"/>
        <v>0</v>
      </c>
      <c r="BN7" s="461">
        <f>IF(AND(AT7=1,AK7="E",AU7&gt;=0.75,AW7=1),HealthBY,IF(AND(AT7=1,AK7="E",AU7&gt;=0.75),HealthBY*P7,IF(AND(AT7=1,AK7="E",AU7&gt;=0.5,AW7=1),PTHealthBY,IF(AND(AT7=1,AK7="E",AU7&gt;=0.5),PTHealthBY*P7,0))))</f>
        <v>11067.5</v>
      </c>
      <c r="BO7" s="461">
        <f>IF(AND(AT7=3,AK7="E",AV7&gt;=0.75,AW7=1),HealthBY,IF(AND(AT7=3,AK7="E",AV7&gt;=0.75),HealthBY*P7,IF(AND(AT7=3,AK7="E",AV7&gt;=0.5,AW7=1),PTHealthBY,IF(AND(AT7=3,AK7="E",AV7&gt;=0.5),PTHealthBY*P7,0))))</f>
        <v>0</v>
      </c>
      <c r="BP7" s="461">
        <f>IF(AND(AT7&lt;&gt;0,(AX7+BA7)&gt;=MAXSSDIBY),SSDIBY*MAXSSDIBY*P7,IF(AT7&lt;&gt;0,SSDIBY*W7,0))</f>
        <v>2211.3416000000002</v>
      </c>
      <c r="BQ7" s="461">
        <f>IF(AT7&lt;&gt;0,SSHIBY*W7,0)</f>
        <v>517.16860000000008</v>
      </c>
      <c r="BR7" s="461">
        <f>IF(AND(AT7&lt;&gt;0,AN7&lt;&gt;"NE"),VLOOKUP(AN7,Retirement_Rates,4,FALSE)*W7,0)</f>
        <v>4258.6159200000002</v>
      </c>
      <c r="BS7" s="461">
        <f>IF(AND(AT7&lt;&gt;0,AJ7&lt;&gt;"PF"),LifeBY*W7,0)</f>
        <v>257.15762800000005</v>
      </c>
      <c r="BT7" s="461">
        <f>IF(AND(AT7&lt;&gt;0,AM7="Y"),UIBY*W7,0)</f>
        <v>0</v>
      </c>
      <c r="BU7" s="461">
        <f>IF(AND(AT7&lt;&gt;0,N7&lt;&gt;"NR"),DHRBY*W7,0)</f>
        <v>197.59407200000001</v>
      </c>
      <c r="BV7" s="461">
        <f>IF(AT7&lt;&gt;0,WCBY*W7,0)</f>
        <v>424.43492000000009</v>
      </c>
      <c r="BW7" s="461">
        <f>IF(OR(AND(AT7&lt;&gt;0,AJ7&lt;&gt;"PF",AN7&lt;&gt;"NE",AG7&lt;&gt;"A"),AND(AL7="E",OR(AT7=1,AT7=3))),SickBY*W7,0)</f>
        <v>0</v>
      </c>
      <c r="BX7" s="461">
        <f t="shared" si="7"/>
        <v>7866.3127400000003</v>
      </c>
      <c r="BY7" s="461">
        <f t="shared" si="8"/>
        <v>0</v>
      </c>
      <c r="BZ7" s="461">
        <f t="shared" si="9"/>
        <v>0</v>
      </c>
      <c r="CA7" s="461">
        <f t="shared" si="10"/>
        <v>0</v>
      </c>
      <c r="CB7" s="461">
        <f t="shared" si="11"/>
        <v>0</v>
      </c>
      <c r="CC7" s="461">
        <f>IF(AT7&lt;&gt;0,SSHICHG*Y7,0)</f>
        <v>0</v>
      </c>
      <c r="CD7" s="461">
        <f>IF(AND(AT7&lt;&gt;0,AN7&lt;&gt;"NE"),VLOOKUP(AN7,Retirement_Rates,5,FALSE)*Y7,0)</f>
        <v>0</v>
      </c>
      <c r="CE7" s="461">
        <f>IF(AND(AT7&lt;&gt;0,AJ7&lt;&gt;"PF"),LifeCHG*Y7,0)</f>
        <v>0</v>
      </c>
      <c r="CF7" s="461">
        <f>IF(AND(AT7&lt;&gt;0,AM7="Y"),UICHG*Y7,0)</f>
        <v>-174.76732000000001</v>
      </c>
      <c r="CG7" s="461">
        <f>IF(AND(AT7&lt;&gt;0,N7&lt;&gt;"NR"),DHRCHG*Y7,0)</f>
        <v>0</v>
      </c>
      <c r="CH7" s="461">
        <f>IF(AT7&lt;&gt;0,WCCHG*Y7,0)</f>
        <v>-60.633559999999946</v>
      </c>
      <c r="CI7" s="461">
        <f>IF(OR(AND(AT7&lt;&gt;0,AJ7&lt;&gt;"PF",AN7&lt;&gt;"NE",AG7&lt;&gt;"A"),AND(AL7="E",OR(AT7=1,AT7=3))),SickCHG*Y7,0)</f>
        <v>0</v>
      </c>
      <c r="CJ7" s="461">
        <f t="shared" si="12"/>
        <v>-235.40087999999997</v>
      </c>
      <c r="CK7" s="461" t="str">
        <f t="shared" si="13"/>
        <v/>
      </c>
      <c r="CL7" s="461" t="str">
        <f t="shared" si="14"/>
        <v/>
      </c>
      <c r="CM7" s="461" t="str">
        <f t="shared" si="15"/>
        <v/>
      </c>
      <c r="CN7" s="461" t="str">
        <f t="shared" si="16"/>
        <v>0001-00</v>
      </c>
    </row>
    <row r="8" spans="1:92" ht="15" thickBot="1" x14ac:dyDescent="0.35">
      <c r="A8" s="376" t="s">
        <v>161</v>
      </c>
      <c r="B8" s="376" t="s">
        <v>162</v>
      </c>
      <c r="C8" s="376" t="s">
        <v>211</v>
      </c>
      <c r="D8" s="376" t="s">
        <v>212</v>
      </c>
      <c r="E8" s="376" t="s">
        <v>165</v>
      </c>
      <c r="F8" s="377" t="s">
        <v>166</v>
      </c>
      <c r="G8" s="376" t="s">
        <v>167</v>
      </c>
      <c r="H8" s="378"/>
      <c r="I8" s="378"/>
      <c r="J8" s="376" t="s">
        <v>182</v>
      </c>
      <c r="K8" s="376" t="s">
        <v>213</v>
      </c>
      <c r="L8" s="376" t="s">
        <v>196</v>
      </c>
      <c r="M8" s="376" t="s">
        <v>192</v>
      </c>
      <c r="N8" s="376" t="s">
        <v>179</v>
      </c>
      <c r="O8" s="379">
        <v>1</v>
      </c>
      <c r="P8" s="459">
        <v>0.78</v>
      </c>
      <c r="Q8" s="459">
        <v>0.78</v>
      </c>
      <c r="R8" s="380">
        <v>80</v>
      </c>
      <c r="S8" s="459">
        <v>0.78</v>
      </c>
      <c r="T8" s="380">
        <v>39206.53</v>
      </c>
      <c r="U8" s="380">
        <v>0</v>
      </c>
      <c r="V8" s="380">
        <v>17951.98</v>
      </c>
      <c r="W8" s="380">
        <v>41679.449999999997</v>
      </c>
      <c r="X8" s="380">
        <v>18554.46</v>
      </c>
      <c r="Y8" s="380">
        <v>41679.449999999997</v>
      </c>
      <c r="Z8" s="380">
        <v>18279.38</v>
      </c>
      <c r="AA8" s="376" t="s">
        <v>214</v>
      </c>
      <c r="AB8" s="376" t="s">
        <v>215</v>
      </c>
      <c r="AC8" s="376" t="s">
        <v>216</v>
      </c>
      <c r="AD8" s="376" t="s">
        <v>217</v>
      </c>
      <c r="AE8" s="376" t="s">
        <v>213</v>
      </c>
      <c r="AF8" s="376" t="s">
        <v>218</v>
      </c>
      <c r="AG8" s="376" t="s">
        <v>198</v>
      </c>
      <c r="AH8" s="381">
        <v>25.69</v>
      </c>
      <c r="AI8" s="379">
        <v>21046</v>
      </c>
      <c r="AJ8" s="376" t="s">
        <v>199</v>
      </c>
      <c r="AK8" s="376" t="s">
        <v>200</v>
      </c>
      <c r="AL8" s="376" t="s">
        <v>172</v>
      </c>
      <c r="AM8" s="376" t="s">
        <v>201</v>
      </c>
      <c r="AN8" s="376" t="s">
        <v>68</v>
      </c>
      <c r="AO8" s="379">
        <v>80</v>
      </c>
      <c r="AP8" s="459">
        <v>1</v>
      </c>
      <c r="AQ8" s="459">
        <v>0.78</v>
      </c>
      <c r="AR8" s="458" t="s">
        <v>202</v>
      </c>
      <c r="AS8" s="461">
        <f t="shared" si="0"/>
        <v>0.78</v>
      </c>
      <c r="AT8">
        <f t="shared" si="1"/>
        <v>1</v>
      </c>
      <c r="AU8" s="461">
        <f>IF(AT8=0,"",IF(AND(AT8=1,M8="F",SUMIF(C2:C35,C8,AS2:AS35)&lt;=1),SUMIF(C2:C35,C8,AS2:AS35),IF(AND(AT8=1,M8="F",SUMIF(C2:C35,C8,AS2:AS35)&gt;1),1,"")))</f>
        <v>1</v>
      </c>
      <c r="AV8" s="461" t="str">
        <f>IF(AT8=0,"",IF(AND(AT8=3,M8="F",SUMIF(C2:C35,C8,AS2:AS35)&lt;=1),SUMIF(C2:C35,C8,AS2:AS35),IF(AND(AT8=3,M8="F",SUMIF(C2:C35,C8,AS2:AS35)&gt;1),1,"")))</f>
        <v/>
      </c>
      <c r="AW8" s="461">
        <f>SUMIF(C2:C35,C8,O2:O35)</f>
        <v>2</v>
      </c>
      <c r="AX8" s="461">
        <f>IF(AND(M8="F",AS8&lt;&gt;0),SUMIF(C2:C35,C8,W2:W35),0)</f>
        <v>53435.189999999995</v>
      </c>
      <c r="AY8" s="461">
        <f t="shared" si="2"/>
        <v>41679.449999999997</v>
      </c>
      <c r="AZ8" s="461" t="str">
        <f t="shared" si="3"/>
        <v/>
      </c>
      <c r="BA8" s="461">
        <f t="shared" si="4"/>
        <v>0</v>
      </c>
      <c r="BB8" s="461">
        <f>IF(AND(AT8=1,AK8="E",AU8&gt;=0.75,AW8=1),Health,IF(AND(AT8=1,AK8="E",AU8&gt;=0.75),Health*P8,IF(AND(AT8=1,AK8="E",AU8&gt;=0.5,AW8=1),PTHealth,IF(AND(AT8=1,AK8="E",AU8&gt;=0.5),PTHealth*P8,0))))</f>
        <v>9087</v>
      </c>
      <c r="BC8" s="461">
        <f>IF(AND(AT8=3,AK8="E",AV8&gt;=0.75,AW8=1),Health,IF(AND(AT8=3,AK8="E",AV8&gt;=0.75),Health*P8,IF(AND(AT8=3,AK8="E",AV8&gt;=0.5,AW8=1),PTHealth,IF(AND(AT8=3,AK8="E",AV8&gt;=0.5),PTHealth*P8,0))))</f>
        <v>0</v>
      </c>
      <c r="BD8" s="461">
        <f>IF(AND(AT8&lt;&gt;0,AX8&gt;=MAXSSDI),SSDI*MAXSSDI*P8,IF(AT8&lt;&gt;0,SSDI*W8,0))</f>
        <v>2584.1259</v>
      </c>
      <c r="BE8" s="461">
        <f>IF(AT8&lt;&gt;0,SSHI*W8,0)</f>
        <v>604.35202500000003</v>
      </c>
      <c r="BF8" s="461">
        <f>IF(AND(AT8&lt;&gt;0,AN8&lt;&gt;"NE"),VLOOKUP(AN8,Retirement_Rates,3,FALSE)*W8,0)</f>
        <v>4976.5263299999997</v>
      </c>
      <c r="BG8" s="461">
        <f>IF(AND(AT8&lt;&gt;0,AJ8&lt;&gt;"PF"),Life*W8,0)</f>
        <v>300.50883449999998</v>
      </c>
      <c r="BH8" s="461">
        <f>IF(AND(AT8&lt;&gt;0,AM8="Y"),UI*W8,0)</f>
        <v>204.22930499999998</v>
      </c>
      <c r="BI8" s="461">
        <f>IF(AND(AT8&lt;&gt;0,N8&lt;&gt;"NR"),DHR*W8,0)</f>
        <v>230.90415299999998</v>
      </c>
      <c r="BJ8" s="461">
        <f>IF(AT8&lt;&gt;0,WC*W8,0)</f>
        <v>566.84051999999997</v>
      </c>
      <c r="BK8" s="461">
        <f>IF(OR(AND(AT8&lt;&gt;0,AJ8&lt;&gt;"PF",AN8&lt;&gt;"NE",AG8&lt;&gt;"A"),AND(AL8="E",OR(AT8=1,AT8=3))),Sick*W8,0)</f>
        <v>0</v>
      </c>
      <c r="BL8" s="461">
        <f t="shared" si="5"/>
        <v>9467.4870675000002</v>
      </c>
      <c r="BM8" s="461">
        <f t="shared" si="6"/>
        <v>0</v>
      </c>
      <c r="BN8" s="461">
        <f>IF(AND(AT8=1,AK8="E",AU8&gt;=0.75,AW8=1),HealthBY,IF(AND(AT8=1,AK8="E",AU8&gt;=0.75),HealthBY*P8,IF(AND(AT8=1,AK8="E",AU8&gt;=0.5,AW8=1),PTHealthBY,IF(AND(AT8=1,AK8="E",AU8&gt;=0.5),PTHealthBY*P8,0))))</f>
        <v>9087</v>
      </c>
      <c r="BO8" s="461">
        <f>IF(AND(AT8=3,AK8="E",AV8&gt;=0.75,AW8=1),HealthBY,IF(AND(AT8=3,AK8="E",AV8&gt;=0.75),HealthBY*P8,IF(AND(AT8=3,AK8="E",AV8&gt;=0.5,AW8=1),PTHealthBY,IF(AND(AT8=3,AK8="E",AV8&gt;=0.5),PTHealthBY*P8,0))))</f>
        <v>0</v>
      </c>
      <c r="BP8" s="461">
        <f>IF(AND(AT8&lt;&gt;0,(AX8+BA8)&gt;=MAXSSDIBY),SSDIBY*MAXSSDIBY*P8,IF(AT8&lt;&gt;0,SSDIBY*W8,0))</f>
        <v>2584.1259</v>
      </c>
      <c r="BQ8" s="461">
        <f>IF(AT8&lt;&gt;0,SSHIBY*W8,0)</f>
        <v>604.35202500000003</v>
      </c>
      <c r="BR8" s="461">
        <f>IF(AND(AT8&lt;&gt;0,AN8&lt;&gt;"NE"),VLOOKUP(AN8,Retirement_Rates,4,FALSE)*W8,0)</f>
        <v>4976.5263299999997</v>
      </c>
      <c r="BS8" s="461">
        <f>IF(AND(AT8&lt;&gt;0,AJ8&lt;&gt;"PF"),LifeBY*W8,0)</f>
        <v>300.50883449999998</v>
      </c>
      <c r="BT8" s="461">
        <f>IF(AND(AT8&lt;&gt;0,AM8="Y"),UIBY*W8,0)</f>
        <v>0</v>
      </c>
      <c r="BU8" s="461">
        <f>IF(AND(AT8&lt;&gt;0,N8&lt;&gt;"NR"),DHRBY*W8,0)</f>
        <v>230.90415299999998</v>
      </c>
      <c r="BV8" s="461">
        <f>IF(AT8&lt;&gt;0,WCBY*W8,0)</f>
        <v>495.985455</v>
      </c>
      <c r="BW8" s="461">
        <f>IF(OR(AND(AT8&lt;&gt;0,AJ8&lt;&gt;"PF",AN8&lt;&gt;"NE",AG8&lt;&gt;"A"),AND(AL8="E",OR(AT8=1,AT8=3))),SickBY*W8,0)</f>
        <v>0</v>
      </c>
      <c r="BX8" s="461">
        <f t="shared" si="7"/>
        <v>9192.4026974999997</v>
      </c>
      <c r="BY8" s="461">
        <f t="shared" si="8"/>
        <v>0</v>
      </c>
      <c r="BZ8" s="461">
        <f t="shared" si="9"/>
        <v>0</v>
      </c>
      <c r="CA8" s="461">
        <f t="shared" si="10"/>
        <v>0</v>
      </c>
      <c r="CB8" s="461">
        <f t="shared" si="11"/>
        <v>0</v>
      </c>
      <c r="CC8" s="461">
        <f>IF(AT8&lt;&gt;0,SSHICHG*Y8,0)</f>
        <v>0</v>
      </c>
      <c r="CD8" s="461">
        <f>IF(AND(AT8&lt;&gt;0,AN8&lt;&gt;"NE"),VLOOKUP(AN8,Retirement_Rates,5,FALSE)*Y8,0)</f>
        <v>0</v>
      </c>
      <c r="CE8" s="461">
        <f>IF(AND(AT8&lt;&gt;0,AJ8&lt;&gt;"PF"),LifeCHG*Y8,0)</f>
        <v>0</v>
      </c>
      <c r="CF8" s="461">
        <f>IF(AND(AT8&lt;&gt;0,AM8="Y"),UICHG*Y8,0)</f>
        <v>-204.22930499999998</v>
      </c>
      <c r="CG8" s="461">
        <f>IF(AND(AT8&lt;&gt;0,N8&lt;&gt;"NR"),DHRCHG*Y8,0)</f>
        <v>0</v>
      </c>
      <c r="CH8" s="461">
        <f>IF(AT8&lt;&gt;0,WCCHG*Y8,0)</f>
        <v>-70.855064999999925</v>
      </c>
      <c r="CI8" s="461">
        <f>IF(OR(AND(AT8&lt;&gt;0,AJ8&lt;&gt;"PF",AN8&lt;&gt;"NE",AG8&lt;&gt;"A"),AND(AL8="E",OR(AT8=1,AT8=3))),SickCHG*Y8,0)</f>
        <v>0</v>
      </c>
      <c r="CJ8" s="461">
        <f t="shared" si="12"/>
        <v>-275.08436999999992</v>
      </c>
      <c r="CK8" s="461" t="str">
        <f t="shared" si="13"/>
        <v/>
      </c>
      <c r="CL8" s="461" t="str">
        <f t="shared" si="14"/>
        <v/>
      </c>
      <c r="CM8" s="461" t="str">
        <f t="shared" si="15"/>
        <v/>
      </c>
      <c r="CN8" s="461" t="str">
        <f t="shared" si="16"/>
        <v>0001-00</v>
      </c>
    </row>
    <row r="9" spans="1:92" ht="15" thickBot="1" x14ac:dyDescent="0.35">
      <c r="A9" s="376" t="s">
        <v>161</v>
      </c>
      <c r="B9" s="376" t="s">
        <v>162</v>
      </c>
      <c r="C9" s="376" t="s">
        <v>219</v>
      </c>
      <c r="D9" s="376" t="s">
        <v>220</v>
      </c>
      <c r="E9" s="376" t="s">
        <v>165</v>
      </c>
      <c r="F9" s="377" t="s">
        <v>166</v>
      </c>
      <c r="G9" s="376" t="s">
        <v>167</v>
      </c>
      <c r="H9" s="378"/>
      <c r="I9" s="378"/>
      <c r="J9" s="376" t="s">
        <v>186</v>
      </c>
      <c r="K9" s="376" t="s">
        <v>221</v>
      </c>
      <c r="L9" s="376" t="s">
        <v>222</v>
      </c>
      <c r="M9" s="376" t="s">
        <v>192</v>
      </c>
      <c r="N9" s="376" t="s">
        <v>179</v>
      </c>
      <c r="O9" s="379">
        <v>1</v>
      </c>
      <c r="P9" s="459">
        <v>1</v>
      </c>
      <c r="Q9" s="459">
        <v>1</v>
      </c>
      <c r="R9" s="380">
        <v>60</v>
      </c>
      <c r="S9" s="459">
        <v>0.75</v>
      </c>
      <c r="T9" s="380">
        <v>34558.65</v>
      </c>
      <c r="U9" s="380">
        <v>0</v>
      </c>
      <c r="V9" s="380">
        <v>19326.75</v>
      </c>
      <c r="W9" s="380">
        <v>27167.39</v>
      </c>
      <c r="X9" s="380">
        <v>17821.02</v>
      </c>
      <c r="Y9" s="380">
        <v>27167.39</v>
      </c>
      <c r="Z9" s="380">
        <v>17641.72</v>
      </c>
      <c r="AA9" s="376" t="s">
        <v>223</v>
      </c>
      <c r="AB9" s="376" t="s">
        <v>224</v>
      </c>
      <c r="AC9" s="376" t="s">
        <v>225</v>
      </c>
      <c r="AD9" s="376" t="s">
        <v>226</v>
      </c>
      <c r="AE9" s="376" t="s">
        <v>221</v>
      </c>
      <c r="AF9" s="376" t="s">
        <v>227</v>
      </c>
      <c r="AG9" s="376" t="s">
        <v>198</v>
      </c>
      <c r="AH9" s="381">
        <v>23.22</v>
      </c>
      <c r="AI9" s="381">
        <v>18164.900000000001</v>
      </c>
      <c r="AJ9" s="376" t="s">
        <v>228</v>
      </c>
      <c r="AK9" s="376" t="s">
        <v>200</v>
      </c>
      <c r="AL9" s="376" t="s">
        <v>172</v>
      </c>
      <c r="AM9" s="376" t="s">
        <v>201</v>
      </c>
      <c r="AN9" s="376" t="s">
        <v>68</v>
      </c>
      <c r="AO9" s="379">
        <v>60</v>
      </c>
      <c r="AP9" s="459">
        <v>0.75</v>
      </c>
      <c r="AQ9" s="459">
        <v>0.56000000000000005</v>
      </c>
      <c r="AR9" s="458" t="s">
        <v>202</v>
      </c>
      <c r="AS9" s="461">
        <f t="shared" si="0"/>
        <v>0.5625</v>
      </c>
      <c r="AT9">
        <f t="shared" si="1"/>
        <v>1</v>
      </c>
      <c r="AU9" s="461">
        <f>IF(AT9=0,"",IF(AND(AT9=1,M9="F",SUMIF(C2:C35,C9,AS2:AS35)&lt;=1),SUMIF(C2:C35,C9,AS2:AS35),IF(AND(AT9=1,M9="F",SUMIF(C2:C35,C9,AS2:AS35)&gt;1),1,"")))</f>
        <v>0.5625</v>
      </c>
      <c r="AV9" s="461" t="str">
        <f>IF(AT9=0,"",IF(AND(AT9=3,M9="F",SUMIF(C2:C35,C9,AS2:AS35)&lt;=1),SUMIF(C2:C35,C9,AS2:AS35),IF(AND(AT9=3,M9="F",SUMIF(C2:C35,C9,AS2:AS35)&gt;1),1,"")))</f>
        <v/>
      </c>
      <c r="AW9" s="461">
        <f>SUMIF(C2:C35,C9,O2:O35)</f>
        <v>1</v>
      </c>
      <c r="AX9" s="461">
        <f>IF(AND(M9="F",AS9&lt;&gt;0),SUMIF(C2:C35,C9,W2:W35),0)</f>
        <v>27167.39</v>
      </c>
      <c r="AY9" s="461">
        <f t="shared" si="2"/>
        <v>27167.39</v>
      </c>
      <c r="AZ9" s="461" t="str">
        <f t="shared" si="3"/>
        <v/>
      </c>
      <c r="BA9" s="461">
        <f t="shared" si="4"/>
        <v>0</v>
      </c>
      <c r="BB9" s="461">
        <f>IF(AND(AT9=1,AK9="E",AU9&gt;=0.75,AW9=1),Health,IF(AND(AT9=1,AK9="E",AU9&gt;=0.75),Health*P9,IF(AND(AT9=1,AK9="E",AU9&gt;=0.5,AW9=1),PTHealth,IF(AND(AT9=1,AK9="E",AU9&gt;=0.5),PTHealth*P9,0))))</f>
        <v>9320</v>
      </c>
      <c r="BC9" s="461">
        <f>IF(AND(AT9=3,AK9="E",AV9&gt;=0.75,AW9=1),Health,IF(AND(AT9=3,AK9="E",AV9&gt;=0.75),Health*P9,IF(AND(AT9=3,AK9="E",AV9&gt;=0.5,AW9=1),PTHealth,IF(AND(AT9=3,AK9="E",AV9&gt;=0.5),PTHealth*P9,0))))</f>
        <v>0</v>
      </c>
      <c r="BD9" s="461">
        <f>IF(AND(AT9&lt;&gt;0,AX9&gt;=MAXSSDI),SSDI*MAXSSDI*P9,IF(AT9&lt;&gt;0,SSDI*W9,0))</f>
        <v>1684.3781799999999</v>
      </c>
      <c r="BE9" s="461">
        <f>IF(AT9&lt;&gt;0,SSHI*W9,0)</f>
        <v>393.92715500000003</v>
      </c>
      <c r="BF9" s="461">
        <f>IF(AND(AT9&lt;&gt;0,AN9&lt;&gt;"NE"),VLOOKUP(AN9,Retirement_Rates,3,FALSE)*W9,0)</f>
        <v>3243.7863660000003</v>
      </c>
      <c r="BG9" s="461">
        <f>IF(AND(AT9&lt;&gt;0,AJ9&lt;&gt;"PF"),Life*W9,0)</f>
        <v>195.8768819</v>
      </c>
      <c r="BH9" s="461">
        <f>IF(AND(AT9&lt;&gt;0,AM9="Y"),UI*W9,0)</f>
        <v>133.12021099999998</v>
      </c>
      <c r="BI9" s="461">
        <f>IF(AND(AT9&lt;&gt;0,N9&lt;&gt;"NR"),DHR*W9,0)</f>
        <v>150.50734059999999</v>
      </c>
      <c r="BJ9" s="461">
        <f>IF(AT9&lt;&gt;0,WC*W9,0)</f>
        <v>369.47650399999998</v>
      </c>
      <c r="BK9" s="461">
        <f>IF(OR(AND(AT9&lt;&gt;0,AJ9&lt;&gt;"PF",AN9&lt;&gt;"NE",AG9&lt;&gt;"A"),AND(AL9="E",OR(AT9=1,AT9=3))),Sick*W9,0)</f>
        <v>0</v>
      </c>
      <c r="BL9" s="461">
        <f t="shared" si="5"/>
        <v>6171.0726385000007</v>
      </c>
      <c r="BM9" s="461">
        <f t="shared" si="6"/>
        <v>0</v>
      </c>
      <c r="BN9" s="461">
        <f>IF(AND(AT9=1,AK9="E",AU9&gt;=0.75,AW9=1),HealthBY,IF(AND(AT9=1,AK9="E",AU9&gt;=0.75),HealthBY*P9,IF(AND(AT9=1,AK9="E",AU9&gt;=0.5,AW9=1),PTHealthBY,IF(AND(AT9=1,AK9="E",AU9&gt;=0.5),PTHealthBY*P9,0))))</f>
        <v>9320</v>
      </c>
      <c r="BO9" s="461">
        <f>IF(AND(AT9=3,AK9="E",AV9&gt;=0.75,AW9=1),HealthBY,IF(AND(AT9=3,AK9="E",AV9&gt;=0.75),HealthBY*P9,IF(AND(AT9=3,AK9="E",AV9&gt;=0.5,AW9=1),PTHealthBY,IF(AND(AT9=3,AK9="E",AV9&gt;=0.5),PTHealthBY*P9,0))))</f>
        <v>0</v>
      </c>
      <c r="BP9" s="461">
        <f>IF(AND(AT9&lt;&gt;0,(AX9+BA9)&gt;=MAXSSDIBY),SSDIBY*MAXSSDIBY*P9,IF(AT9&lt;&gt;0,SSDIBY*W9,0))</f>
        <v>1684.3781799999999</v>
      </c>
      <c r="BQ9" s="461">
        <f>IF(AT9&lt;&gt;0,SSHIBY*W9,0)</f>
        <v>393.92715500000003</v>
      </c>
      <c r="BR9" s="461">
        <f>IF(AND(AT9&lt;&gt;0,AN9&lt;&gt;"NE"),VLOOKUP(AN9,Retirement_Rates,4,FALSE)*W9,0)</f>
        <v>3243.7863660000003</v>
      </c>
      <c r="BS9" s="461">
        <f>IF(AND(AT9&lt;&gt;0,AJ9&lt;&gt;"PF"),LifeBY*W9,0)</f>
        <v>195.8768819</v>
      </c>
      <c r="BT9" s="461">
        <f>IF(AND(AT9&lt;&gt;0,AM9="Y"),UIBY*W9,0)</f>
        <v>0</v>
      </c>
      <c r="BU9" s="461">
        <f>IF(AND(AT9&lt;&gt;0,N9&lt;&gt;"NR"),DHRBY*W9,0)</f>
        <v>150.50734059999999</v>
      </c>
      <c r="BV9" s="461">
        <f>IF(AT9&lt;&gt;0,WCBY*W9,0)</f>
        <v>323.29194100000001</v>
      </c>
      <c r="BW9" s="461">
        <f>IF(OR(AND(AT9&lt;&gt;0,AJ9&lt;&gt;"PF",AN9&lt;&gt;"NE",AG9&lt;&gt;"A"),AND(AL9="E",OR(AT9=1,AT9=3))),SickBY*W9,0)</f>
        <v>0</v>
      </c>
      <c r="BX9" s="461">
        <f t="shared" si="7"/>
        <v>5991.7678645000005</v>
      </c>
      <c r="BY9" s="461">
        <f t="shared" si="8"/>
        <v>0</v>
      </c>
      <c r="BZ9" s="461">
        <f t="shared" si="9"/>
        <v>0</v>
      </c>
      <c r="CA9" s="461">
        <f t="shared" si="10"/>
        <v>0</v>
      </c>
      <c r="CB9" s="461">
        <f t="shared" si="11"/>
        <v>0</v>
      </c>
      <c r="CC9" s="461">
        <f>IF(AT9&lt;&gt;0,SSHICHG*Y9,0)</f>
        <v>0</v>
      </c>
      <c r="CD9" s="461">
        <f>IF(AND(AT9&lt;&gt;0,AN9&lt;&gt;"NE"),VLOOKUP(AN9,Retirement_Rates,5,FALSE)*Y9,0)</f>
        <v>0</v>
      </c>
      <c r="CE9" s="461">
        <f>IF(AND(AT9&lt;&gt;0,AJ9&lt;&gt;"PF"),LifeCHG*Y9,0)</f>
        <v>0</v>
      </c>
      <c r="CF9" s="461">
        <f>IF(AND(AT9&lt;&gt;0,AM9="Y"),UICHG*Y9,0)</f>
        <v>-133.12021099999998</v>
      </c>
      <c r="CG9" s="461">
        <f>IF(AND(AT9&lt;&gt;0,N9&lt;&gt;"NR"),DHRCHG*Y9,0)</f>
        <v>0</v>
      </c>
      <c r="CH9" s="461">
        <f>IF(AT9&lt;&gt;0,WCCHG*Y9,0)</f>
        <v>-46.184562999999955</v>
      </c>
      <c r="CI9" s="461">
        <f>IF(OR(AND(AT9&lt;&gt;0,AJ9&lt;&gt;"PF",AN9&lt;&gt;"NE",AG9&lt;&gt;"A"),AND(AL9="E",OR(AT9=1,AT9=3))),SickCHG*Y9,0)</f>
        <v>0</v>
      </c>
      <c r="CJ9" s="461">
        <f t="shared" si="12"/>
        <v>-179.30477399999995</v>
      </c>
      <c r="CK9" s="461" t="str">
        <f t="shared" si="13"/>
        <v/>
      </c>
      <c r="CL9" s="461" t="str">
        <f t="shared" si="14"/>
        <v/>
      </c>
      <c r="CM9" s="461" t="str">
        <f t="shared" si="15"/>
        <v/>
      </c>
      <c r="CN9" s="461" t="str">
        <f t="shared" si="16"/>
        <v>0001-00</v>
      </c>
    </row>
    <row r="10" spans="1:92" ht="15" thickBot="1" x14ac:dyDescent="0.35">
      <c r="A10" s="376" t="s">
        <v>161</v>
      </c>
      <c r="B10" s="376" t="s">
        <v>162</v>
      </c>
      <c r="C10" s="376" t="s">
        <v>229</v>
      </c>
      <c r="D10" s="376" t="s">
        <v>220</v>
      </c>
      <c r="E10" s="376" t="s">
        <v>165</v>
      </c>
      <c r="F10" s="377" t="s">
        <v>166</v>
      </c>
      <c r="G10" s="376" t="s">
        <v>167</v>
      </c>
      <c r="H10" s="378"/>
      <c r="I10" s="378"/>
      <c r="J10" s="376" t="s">
        <v>175</v>
      </c>
      <c r="K10" s="376" t="s">
        <v>221</v>
      </c>
      <c r="L10" s="376" t="s">
        <v>222</v>
      </c>
      <c r="M10" s="376" t="s">
        <v>192</v>
      </c>
      <c r="N10" s="376" t="s">
        <v>179</v>
      </c>
      <c r="O10" s="379">
        <v>1</v>
      </c>
      <c r="P10" s="459">
        <v>1</v>
      </c>
      <c r="Q10" s="459">
        <v>1</v>
      </c>
      <c r="R10" s="380">
        <v>80</v>
      </c>
      <c r="S10" s="459">
        <v>1</v>
      </c>
      <c r="T10" s="380">
        <v>39986.61</v>
      </c>
      <c r="U10" s="380">
        <v>0</v>
      </c>
      <c r="V10" s="380">
        <v>20604.810000000001</v>
      </c>
      <c r="W10" s="380">
        <v>46404.79</v>
      </c>
      <c r="X10" s="380">
        <v>22190.79</v>
      </c>
      <c r="Y10" s="380">
        <v>46404.79</v>
      </c>
      <c r="Z10" s="380">
        <v>21884.52</v>
      </c>
      <c r="AA10" s="376" t="s">
        <v>230</v>
      </c>
      <c r="AB10" s="376" t="s">
        <v>231</v>
      </c>
      <c r="AC10" s="376" t="s">
        <v>232</v>
      </c>
      <c r="AD10" s="376" t="s">
        <v>170</v>
      </c>
      <c r="AE10" s="376" t="s">
        <v>221</v>
      </c>
      <c r="AF10" s="376" t="s">
        <v>227</v>
      </c>
      <c r="AG10" s="376" t="s">
        <v>198</v>
      </c>
      <c r="AH10" s="381">
        <v>22.31</v>
      </c>
      <c r="AI10" s="381">
        <v>48114.9</v>
      </c>
      <c r="AJ10" s="376" t="s">
        <v>199</v>
      </c>
      <c r="AK10" s="376" t="s">
        <v>200</v>
      </c>
      <c r="AL10" s="376" t="s">
        <v>172</v>
      </c>
      <c r="AM10" s="376" t="s">
        <v>201</v>
      </c>
      <c r="AN10" s="376" t="s">
        <v>68</v>
      </c>
      <c r="AO10" s="379">
        <v>80</v>
      </c>
      <c r="AP10" s="459">
        <v>1</v>
      </c>
      <c r="AQ10" s="459">
        <v>1</v>
      </c>
      <c r="AR10" s="458" t="s">
        <v>202</v>
      </c>
      <c r="AS10" s="461">
        <f t="shared" si="0"/>
        <v>1</v>
      </c>
      <c r="AT10">
        <f t="shared" si="1"/>
        <v>1</v>
      </c>
      <c r="AU10" s="461">
        <f>IF(AT10=0,"",IF(AND(AT10=1,M10="F",SUMIF(C2:C35,C10,AS2:AS35)&lt;=1),SUMIF(C2:C35,C10,AS2:AS35),IF(AND(AT10=1,M10="F",SUMIF(C2:C35,C10,AS2:AS35)&gt;1),1,"")))</f>
        <v>1</v>
      </c>
      <c r="AV10" s="461" t="str">
        <f>IF(AT10=0,"",IF(AND(AT10=3,M10="F",SUMIF(C2:C35,C10,AS2:AS35)&lt;=1),SUMIF(C2:C35,C10,AS2:AS35),IF(AND(AT10=3,M10="F",SUMIF(C2:C35,C10,AS2:AS35)&gt;1),1,"")))</f>
        <v/>
      </c>
      <c r="AW10" s="461">
        <f>SUMIF(C2:C35,C10,O2:O35)</f>
        <v>1</v>
      </c>
      <c r="AX10" s="461">
        <f>IF(AND(M10="F",AS10&lt;&gt;0),SUMIF(C2:C35,C10,W2:W35),0)</f>
        <v>46404.79</v>
      </c>
      <c r="AY10" s="461">
        <f t="shared" si="2"/>
        <v>46404.79</v>
      </c>
      <c r="AZ10" s="461" t="str">
        <f t="shared" si="3"/>
        <v/>
      </c>
      <c r="BA10" s="461">
        <f t="shared" si="4"/>
        <v>0</v>
      </c>
      <c r="BB10" s="461">
        <f>IF(AND(AT10=1,AK10="E",AU10&gt;=0.75,AW10=1),Health,IF(AND(AT10=1,AK10="E",AU10&gt;=0.75),Health*P10,IF(AND(AT10=1,AK10="E",AU10&gt;=0.5,AW10=1),PTHealth,IF(AND(AT10=1,AK10="E",AU10&gt;=0.5),PTHealth*P10,0))))</f>
        <v>11650</v>
      </c>
      <c r="BC10" s="461">
        <f>IF(AND(AT10=3,AK10="E",AV10&gt;=0.75,AW10=1),Health,IF(AND(AT10=3,AK10="E",AV10&gt;=0.75),Health*P10,IF(AND(AT10=3,AK10="E",AV10&gt;=0.5,AW10=1),PTHealth,IF(AND(AT10=3,AK10="E",AV10&gt;=0.5),PTHealth*P10,0))))</f>
        <v>0</v>
      </c>
      <c r="BD10" s="461">
        <f>IF(AND(AT10&lt;&gt;0,AX10&gt;=MAXSSDI),SSDI*MAXSSDI*P10,IF(AT10&lt;&gt;0,SSDI*W10,0))</f>
        <v>2877.0969800000003</v>
      </c>
      <c r="BE10" s="461">
        <f>IF(AT10&lt;&gt;0,SSHI*W10,0)</f>
        <v>672.86945500000002</v>
      </c>
      <c r="BF10" s="461">
        <f>IF(AND(AT10&lt;&gt;0,AN10&lt;&gt;"NE"),VLOOKUP(AN10,Retirement_Rates,3,FALSE)*W10,0)</f>
        <v>5540.7319260000004</v>
      </c>
      <c r="BG10" s="461">
        <f>IF(AND(AT10&lt;&gt;0,AJ10&lt;&gt;"PF"),Life*W10,0)</f>
        <v>334.57853590000002</v>
      </c>
      <c r="BH10" s="461">
        <f>IF(AND(AT10&lt;&gt;0,AM10="Y"),UI*W10,0)</f>
        <v>227.38347099999999</v>
      </c>
      <c r="BI10" s="461">
        <f>IF(AND(AT10&lt;&gt;0,N10&lt;&gt;"NR"),DHR*W10,0)</f>
        <v>257.08253659999997</v>
      </c>
      <c r="BJ10" s="461">
        <f>IF(AT10&lt;&gt;0,WC*W10,0)</f>
        <v>631.105144</v>
      </c>
      <c r="BK10" s="461">
        <f>IF(OR(AND(AT10&lt;&gt;0,AJ10&lt;&gt;"PF",AN10&lt;&gt;"NE",AG10&lt;&gt;"A"),AND(AL10="E",OR(AT10=1,AT10=3))),Sick*W10,0)</f>
        <v>0</v>
      </c>
      <c r="BL10" s="461">
        <f t="shared" si="5"/>
        <v>10540.8480485</v>
      </c>
      <c r="BM10" s="461">
        <f t="shared" si="6"/>
        <v>0</v>
      </c>
      <c r="BN10" s="461">
        <f>IF(AND(AT10=1,AK10="E",AU10&gt;=0.75,AW10=1),HealthBY,IF(AND(AT10=1,AK10="E",AU10&gt;=0.75),HealthBY*P10,IF(AND(AT10=1,AK10="E",AU10&gt;=0.5,AW10=1),PTHealthBY,IF(AND(AT10=1,AK10="E",AU10&gt;=0.5),PTHealthBY*P10,0))))</f>
        <v>11650</v>
      </c>
      <c r="BO10" s="461">
        <f>IF(AND(AT10=3,AK10="E",AV10&gt;=0.75,AW10=1),HealthBY,IF(AND(AT10=3,AK10="E",AV10&gt;=0.75),HealthBY*P10,IF(AND(AT10=3,AK10="E",AV10&gt;=0.5,AW10=1),PTHealthBY,IF(AND(AT10=3,AK10="E",AV10&gt;=0.5),PTHealthBY*P10,0))))</f>
        <v>0</v>
      </c>
      <c r="BP10" s="461">
        <f>IF(AND(AT10&lt;&gt;0,(AX10+BA10)&gt;=MAXSSDIBY),SSDIBY*MAXSSDIBY*P10,IF(AT10&lt;&gt;0,SSDIBY*W10,0))</f>
        <v>2877.0969800000003</v>
      </c>
      <c r="BQ10" s="461">
        <f>IF(AT10&lt;&gt;0,SSHIBY*W10,0)</f>
        <v>672.86945500000002</v>
      </c>
      <c r="BR10" s="461">
        <f>IF(AND(AT10&lt;&gt;0,AN10&lt;&gt;"NE"),VLOOKUP(AN10,Retirement_Rates,4,FALSE)*W10,0)</f>
        <v>5540.7319260000004</v>
      </c>
      <c r="BS10" s="461">
        <f>IF(AND(AT10&lt;&gt;0,AJ10&lt;&gt;"PF"),LifeBY*W10,0)</f>
        <v>334.57853590000002</v>
      </c>
      <c r="BT10" s="461">
        <f>IF(AND(AT10&lt;&gt;0,AM10="Y"),UIBY*W10,0)</f>
        <v>0</v>
      </c>
      <c r="BU10" s="461">
        <f>IF(AND(AT10&lt;&gt;0,N10&lt;&gt;"NR"),DHRBY*W10,0)</f>
        <v>257.08253659999997</v>
      </c>
      <c r="BV10" s="461">
        <f>IF(AT10&lt;&gt;0,WCBY*W10,0)</f>
        <v>552.2170010000001</v>
      </c>
      <c r="BW10" s="461">
        <f>IF(OR(AND(AT10&lt;&gt;0,AJ10&lt;&gt;"PF",AN10&lt;&gt;"NE",AG10&lt;&gt;"A"),AND(AL10="E",OR(AT10=1,AT10=3))),SickBY*W10,0)</f>
        <v>0</v>
      </c>
      <c r="BX10" s="461">
        <f t="shared" si="7"/>
        <v>10234.576434500003</v>
      </c>
      <c r="BY10" s="461">
        <f t="shared" si="8"/>
        <v>0</v>
      </c>
      <c r="BZ10" s="461">
        <f t="shared" si="9"/>
        <v>0</v>
      </c>
      <c r="CA10" s="461">
        <f t="shared" si="10"/>
        <v>0</v>
      </c>
      <c r="CB10" s="461">
        <f t="shared" si="11"/>
        <v>0</v>
      </c>
      <c r="CC10" s="461">
        <f>IF(AT10&lt;&gt;0,SSHICHG*Y10,0)</f>
        <v>0</v>
      </c>
      <c r="CD10" s="461">
        <f>IF(AND(AT10&lt;&gt;0,AN10&lt;&gt;"NE"),VLOOKUP(AN10,Retirement_Rates,5,FALSE)*Y10,0)</f>
        <v>0</v>
      </c>
      <c r="CE10" s="461">
        <f>IF(AND(AT10&lt;&gt;0,AJ10&lt;&gt;"PF"),LifeCHG*Y10,0)</f>
        <v>0</v>
      </c>
      <c r="CF10" s="461">
        <f>IF(AND(AT10&lt;&gt;0,AM10="Y"),UICHG*Y10,0)</f>
        <v>-227.38347099999999</v>
      </c>
      <c r="CG10" s="461">
        <f>IF(AND(AT10&lt;&gt;0,N10&lt;&gt;"NR"),DHRCHG*Y10,0)</f>
        <v>0</v>
      </c>
      <c r="CH10" s="461">
        <f>IF(AT10&lt;&gt;0,WCCHG*Y10,0)</f>
        <v>-78.888142999999928</v>
      </c>
      <c r="CI10" s="461">
        <f>IF(OR(AND(AT10&lt;&gt;0,AJ10&lt;&gt;"PF",AN10&lt;&gt;"NE",AG10&lt;&gt;"A"),AND(AL10="E",OR(AT10=1,AT10=3))),SickCHG*Y10,0)</f>
        <v>0</v>
      </c>
      <c r="CJ10" s="461">
        <f t="shared" si="12"/>
        <v>-306.27161399999989</v>
      </c>
      <c r="CK10" s="461" t="str">
        <f t="shared" si="13"/>
        <v/>
      </c>
      <c r="CL10" s="461" t="str">
        <f t="shared" si="14"/>
        <v/>
      </c>
      <c r="CM10" s="461" t="str">
        <f t="shared" si="15"/>
        <v/>
      </c>
      <c r="CN10" s="461" t="str">
        <f t="shared" si="16"/>
        <v>0001-00</v>
      </c>
    </row>
    <row r="11" spans="1:92" ht="15" thickBot="1" x14ac:dyDescent="0.35">
      <c r="A11" s="376" t="s">
        <v>161</v>
      </c>
      <c r="B11" s="376" t="s">
        <v>162</v>
      </c>
      <c r="C11" s="376" t="s">
        <v>233</v>
      </c>
      <c r="D11" s="376" t="s">
        <v>174</v>
      </c>
      <c r="E11" s="376" t="s">
        <v>165</v>
      </c>
      <c r="F11" s="377" t="s">
        <v>166</v>
      </c>
      <c r="G11" s="376" t="s">
        <v>167</v>
      </c>
      <c r="H11" s="378"/>
      <c r="I11" s="378"/>
      <c r="J11" s="376" t="s">
        <v>175</v>
      </c>
      <c r="K11" s="376" t="s">
        <v>176</v>
      </c>
      <c r="L11" s="376" t="s">
        <v>177</v>
      </c>
      <c r="M11" s="376" t="s">
        <v>192</v>
      </c>
      <c r="N11" s="376" t="s">
        <v>179</v>
      </c>
      <c r="O11" s="379">
        <v>1</v>
      </c>
      <c r="P11" s="459">
        <v>1</v>
      </c>
      <c r="Q11" s="459">
        <v>1</v>
      </c>
      <c r="R11" s="380">
        <v>80</v>
      </c>
      <c r="S11" s="459">
        <v>1</v>
      </c>
      <c r="T11" s="380">
        <v>0</v>
      </c>
      <c r="U11" s="380">
        <v>0</v>
      </c>
      <c r="V11" s="380">
        <v>0</v>
      </c>
      <c r="W11" s="380">
        <v>66664</v>
      </c>
      <c r="X11" s="380">
        <v>26792.67</v>
      </c>
      <c r="Y11" s="380">
        <v>66664</v>
      </c>
      <c r="Z11" s="380">
        <v>26352.69</v>
      </c>
      <c r="AA11" s="376" t="s">
        <v>234</v>
      </c>
      <c r="AB11" s="376" t="s">
        <v>235</v>
      </c>
      <c r="AC11" s="376" t="s">
        <v>236</v>
      </c>
      <c r="AD11" s="376" t="s">
        <v>192</v>
      </c>
      <c r="AE11" s="376" t="s">
        <v>176</v>
      </c>
      <c r="AF11" s="376" t="s">
        <v>237</v>
      </c>
      <c r="AG11" s="376" t="s">
        <v>198</v>
      </c>
      <c r="AH11" s="381">
        <v>32.049999999999997</v>
      </c>
      <c r="AI11" s="381">
        <v>67315.7</v>
      </c>
      <c r="AJ11" s="376" t="s">
        <v>199</v>
      </c>
      <c r="AK11" s="376" t="s">
        <v>200</v>
      </c>
      <c r="AL11" s="376" t="s">
        <v>172</v>
      </c>
      <c r="AM11" s="376" t="s">
        <v>201</v>
      </c>
      <c r="AN11" s="376" t="s">
        <v>68</v>
      </c>
      <c r="AO11" s="379">
        <v>80</v>
      </c>
      <c r="AP11" s="459">
        <v>1</v>
      </c>
      <c r="AQ11" s="459">
        <v>1</v>
      </c>
      <c r="AR11" s="458" t="s">
        <v>202</v>
      </c>
      <c r="AS11" s="461">
        <f t="shared" si="0"/>
        <v>1</v>
      </c>
      <c r="AT11">
        <f t="shared" si="1"/>
        <v>1</v>
      </c>
      <c r="AU11" s="461">
        <f>IF(AT11=0,"",IF(AND(AT11=1,M11="F",SUMIF(C2:C35,C11,AS2:AS35)&lt;=1),SUMIF(C2:C35,C11,AS2:AS35),IF(AND(AT11=1,M11="F",SUMIF(C2:C35,C11,AS2:AS35)&gt;1),1,"")))</f>
        <v>1</v>
      </c>
      <c r="AV11" s="461" t="str">
        <f>IF(AT11=0,"",IF(AND(AT11=3,M11="F",SUMIF(C2:C35,C11,AS2:AS35)&lt;=1),SUMIF(C2:C35,C11,AS2:AS35),IF(AND(AT11=3,M11="F",SUMIF(C2:C35,C11,AS2:AS35)&gt;1),1,"")))</f>
        <v/>
      </c>
      <c r="AW11" s="461">
        <f>SUMIF(C2:C35,C11,O2:O35)</f>
        <v>1</v>
      </c>
      <c r="AX11" s="461">
        <f>IF(AND(M11="F",AS11&lt;&gt;0),SUMIF(C2:C35,C11,W2:W35),0)</f>
        <v>66664</v>
      </c>
      <c r="AY11" s="461">
        <f t="shared" si="2"/>
        <v>66664</v>
      </c>
      <c r="AZ11" s="461" t="str">
        <f t="shared" si="3"/>
        <v/>
      </c>
      <c r="BA11" s="461">
        <f t="shared" si="4"/>
        <v>0</v>
      </c>
      <c r="BB11" s="461">
        <f>IF(AND(AT11=1,AK11="E",AU11&gt;=0.75,AW11=1),Health,IF(AND(AT11=1,AK11="E",AU11&gt;=0.75),Health*P11,IF(AND(AT11=1,AK11="E",AU11&gt;=0.5,AW11=1),PTHealth,IF(AND(AT11=1,AK11="E",AU11&gt;=0.5),PTHealth*P11,0))))</f>
        <v>11650</v>
      </c>
      <c r="BC11" s="461">
        <f>IF(AND(AT11=3,AK11="E",AV11&gt;=0.75,AW11=1),Health,IF(AND(AT11=3,AK11="E",AV11&gt;=0.75),Health*P11,IF(AND(AT11=3,AK11="E",AV11&gt;=0.5,AW11=1),PTHealth,IF(AND(AT11=3,AK11="E",AV11&gt;=0.5),PTHealth*P11,0))))</f>
        <v>0</v>
      </c>
      <c r="BD11" s="461">
        <f>IF(AND(AT11&lt;&gt;0,AX11&gt;=MAXSSDI),SSDI*MAXSSDI*P11,IF(AT11&lt;&gt;0,SSDI*W11,0))</f>
        <v>4133.1679999999997</v>
      </c>
      <c r="BE11" s="461">
        <f>IF(AT11&lt;&gt;0,SSHI*W11,0)</f>
        <v>966.62800000000004</v>
      </c>
      <c r="BF11" s="461">
        <f>IF(AND(AT11&lt;&gt;0,AN11&lt;&gt;"NE"),VLOOKUP(AN11,Retirement_Rates,3,FALSE)*W11,0)</f>
        <v>7959.6816000000008</v>
      </c>
      <c r="BG11" s="461">
        <f>IF(AND(AT11&lt;&gt;0,AJ11&lt;&gt;"PF"),Life*W11,0)</f>
        <v>480.64744000000002</v>
      </c>
      <c r="BH11" s="461">
        <f>IF(AND(AT11&lt;&gt;0,AM11="Y"),UI*W11,0)</f>
        <v>326.65359999999998</v>
      </c>
      <c r="BI11" s="461">
        <f>IF(AND(AT11&lt;&gt;0,N11&lt;&gt;"NR"),DHR*W11,0)</f>
        <v>369.31855999999999</v>
      </c>
      <c r="BJ11" s="461">
        <f>IF(AT11&lt;&gt;0,WC*W11,0)</f>
        <v>906.6303999999999</v>
      </c>
      <c r="BK11" s="461">
        <f>IF(OR(AND(AT11&lt;&gt;0,AJ11&lt;&gt;"PF",AN11&lt;&gt;"NE",AG11&lt;&gt;"A"),AND(AL11="E",OR(AT11=1,AT11=3))),Sick*W11,0)</f>
        <v>0</v>
      </c>
      <c r="BL11" s="461">
        <f t="shared" si="5"/>
        <v>15142.7276</v>
      </c>
      <c r="BM11" s="461">
        <f t="shared" si="6"/>
        <v>0</v>
      </c>
      <c r="BN11" s="461">
        <f>IF(AND(AT11=1,AK11="E",AU11&gt;=0.75,AW11=1),HealthBY,IF(AND(AT11=1,AK11="E",AU11&gt;=0.75),HealthBY*P11,IF(AND(AT11=1,AK11="E",AU11&gt;=0.5,AW11=1),PTHealthBY,IF(AND(AT11=1,AK11="E",AU11&gt;=0.5),PTHealthBY*P11,0))))</f>
        <v>11650</v>
      </c>
      <c r="BO11" s="461">
        <f>IF(AND(AT11=3,AK11="E",AV11&gt;=0.75,AW11=1),HealthBY,IF(AND(AT11=3,AK11="E",AV11&gt;=0.75),HealthBY*P11,IF(AND(AT11=3,AK11="E",AV11&gt;=0.5,AW11=1),PTHealthBY,IF(AND(AT11=3,AK11="E",AV11&gt;=0.5),PTHealthBY*P11,0))))</f>
        <v>0</v>
      </c>
      <c r="BP11" s="461">
        <f>IF(AND(AT11&lt;&gt;0,(AX11+BA11)&gt;=MAXSSDIBY),SSDIBY*MAXSSDIBY*P11,IF(AT11&lt;&gt;0,SSDIBY*W11,0))</f>
        <v>4133.1679999999997</v>
      </c>
      <c r="BQ11" s="461">
        <f>IF(AT11&lt;&gt;0,SSHIBY*W11,0)</f>
        <v>966.62800000000004</v>
      </c>
      <c r="BR11" s="461">
        <f>IF(AND(AT11&lt;&gt;0,AN11&lt;&gt;"NE"),VLOOKUP(AN11,Retirement_Rates,4,FALSE)*W11,0)</f>
        <v>7959.6816000000008</v>
      </c>
      <c r="BS11" s="461">
        <f>IF(AND(AT11&lt;&gt;0,AJ11&lt;&gt;"PF"),LifeBY*W11,0)</f>
        <v>480.64744000000002</v>
      </c>
      <c r="BT11" s="461">
        <f>IF(AND(AT11&lt;&gt;0,AM11="Y"),UIBY*W11,0)</f>
        <v>0</v>
      </c>
      <c r="BU11" s="461">
        <f>IF(AND(AT11&lt;&gt;0,N11&lt;&gt;"NR"),DHRBY*W11,0)</f>
        <v>369.31855999999999</v>
      </c>
      <c r="BV11" s="461">
        <f>IF(AT11&lt;&gt;0,WCBY*W11,0)</f>
        <v>793.30160000000001</v>
      </c>
      <c r="BW11" s="461">
        <f>IF(OR(AND(AT11&lt;&gt;0,AJ11&lt;&gt;"PF",AN11&lt;&gt;"NE",AG11&lt;&gt;"A"),AND(AL11="E",OR(AT11=1,AT11=3))),SickBY*W11,0)</f>
        <v>0</v>
      </c>
      <c r="BX11" s="461">
        <f t="shared" si="7"/>
        <v>14702.745200000001</v>
      </c>
      <c r="BY11" s="461">
        <f t="shared" si="8"/>
        <v>0</v>
      </c>
      <c r="BZ11" s="461">
        <f t="shared" si="9"/>
        <v>0</v>
      </c>
      <c r="CA11" s="461">
        <f t="shared" si="10"/>
        <v>0</v>
      </c>
      <c r="CB11" s="461">
        <f t="shared" si="11"/>
        <v>0</v>
      </c>
      <c r="CC11" s="461">
        <f>IF(AT11&lt;&gt;0,SSHICHG*Y11,0)</f>
        <v>0</v>
      </c>
      <c r="CD11" s="461">
        <f>IF(AND(AT11&lt;&gt;0,AN11&lt;&gt;"NE"),VLOOKUP(AN11,Retirement_Rates,5,FALSE)*Y11,0)</f>
        <v>0</v>
      </c>
      <c r="CE11" s="461">
        <f>IF(AND(AT11&lt;&gt;0,AJ11&lt;&gt;"PF"),LifeCHG*Y11,0)</f>
        <v>0</v>
      </c>
      <c r="CF11" s="461">
        <f>IF(AND(AT11&lt;&gt;0,AM11="Y"),UICHG*Y11,0)</f>
        <v>-326.65359999999998</v>
      </c>
      <c r="CG11" s="461">
        <f>IF(AND(AT11&lt;&gt;0,N11&lt;&gt;"NR"),DHRCHG*Y11,0)</f>
        <v>0</v>
      </c>
      <c r="CH11" s="461">
        <f>IF(AT11&lt;&gt;0,WCCHG*Y11,0)</f>
        <v>-113.32879999999989</v>
      </c>
      <c r="CI11" s="461">
        <f>IF(OR(AND(AT11&lt;&gt;0,AJ11&lt;&gt;"PF",AN11&lt;&gt;"NE",AG11&lt;&gt;"A"),AND(AL11="E",OR(AT11=1,AT11=3))),SickCHG*Y11,0)</f>
        <v>0</v>
      </c>
      <c r="CJ11" s="461">
        <f t="shared" si="12"/>
        <v>-439.98239999999987</v>
      </c>
      <c r="CK11" s="461" t="str">
        <f t="shared" si="13"/>
        <v/>
      </c>
      <c r="CL11" s="461" t="str">
        <f t="shared" si="14"/>
        <v/>
      </c>
      <c r="CM11" s="461" t="str">
        <f t="shared" si="15"/>
        <v/>
      </c>
      <c r="CN11" s="461" t="str">
        <f t="shared" si="16"/>
        <v>0001-00</v>
      </c>
    </row>
    <row r="12" spans="1:92" ht="15" thickBot="1" x14ac:dyDescent="0.35">
      <c r="A12" s="376" t="s">
        <v>161</v>
      </c>
      <c r="B12" s="376" t="s">
        <v>162</v>
      </c>
      <c r="C12" s="376" t="s">
        <v>238</v>
      </c>
      <c r="D12" s="376" t="s">
        <v>220</v>
      </c>
      <c r="E12" s="376" t="s">
        <v>165</v>
      </c>
      <c r="F12" s="377" t="s">
        <v>166</v>
      </c>
      <c r="G12" s="376" t="s">
        <v>167</v>
      </c>
      <c r="H12" s="378"/>
      <c r="I12" s="378"/>
      <c r="J12" s="376" t="s">
        <v>186</v>
      </c>
      <c r="K12" s="376" t="s">
        <v>221</v>
      </c>
      <c r="L12" s="376" t="s">
        <v>222</v>
      </c>
      <c r="M12" s="376" t="s">
        <v>192</v>
      </c>
      <c r="N12" s="376" t="s">
        <v>179</v>
      </c>
      <c r="O12" s="379">
        <v>1</v>
      </c>
      <c r="P12" s="459">
        <v>1</v>
      </c>
      <c r="Q12" s="459">
        <v>1</v>
      </c>
      <c r="R12" s="380">
        <v>80</v>
      </c>
      <c r="S12" s="459">
        <v>1</v>
      </c>
      <c r="T12" s="380">
        <v>25798.799999999999</v>
      </c>
      <c r="U12" s="380">
        <v>0</v>
      </c>
      <c r="V12" s="380">
        <v>12577.97</v>
      </c>
      <c r="W12" s="380">
        <v>41600</v>
      </c>
      <c r="X12" s="380">
        <v>21099.41</v>
      </c>
      <c r="Y12" s="380">
        <v>41600</v>
      </c>
      <c r="Z12" s="380">
        <v>20824.849999999999</v>
      </c>
      <c r="AA12" s="376" t="s">
        <v>239</v>
      </c>
      <c r="AB12" s="376" t="s">
        <v>240</v>
      </c>
      <c r="AC12" s="376" t="s">
        <v>241</v>
      </c>
      <c r="AD12" s="376" t="s">
        <v>242</v>
      </c>
      <c r="AE12" s="376" t="s">
        <v>221</v>
      </c>
      <c r="AF12" s="376" t="s">
        <v>227</v>
      </c>
      <c r="AG12" s="376" t="s">
        <v>198</v>
      </c>
      <c r="AH12" s="379">
        <v>20</v>
      </c>
      <c r="AI12" s="379">
        <v>1025</v>
      </c>
      <c r="AJ12" s="376" t="s">
        <v>199</v>
      </c>
      <c r="AK12" s="376" t="s">
        <v>200</v>
      </c>
      <c r="AL12" s="376" t="s">
        <v>172</v>
      </c>
      <c r="AM12" s="376" t="s">
        <v>201</v>
      </c>
      <c r="AN12" s="376" t="s">
        <v>68</v>
      </c>
      <c r="AO12" s="379">
        <v>80</v>
      </c>
      <c r="AP12" s="459">
        <v>1</v>
      </c>
      <c r="AQ12" s="459">
        <v>1</v>
      </c>
      <c r="AR12" s="458" t="s">
        <v>202</v>
      </c>
      <c r="AS12" s="461">
        <f t="shared" si="0"/>
        <v>1</v>
      </c>
      <c r="AT12">
        <f t="shared" si="1"/>
        <v>1</v>
      </c>
      <c r="AU12" s="461">
        <f>IF(AT12=0,"",IF(AND(AT12=1,M12="F",SUMIF(C2:C35,C12,AS2:AS35)&lt;=1),SUMIF(C2:C35,C12,AS2:AS35),IF(AND(AT12=1,M12="F",SUMIF(C2:C35,C12,AS2:AS35)&gt;1),1,"")))</f>
        <v>1</v>
      </c>
      <c r="AV12" s="461" t="str">
        <f>IF(AT12=0,"",IF(AND(AT12=3,M12="F",SUMIF(C2:C35,C12,AS2:AS35)&lt;=1),SUMIF(C2:C35,C12,AS2:AS35),IF(AND(AT12=3,M12="F",SUMIF(C2:C35,C12,AS2:AS35)&gt;1),1,"")))</f>
        <v/>
      </c>
      <c r="AW12" s="461">
        <f>SUMIF(C2:C35,C12,O2:O35)</f>
        <v>1</v>
      </c>
      <c r="AX12" s="461">
        <f>IF(AND(M12="F",AS12&lt;&gt;0),SUMIF(C2:C35,C12,W2:W35),0)</f>
        <v>41600</v>
      </c>
      <c r="AY12" s="461">
        <f t="shared" si="2"/>
        <v>41600</v>
      </c>
      <c r="AZ12" s="461" t="str">
        <f t="shared" si="3"/>
        <v/>
      </c>
      <c r="BA12" s="461">
        <f t="shared" si="4"/>
        <v>0</v>
      </c>
      <c r="BB12" s="461">
        <f>IF(AND(AT12=1,AK12="E",AU12&gt;=0.75,AW12=1),Health,IF(AND(AT12=1,AK12="E",AU12&gt;=0.75),Health*P12,IF(AND(AT12=1,AK12="E",AU12&gt;=0.5,AW12=1),PTHealth,IF(AND(AT12=1,AK12="E",AU12&gt;=0.5),PTHealth*P12,0))))</f>
        <v>11650</v>
      </c>
      <c r="BC12" s="461">
        <f>IF(AND(AT12=3,AK12="E",AV12&gt;=0.75,AW12=1),Health,IF(AND(AT12=3,AK12="E",AV12&gt;=0.75),Health*P12,IF(AND(AT12=3,AK12="E",AV12&gt;=0.5,AW12=1),PTHealth,IF(AND(AT12=3,AK12="E",AV12&gt;=0.5),PTHealth*P12,0))))</f>
        <v>0</v>
      </c>
      <c r="BD12" s="461">
        <f>IF(AND(AT12&lt;&gt;0,AX12&gt;=MAXSSDI),SSDI*MAXSSDI*P12,IF(AT12&lt;&gt;0,SSDI*W12,0))</f>
        <v>2579.1999999999998</v>
      </c>
      <c r="BE12" s="461">
        <f>IF(AT12&lt;&gt;0,SSHI*W12,0)</f>
        <v>603.20000000000005</v>
      </c>
      <c r="BF12" s="461">
        <f>IF(AND(AT12&lt;&gt;0,AN12&lt;&gt;"NE"),VLOOKUP(AN12,Retirement_Rates,3,FALSE)*W12,0)</f>
        <v>4967.04</v>
      </c>
      <c r="BG12" s="461">
        <f>IF(AND(AT12&lt;&gt;0,AJ12&lt;&gt;"PF"),Life*W12,0)</f>
        <v>299.93600000000004</v>
      </c>
      <c r="BH12" s="461">
        <f>IF(AND(AT12&lt;&gt;0,AM12="Y"),UI*W12,0)</f>
        <v>203.84</v>
      </c>
      <c r="BI12" s="461">
        <f>IF(AND(AT12&lt;&gt;0,N12&lt;&gt;"NR"),DHR*W12,0)</f>
        <v>230.464</v>
      </c>
      <c r="BJ12" s="461">
        <f>IF(AT12&lt;&gt;0,WC*W12,0)</f>
        <v>565.76</v>
      </c>
      <c r="BK12" s="461">
        <f>IF(OR(AND(AT12&lt;&gt;0,AJ12&lt;&gt;"PF",AN12&lt;&gt;"NE",AG12&lt;&gt;"A"),AND(AL12="E",OR(AT12=1,AT12=3))),Sick*W12,0)</f>
        <v>0</v>
      </c>
      <c r="BL12" s="461">
        <f t="shared" si="5"/>
        <v>9449.44</v>
      </c>
      <c r="BM12" s="461">
        <f t="shared" si="6"/>
        <v>0</v>
      </c>
      <c r="BN12" s="461">
        <f>IF(AND(AT12=1,AK12="E",AU12&gt;=0.75,AW12=1),HealthBY,IF(AND(AT12=1,AK12="E",AU12&gt;=0.75),HealthBY*P12,IF(AND(AT12=1,AK12="E",AU12&gt;=0.5,AW12=1),PTHealthBY,IF(AND(AT12=1,AK12="E",AU12&gt;=0.5),PTHealthBY*P12,0))))</f>
        <v>11650</v>
      </c>
      <c r="BO12" s="461">
        <f>IF(AND(AT12=3,AK12="E",AV12&gt;=0.75,AW12=1),HealthBY,IF(AND(AT12=3,AK12="E",AV12&gt;=0.75),HealthBY*P12,IF(AND(AT12=3,AK12="E",AV12&gt;=0.5,AW12=1),PTHealthBY,IF(AND(AT12=3,AK12="E",AV12&gt;=0.5),PTHealthBY*P12,0))))</f>
        <v>0</v>
      </c>
      <c r="BP12" s="461">
        <f>IF(AND(AT12&lt;&gt;0,(AX12+BA12)&gt;=MAXSSDIBY),SSDIBY*MAXSSDIBY*P12,IF(AT12&lt;&gt;0,SSDIBY*W12,0))</f>
        <v>2579.1999999999998</v>
      </c>
      <c r="BQ12" s="461">
        <f>IF(AT12&lt;&gt;0,SSHIBY*W12,0)</f>
        <v>603.20000000000005</v>
      </c>
      <c r="BR12" s="461">
        <f>IF(AND(AT12&lt;&gt;0,AN12&lt;&gt;"NE"),VLOOKUP(AN12,Retirement_Rates,4,FALSE)*W12,0)</f>
        <v>4967.04</v>
      </c>
      <c r="BS12" s="461">
        <f>IF(AND(AT12&lt;&gt;0,AJ12&lt;&gt;"PF"),LifeBY*W12,0)</f>
        <v>299.93600000000004</v>
      </c>
      <c r="BT12" s="461">
        <f>IF(AND(AT12&lt;&gt;0,AM12="Y"),UIBY*W12,0)</f>
        <v>0</v>
      </c>
      <c r="BU12" s="461">
        <f>IF(AND(AT12&lt;&gt;0,N12&lt;&gt;"NR"),DHRBY*W12,0)</f>
        <v>230.464</v>
      </c>
      <c r="BV12" s="461">
        <f>IF(AT12&lt;&gt;0,WCBY*W12,0)</f>
        <v>495.04</v>
      </c>
      <c r="BW12" s="461">
        <f>IF(OR(AND(AT12&lt;&gt;0,AJ12&lt;&gt;"PF",AN12&lt;&gt;"NE",AG12&lt;&gt;"A"),AND(AL12="E",OR(AT12=1,AT12=3))),SickBY*W12,0)</f>
        <v>0</v>
      </c>
      <c r="BX12" s="461">
        <f t="shared" si="7"/>
        <v>9174.880000000001</v>
      </c>
      <c r="BY12" s="461">
        <f t="shared" si="8"/>
        <v>0</v>
      </c>
      <c r="BZ12" s="461">
        <f t="shared" si="9"/>
        <v>0</v>
      </c>
      <c r="CA12" s="461">
        <f t="shared" si="10"/>
        <v>0</v>
      </c>
      <c r="CB12" s="461">
        <f t="shared" si="11"/>
        <v>0</v>
      </c>
      <c r="CC12" s="461">
        <f>IF(AT12&lt;&gt;0,SSHICHG*Y12,0)</f>
        <v>0</v>
      </c>
      <c r="CD12" s="461">
        <f>IF(AND(AT12&lt;&gt;0,AN12&lt;&gt;"NE"),VLOOKUP(AN12,Retirement_Rates,5,FALSE)*Y12,0)</f>
        <v>0</v>
      </c>
      <c r="CE12" s="461">
        <f>IF(AND(AT12&lt;&gt;0,AJ12&lt;&gt;"PF"),LifeCHG*Y12,0)</f>
        <v>0</v>
      </c>
      <c r="CF12" s="461">
        <f>IF(AND(AT12&lt;&gt;0,AM12="Y"),UICHG*Y12,0)</f>
        <v>-203.84</v>
      </c>
      <c r="CG12" s="461">
        <f>IF(AND(AT12&lt;&gt;0,N12&lt;&gt;"NR"),DHRCHG*Y12,0)</f>
        <v>0</v>
      </c>
      <c r="CH12" s="461">
        <f>IF(AT12&lt;&gt;0,WCCHG*Y12,0)</f>
        <v>-70.719999999999928</v>
      </c>
      <c r="CI12" s="461">
        <f>IF(OR(AND(AT12&lt;&gt;0,AJ12&lt;&gt;"PF",AN12&lt;&gt;"NE",AG12&lt;&gt;"A"),AND(AL12="E",OR(AT12=1,AT12=3))),SickCHG*Y12,0)</f>
        <v>0</v>
      </c>
      <c r="CJ12" s="461">
        <f t="shared" si="12"/>
        <v>-274.55999999999995</v>
      </c>
      <c r="CK12" s="461" t="str">
        <f t="shared" si="13"/>
        <v/>
      </c>
      <c r="CL12" s="461" t="str">
        <f t="shared" si="14"/>
        <v/>
      </c>
      <c r="CM12" s="461" t="str">
        <f t="shared" si="15"/>
        <v/>
      </c>
      <c r="CN12" s="461" t="str">
        <f t="shared" si="16"/>
        <v>0001-00</v>
      </c>
    </row>
    <row r="13" spans="1:92" ht="15" thickBot="1" x14ac:dyDescent="0.35">
      <c r="A13" s="376" t="s">
        <v>161</v>
      </c>
      <c r="B13" s="376" t="s">
        <v>162</v>
      </c>
      <c r="C13" s="376" t="s">
        <v>243</v>
      </c>
      <c r="D13" s="376" t="s">
        <v>220</v>
      </c>
      <c r="E13" s="376" t="s">
        <v>165</v>
      </c>
      <c r="F13" s="377" t="s">
        <v>166</v>
      </c>
      <c r="G13" s="376" t="s">
        <v>167</v>
      </c>
      <c r="H13" s="378"/>
      <c r="I13" s="378"/>
      <c r="J13" s="376" t="s">
        <v>186</v>
      </c>
      <c r="K13" s="376" t="s">
        <v>221</v>
      </c>
      <c r="L13" s="376" t="s">
        <v>222</v>
      </c>
      <c r="M13" s="376" t="s">
        <v>192</v>
      </c>
      <c r="N13" s="376" t="s">
        <v>179</v>
      </c>
      <c r="O13" s="379">
        <v>1</v>
      </c>
      <c r="P13" s="459">
        <v>1</v>
      </c>
      <c r="Q13" s="459">
        <v>1</v>
      </c>
      <c r="R13" s="380">
        <v>80</v>
      </c>
      <c r="S13" s="459">
        <v>1</v>
      </c>
      <c r="T13" s="380">
        <v>55161.61</v>
      </c>
      <c r="U13" s="380">
        <v>0</v>
      </c>
      <c r="V13" s="380">
        <v>23745.85</v>
      </c>
      <c r="W13" s="380">
        <v>54870.39</v>
      </c>
      <c r="X13" s="380">
        <v>24113.759999999998</v>
      </c>
      <c r="Y13" s="380">
        <v>54870.39</v>
      </c>
      <c r="Z13" s="380">
        <v>23751.62</v>
      </c>
      <c r="AA13" s="376" t="s">
        <v>244</v>
      </c>
      <c r="AB13" s="376" t="s">
        <v>245</v>
      </c>
      <c r="AC13" s="376" t="s">
        <v>246</v>
      </c>
      <c r="AD13" s="376" t="s">
        <v>247</v>
      </c>
      <c r="AE13" s="376" t="s">
        <v>221</v>
      </c>
      <c r="AF13" s="376" t="s">
        <v>227</v>
      </c>
      <c r="AG13" s="376" t="s">
        <v>198</v>
      </c>
      <c r="AH13" s="381">
        <v>26.38</v>
      </c>
      <c r="AI13" s="381">
        <v>49779.8</v>
      </c>
      <c r="AJ13" s="376" t="s">
        <v>199</v>
      </c>
      <c r="AK13" s="376" t="s">
        <v>200</v>
      </c>
      <c r="AL13" s="376" t="s">
        <v>172</v>
      </c>
      <c r="AM13" s="376" t="s">
        <v>201</v>
      </c>
      <c r="AN13" s="376" t="s">
        <v>68</v>
      </c>
      <c r="AO13" s="379">
        <v>80</v>
      </c>
      <c r="AP13" s="459">
        <v>1</v>
      </c>
      <c r="AQ13" s="459">
        <v>1</v>
      </c>
      <c r="AR13" s="458" t="s">
        <v>202</v>
      </c>
      <c r="AS13" s="461">
        <f t="shared" si="0"/>
        <v>1</v>
      </c>
      <c r="AT13">
        <f t="shared" si="1"/>
        <v>1</v>
      </c>
      <c r="AU13" s="461">
        <f>IF(AT13=0,"",IF(AND(AT13=1,M13="F",SUMIF(C2:C35,C13,AS2:AS35)&lt;=1),SUMIF(C2:C35,C13,AS2:AS35),IF(AND(AT13=1,M13="F",SUMIF(C2:C35,C13,AS2:AS35)&gt;1),1,"")))</f>
        <v>1</v>
      </c>
      <c r="AV13" s="461" t="str">
        <f>IF(AT13=0,"",IF(AND(AT13=3,M13="F",SUMIF(C2:C35,C13,AS2:AS35)&lt;=1),SUMIF(C2:C35,C13,AS2:AS35),IF(AND(AT13=3,M13="F",SUMIF(C2:C35,C13,AS2:AS35)&gt;1),1,"")))</f>
        <v/>
      </c>
      <c r="AW13" s="461">
        <f>SUMIF(C2:C35,C13,O2:O35)</f>
        <v>1</v>
      </c>
      <c r="AX13" s="461">
        <f>IF(AND(M13="F",AS13&lt;&gt;0),SUMIF(C2:C35,C13,W2:W35),0)</f>
        <v>54870.39</v>
      </c>
      <c r="AY13" s="461">
        <f t="shared" si="2"/>
        <v>54870.39</v>
      </c>
      <c r="AZ13" s="461" t="str">
        <f t="shared" si="3"/>
        <v/>
      </c>
      <c r="BA13" s="461">
        <f t="shared" si="4"/>
        <v>0</v>
      </c>
      <c r="BB13" s="461">
        <f>IF(AND(AT13=1,AK13="E",AU13&gt;=0.75,AW13=1),Health,IF(AND(AT13=1,AK13="E",AU13&gt;=0.75),Health*P13,IF(AND(AT13=1,AK13="E",AU13&gt;=0.5,AW13=1),PTHealth,IF(AND(AT13=1,AK13="E",AU13&gt;=0.5),PTHealth*P13,0))))</f>
        <v>11650</v>
      </c>
      <c r="BC13" s="461">
        <f>IF(AND(AT13=3,AK13="E",AV13&gt;=0.75,AW13=1),Health,IF(AND(AT13=3,AK13="E",AV13&gt;=0.75),Health*P13,IF(AND(AT13=3,AK13="E",AV13&gt;=0.5,AW13=1),PTHealth,IF(AND(AT13=3,AK13="E",AV13&gt;=0.5),PTHealth*P13,0))))</f>
        <v>0</v>
      </c>
      <c r="BD13" s="461">
        <f>IF(AND(AT13&lt;&gt;0,AX13&gt;=MAXSSDI),SSDI*MAXSSDI*P13,IF(AT13&lt;&gt;0,SSDI*W13,0))</f>
        <v>3401.9641799999999</v>
      </c>
      <c r="BE13" s="461">
        <f>IF(AT13&lt;&gt;0,SSHI*W13,0)</f>
        <v>795.62065500000006</v>
      </c>
      <c r="BF13" s="461">
        <f>IF(AND(AT13&lt;&gt;0,AN13&lt;&gt;"NE"),VLOOKUP(AN13,Retirement_Rates,3,FALSE)*W13,0)</f>
        <v>6551.524566</v>
      </c>
      <c r="BG13" s="461">
        <f>IF(AND(AT13&lt;&gt;0,AJ13&lt;&gt;"PF"),Life*W13,0)</f>
        <v>395.6155119</v>
      </c>
      <c r="BH13" s="461">
        <f>IF(AND(AT13&lt;&gt;0,AM13="Y"),UI*W13,0)</f>
        <v>268.86491100000001</v>
      </c>
      <c r="BI13" s="461">
        <f>IF(AND(AT13&lt;&gt;0,N13&lt;&gt;"NR"),DHR*W13,0)</f>
        <v>303.98196059999998</v>
      </c>
      <c r="BJ13" s="461">
        <f>IF(AT13&lt;&gt;0,WC*W13,0)</f>
        <v>746.23730399999999</v>
      </c>
      <c r="BK13" s="461">
        <f>IF(OR(AND(AT13&lt;&gt;0,AJ13&lt;&gt;"PF",AN13&lt;&gt;"NE",AG13&lt;&gt;"A"),AND(AL13="E",OR(AT13=1,AT13=3))),Sick*W13,0)</f>
        <v>0</v>
      </c>
      <c r="BL13" s="461">
        <f t="shared" si="5"/>
        <v>12463.8090885</v>
      </c>
      <c r="BM13" s="461">
        <f t="shared" si="6"/>
        <v>0</v>
      </c>
      <c r="BN13" s="461">
        <f>IF(AND(AT13=1,AK13="E",AU13&gt;=0.75,AW13=1),HealthBY,IF(AND(AT13=1,AK13="E",AU13&gt;=0.75),HealthBY*P13,IF(AND(AT13=1,AK13="E",AU13&gt;=0.5,AW13=1),PTHealthBY,IF(AND(AT13=1,AK13="E",AU13&gt;=0.5),PTHealthBY*P13,0))))</f>
        <v>11650</v>
      </c>
      <c r="BO13" s="461">
        <f>IF(AND(AT13=3,AK13="E",AV13&gt;=0.75,AW13=1),HealthBY,IF(AND(AT13=3,AK13="E",AV13&gt;=0.75),HealthBY*P13,IF(AND(AT13=3,AK13="E",AV13&gt;=0.5,AW13=1),PTHealthBY,IF(AND(AT13=3,AK13="E",AV13&gt;=0.5),PTHealthBY*P13,0))))</f>
        <v>0</v>
      </c>
      <c r="BP13" s="461">
        <f>IF(AND(AT13&lt;&gt;0,(AX13+BA13)&gt;=MAXSSDIBY),SSDIBY*MAXSSDIBY*P13,IF(AT13&lt;&gt;0,SSDIBY*W13,0))</f>
        <v>3401.9641799999999</v>
      </c>
      <c r="BQ13" s="461">
        <f>IF(AT13&lt;&gt;0,SSHIBY*W13,0)</f>
        <v>795.62065500000006</v>
      </c>
      <c r="BR13" s="461">
        <f>IF(AND(AT13&lt;&gt;0,AN13&lt;&gt;"NE"),VLOOKUP(AN13,Retirement_Rates,4,FALSE)*W13,0)</f>
        <v>6551.524566</v>
      </c>
      <c r="BS13" s="461">
        <f>IF(AND(AT13&lt;&gt;0,AJ13&lt;&gt;"PF"),LifeBY*W13,0)</f>
        <v>395.6155119</v>
      </c>
      <c r="BT13" s="461">
        <f>IF(AND(AT13&lt;&gt;0,AM13="Y"),UIBY*W13,0)</f>
        <v>0</v>
      </c>
      <c r="BU13" s="461">
        <f>IF(AND(AT13&lt;&gt;0,N13&lt;&gt;"NR"),DHRBY*W13,0)</f>
        <v>303.98196059999998</v>
      </c>
      <c r="BV13" s="461">
        <f>IF(AT13&lt;&gt;0,WCBY*W13,0)</f>
        <v>652.95764100000008</v>
      </c>
      <c r="BW13" s="461">
        <f>IF(OR(AND(AT13&lt;&gt;0,AJ13&lt;&gt;"PF",AN13&lt;&gt;"NE",AG13&lt;&gt;"A"),AND(AL13="E",OR(AT13=1,AT13=3))),SickBY*W13,0)</f>
        <v>0</v>
      </c>
      <c r="BX13" s="461">
        <f t="shared" si="7"/>
        <v>12101.6645145</v>
      </c>
      <c r="BY13" s="461">
        <f t="shared" si="8"/>
        <v>0</v>
      </c>
      <c r="BZ13" s="461">
        <f t="shared" si="9"/>
        <v>0</v>
      </c>
      <c r="CA13" s="461">
        <f t="shared" si="10"/>
        <v>0</v>
      </c>
      <c r="CB13" s="461">
        <f t="shared" si="11"/>
        <v>0</v>
      </c>
      <c r="CC13" s="461">
        <f>IF(AT13&lt;&gt;0,SSHICHG*Y13,0)</f>
        <v>0</v>
      </c>
      <c r="CD13" s="461">
        <f>IF(AND(AT13&lt;&gt;0,AN13&lt;&gt;"NE"),VLOOKUP(AN13,Retirement_Rates,5,FALSE)*Y13,0)</f>
        <v>0</v>
      </c>
      <c r="CE13" s="461">
        <f>IF(AND(AT13&lt;&gt;0,AJ13&lt;&gt;"PF"),LifeCHG*Y13,0)</f>
        <v>0</v>
      </c>
      <c r="CF13" s="461">
        <f>IF(AND(AT13&lt;&gt;0,AM13="Y"),UICHG*Y13,0)</f>
        <v>-268.86491100000001</v>
      </c>
      <c r="CG13" s="461">
        <f>IF(AND(AT13&lt;&gt;0,N13&lt;&gt;"NR"),DHRCHG*Y13,0)</f>
        <v>0</v>
      </c>
      <c r="CH13" s="461">
        <f>IF(AT13&lt;&gt;0,WCCHG*Y13,0)</f>
        <v>-93.279662999999914</v>
      </c>
      <c r="CI13" s="461">
        <f>IF(OR(AND(AT13&lt;&gt;0,AJ13&lt;&gt;"PF",AN13&lt;&gt;"NE",AG13&lt;&gt;"A"),AND(AL13="E",OR(AT13=1,AT13=3))),SickCHG*Y13,0)</f>
        <v>0</v>
      </c>
      <c r="CJ13" s="461">
        <f t="shared" si="12"/>
        <v>-362.14457399999992</v>
      </c>
      <c r="CK13" s="461" t="str">
        <f t="shared" si="13"/>
        <v/>
      </c>
      <c r="CL13" s="461" t="str">
        <f t="shared" si="14"/>
        <v/>
      </c>
      <c r="CM13" s="461" t="str">
        <f t="shared" si="15"/>
        <v/>
      </c>
      <c r="CN13" s="461" t="str">
        <f t="shared" si="16"/>
        <v>0001-00</v>
      </c>
    </row>
    <row r="14" spans="1:92" ht="15" thickBot="1" x14ac:dyDescent="0.35">
      <c r="A14" s="376" t="s">
        <v>161</v>
      </c>
      <c r="B14" s="376" t="s">
        <v>162</v>
      </c>
      <c r="C14" s="376" t="s">
        <v>248</v>
      </c>
      <c r="D14" s="376" t="s">
        <v>220</v>
      </c>
      <c r="E14" s="376" t="s">
        <v>165</v>
      </c>
      <c r="F14" s="377" t="s">
        <v>166</v>
      </c>
      <c r="G14" s="376" t="s">
        <v>167</v>
      </c>
      <c r="H14" s="378"/>
      <c r="I14" s="378"/>
      <c r="J14" s="376" t="s">
        <v>186</v>
      </c>
      <c r="K14" s="376" t="s">
        <v>221</v>
      </c>
      <c r="L14" s="376" t="s">
        <v>222</v>
      </c>
      <c r="M14" s="376" t="s">
        <v>192</v>
      </c>
      <c r="N14" s="376" t="s">
        <v>179</v>
      </c>
      <c r="O14" s="379">
        <v>1</v>
      </c>
      <c r="P14" s="459">
        <v>1</v>
      </c>
      <c r="Q14" s="459">
        <v>1</v>
      </c>
      <c r="R14" s="380">
        <v>80</v>
      </c>
      <c r="S14" s="459">
        <v>1</v>
      </c>
      <c r="T14" s="380">
        <v>51472</v>
      </c>
      <c r="U14" s="380">
        <v>0</v>
      </c>
      <c r="V14" s="380">
        <v>22889.14</v>
      </c>
      <c r="W14" s="380">
        <v>53123.18</v>
      </c>
      <c r="X14" s="380">
        <v>23716.89</v>
      </c>
      <c r="Y14" s="380">
        <v>53123.18</v>
      </c>
      <c r="Z14" s="380">
        <v>23366.28</v>
      </c>
      <c r="AA14" s="376" t="s">
        <v>249</v>
      </c>
      <c r="AB14" s="376" t="s">
        <v>250</v>
      </c>
      <c r="AC14" s="376" t="s">
        <v>251</v>
      </c>
      <c r="AD14" s="376" t="s">
        <v>252</v>
      </c>
      <c r="AE14" s="376" t="s">
        <v>221</v>
      </c>
      <c r="AF14" s="376" t="s">
        <v>227</v>
      </c>
      <c r="AG14" s="376" t="s">
        <v>198</v>
      </c>
      <c r="AH14" s="381">
        <v>25.54</v>
      </c>
      <c r="AI14" s="379">
        <v>13669</v>
      </c>
      <c r="AJ14" s="376" t="s">
        <v>199</v>
      </c>
      <c r="AK14" s="376" t="s">
        <v>200</v>
      </c>
      <c r="AL14" s="376" t="s">
        <v>172</v>
      </c>
      <c r="AM14" s="376" t="s">
        <v>201</v>
      </c>
      <c r="AN14" s="376" t="s">
        <v>68</v>
      </c>
      <c r="AO14" s="379">
        <v>80</v>
      </c>
      <c r="AP14" s="459">
        <v>1</v>
      </c>
      <c r="AQ14" s="459">
        <v>1</v>
      </c>
      <c r="AR14" s="458" t="s">
        <v>202</v>
      </c>
      <c r="AS14" s="461">
        <f t="shared" si="0"/>
        <v>1</v>
      </c>
      <c r="AT14">
        <f t="shared" si="1"/>
        <v>1</v>
      </c>
      <c r="AU14" s="461">
        <f>IF(AT14=0,"",IF(AND(AT14=1,M14="F",SUMIF(C2:C35,C14,AS2:AS35)&lt;=1),SUMIF(C2:C35,C14,AS2:AS35),IF(AND(AT14=1,M14="F",SUMIF(C2:C35,C14,AS2:AS35)&gt;1),1,"")))</f>
        <v>1</v>
      </c>
      <c r="AV14" s="461" t="str">
        <f>IF(AT14=0,"",IF(AND(AT14=3,M14="F",SUMIF(C2:C35,C14,AS2:AS35)&lt;=1),SUMIF(C2:C35,C14,AS2:AS35),IF(AND(AT14=3,M14="F",SUMIF(C2:C35,C14,AS2:AS35)&gt;1),1,"")))</f>
        <v/>
      </c>
      <c r="AW14" s="461">
        <f>SUMIF(C2:C35,C14,O2:O35)</f>
        <v>1</v>
      </c>
      <c r="AX14" s="461">
        <f>IF(AND(M14="F",AS14&lt;&gt;0),SUMIF(C2:C35,C14,W2:W35),0)</f>
        <v>53123.18</v>
      </c>
      <c r="AY14" s="461">
        <f t="shared" si="2"/>
        <v>53123.18</v>
      </c>
      <c r="AZ14" s="461" t="str">
        <f t="shared" si="3"/>
        <v/>
      </c>
      <c r="BA14" s="461">
        <f t="shared" si="4"/>
        <v>0</v>
      </c>
      <c r="BB14" s="461">
        <f>IF(AND(AT14=1,AK14="E",AU14&gt;=0.75,AW14=1),Health,IF(AND(AT14=1,AK14="E",AU14&gt;=0.75),Health*P14,IF(AND(AT14=1,AK14="E",AU14&gt;=0.5,AW14=1),PTHealth,IF(AND(AT14=1,AK14="E",AU14&gt;=0.5),PTHealth*P14,0))))</f>
        <v>11650</v>
      </c>
      <c r="BC14" s="461">
        <f>IF(AND(AT14=3,AK14="E",AV14&gt;=0.75,AW14=1),Health,IF(AND(AT14=3,AK14="E",AV14&gt;=0.75),Health*P14,IF(AND(AT14=3,AK14="E",AV14&gt;=0.5,AW14=1),PTHealth,IF(AND(AT14=3,AK14="E",AV14&gt;=0.5),PTHealth*P14,0))))</f>
        <v>0</v>
      </c>
      <c r="BD14" s="461">
        <f>IF(AND(AT14&lt;&gt;0,AX14&gt;=MAXSSDI),SSDI*MAXSSDI*P14,IF(AT14&lt;&gt;0,SSDI*W14,0))</f>
        <v>3293.6371600000002</v>
      </c>
      <c r="BE14" s="461">
        <f>IF(AT14&lt;&gt;0,SSHI*W14,0)</f>
        <v>770.28611000000001</v>
      </c>
      <c r="BF14" s="461">
        <f>IF(AND(AT14&lt;&gt;0,AN14&lt;&gt;"NE"),VLOOKUP(AN14,Retirement_Rates,3,FALSE)*W14,0)</f>
        <v>6342.9076920000007</v>
      </c>
      <c r="BG14" s="461">
        <f>IF(AND(AT14&lt;&gt;0,AJ14&lt;&gt;"PF"),Life*W14,0)</f>
        <v>383.0181278</v>
      </c>
      <c r="BH14" s="461">
        <f>IF(AND(AT14&lt;&gt;0,AM14="Y"),UI*W14,0)</f>
        <v>260.30358200000001</v>
      </c>
      <c r="BI14" s="461">
        <f>IF(AND(AT14&lt;&gt;0,N14&lt;&gt;"NR"),DHR*W14,0)</f>
        <v>294.30241719999998</v>
      </c>
      <c r="BJ14" s="461">
        <f>IF(AT14&lt;&gt;0,WC*W14,0)</f>
        <v>722.47524799999997</v>
      </c>
      <c r="BK14" s="461">
        <f>IF(OR(AND(AT14&lt;&gt;0,AJ14&lt;&gt;"PF",AN14&lt;&gt;"NE",AG14&lt;&gt;"A"),AND(AL14="E",OR(AT14=1,AT14=3))),Sick*W14,0)</f>
        <v>0</v>
      </c>
      <c r="BL14" s="461">
        <f t="shared" si="5"/>
        <v>12066.930337000002</v>
      </c>
      <c r="BM14" s="461">
        <f t="shared" si="6"/>
        <v>0</v>
      </c>
      <c r="BN14" s="461">
        <f>IF(AND(AT14=1,AK14="E",AU14&gt;=0.75,AW14=1),HealthBY,IF(AND(AT14=1,AK14="E",AU14&gt;=0.75),HealthBY*P14,IF(AND(AT14=1,AK14="E",AU14&gt;=0.5,AW14=1),PTHealthBY,IF(AND(AT14=1,AK14="E",AU14&gt;=0.5),PTHealthBY*P14,0))))</f>
        <v>11650</v>
      </c>
      <c r="BO14" s="461">
        <f>IF(AND(AT14=3,AK14="E",AV14&gt;=0.75,AW14=1),HealthBY,IF(AND(AT14=3,AK14="E",AV14&gt;=0.75),HealthBY*P14,IF(AND(AT14=3,AK14="E",AV14&gt;=0.5,AW14=1),PTHealthBY,IF(AND(AT14=3,AK14="E",AV14&gt;=0.5),PTHealthBY*P14,0))))</f>
        <v>0</v>
      </c>
      <c r="BP14" s="461">
        <f>IF(AND(AT14&lt;&gt;0,(AX14+BA14)&gt;=MAXSSDIBY),SSDIBY*MAXSSDIBY*P14,IF(AT14&lt;&gt;0,SSDIBY*W14,0))</f>
        <v>3293.6371600000002</v>
      </c>
      <c r="BQ14" s="461">
        <f>IF(AT14&lt;&gt;0,SSHIBY*W14,0)</f>
        <v>770.28611000000001</v>
      </c>
      <c r="BR14" s="461">
        <f>IF(AND(AT14&lt;&gt;0,AN14&lt;&gt;"NE"),VLOOKUP(AN14,Retirement_Rates,4,FALSE)*W14,0)</f>
        <v>6342.9076920000007</v>
      </c>
      <c r="BS14" s="461">
        <f>IF(AND(AT14&lt;&gt;0,AJ14&lt;&gt;"PF"),LifeBY*W14,0)</f>
        <v>383.0181278</v>
      </c>
      <c r="BT14" s="461">
        <f>IF(AND(AT14&lt;&gt;0,AM14="Y"),UIBY*W14,0)</f>
        <v>0</v>
      </c>
      <c r="BU14" s="461">
        <f>IF(AND(AT14&lt;&gt;0,N14&lt;&gt;"NR"),DHRBY*W14,0)</f>
        <v>294.30241719999998</v>
      </c>
      <c r="BV14" s="461">
        <f>IF(AT14&lt;&gt;0,WCBY*W14,0)</f>
        <v>632.165842</v>
      </c>
      <c r="BW14" s="461">
        <f>IF(OR(AND(AT14&lt;&gt;0,AJ14&lt;&gt;"PF",AN14&lt;&gt;"NE",AG14&lt;&gt;"A"),AND(AL14="E",OR(AT14=1,AT14=3))),SickBY*W14,0)</f>
        <v>0</v>
      </c>
      <c r="BX14" s="461">
        <f t="shared" si="7"/>
        <v>11716.317349000001</v>
      </c>
      <c r="BY14" s="461">
        <f t="shared" si="8"/>
        <v>0</v>
      </c>
      <c r="BZ14" s="461">
        <f t="shared" si="9"/>
        <v>0</v>
      </c>
      <c r="CA14" s="461">
        <f t="shared" si="10"/>
        <v>0</v>
      </c>
      <c r="CB14" s="461">
        <f t="shared" si="11"/>
        <v>0</v>
      </c>
      <c r="CC14" s="461">
        <f>IF(AT14&lt;&gt;0,SSHICHG*Y14,0)</f>
        <v>0</v>
      </c>
      <c r="CD14" s="461">
        <f>IF(AND(AT14&lt;&gt;0,AN14&lt;&gt;"NE"),VLOOKUP(AN14,Retirement_Rates,5,FALSE)*Y14,0)</f>
        <v>0</v>
      </c>
      <c r="CE14" s="461">
        <f>IF(AND(AT14&lt;&gt;0,AJ14&lt;&gt;"PF"),LifeCHG*Y14,0)</f>
        <v>0</v>
      </c>
      <c r="CF14" s="461">
        <f>IF(AND(AT14&lt;&gt;0,AM14="Y"),UICHG*Y14,0)</f>
        <v>-260.30358200000001</v>
      </c>
      <c r="CG14" s="461">
        <f>IF(AND(AT14&lt;&gt;0,N14&lt;&gt;"NR"),DHRCHG*Y14,0)</f>
        <v>0</v>
      </c>
      <c r="CH14" s="461">
        <f>IF(AT14&lt;&gt;0,WCCHG*Y14,0)</f>
        <v>-90.30940599999991</v>
      </c>
      <c r="CI14" s="461">
        <f>IF(OR(AND(AT14&lt;&gt;0,AJ14&lt;&gt;"PF",AN14&lt;&gt;"NE",AG14&lt;&gt;"A"),AND(AL14="E",OR(AT14=1,AT14=3))),SickCHG*Y14,0)</f>
        <v>0</v>
      </c>
      <c r="CJ14" s="461">
        <f t="shared" si="12"/>
        <v>-350.61298799999992</v>
      </c>
      <c r="CK14" s="461" t="str">
        <f t="shared" si="13"/>
        <v/>
      </c>
      <c r="CL14" s="461" t="str">
        <f t="shared" si="14"/>
        <v/>
      </c>
      <c r="CM14" s="461" t="str">
        <f t="shared" si="15"/>
        <v/>
      </c>
      <c r="CN14" s="461" t="str">
        <f t="shared" si="16"/>
        <v>0001-00</v>
      </c>
    </row>
    <row r="15" spans="1:92" ht="15" thickBot="1" x14ac:dyDescent="0.35">
      <c r="A15" s="376" t="s">
        <v>161</v>
      </c>
      <c r="B15" s="376" t="s">
        <v>162</v>
      </c>
      <c r="C15" s="376" t="s">
        <v>253</v>
      </c>
      <c r="D15" s="376" t="s">
        <v>254</v>
      </c>
      <c r="E15" s="376" t="s">
        <v>165</v>
      </c>
      <c r="F15" s="377" t="s">
        <v>166</v>
      </c>
      <c r="G15" s="376" t="s">
        <v>167</v>
      </c>
      <c r="H15" s="378"/>
      <c r="I15" s="378"/>
      <c r="J15" s="376" t="s">
        <v>182</v>
      </c>
      <c r="K15" s="376" t="s">
        <v>255</v>
      </c>
      <c r="L15" s="376" t="s">
        <v>256</v>
      </c>
      <c r="M15" s="376" t="s">
        <v>192</v>
      </c>
      <c r="N15" s="376" t="s">
        <v>179</v>
      </c>
      <c r="O15" s="379">
        <v>1</v>
      </c>
      <c r="P15" s="459">
        <v>0.1</v>
      </c>
      <c r="Q15" s="459">
        <v>0.1</v>
      </c>
      <c r="R15" s="380">
        <v>80</v>
      </c>
      <c r="S15" s="459">
        <v>0.1</v>
      </c>
      <c r="T15" s="380">
        <v>3531.04</v>
      </c>
      <c r="U15" s="380">
        <v>0</v>
      </c>
      <c r="V15" s="380">
        <v>1812.79</v>
      </c>
      <c r="W15" s="380">
        <v>4280.6400000000003</v>
      </c>
      <c r="X15" s="380">
        <v>2137.34</v>
      </c>
      <c r="Y15" s="380">
        <v>4280.6400000000003</v>
      </c>
      <c r="Z15" s="380">
        <v>2109.09</v>
      </c>
      <c r="AA15" s="376" t="s">
        <v>257</v>
      </c>
      <c r="AB15" s="376" t="s">
        <v>236</v>
      </c>
      <c r="AC15" s="376" t="s">
        <v>258</v>
      </c>
      <c r="AD15" s="376" t="s">
        <v>259</v>
      </c>
      <c r="AE15" s="376" t="s">
        <v>255</v>
      </c>
      <c r="AF15" s="376" t="s">
        <v>260</v>
      </c>
      <c r="AG15" s="376" t="s">
        <v>198</v>
      </c>
      <c r="AH15" s="381">
        <v>20.58</v>
      </c>
      <c r="AI15" s="379">
        <v>1443</v>
      </c>
      <c r="AJ15" s="376" t="s">
        <v>199</v>
      </c>
      <c r="AK15" s="376" t="s">
        <v>200</v>
      </c>
      <c r="AL15" s="376" t="s">
        <v>172</v>
      </c>
      <c r="AM15" s="376" t="s">
        <v>201</v>
      </c>
      <c r="AN15" s="376" t="s">
        <v>68</v>
      </c>
      <c r="AO15" s="379">
        <v>80</v>
      </c>
      <c r="AP15" s="459">
        <v>1</v>
      </c>
      <c r="AQ15" s="459">
        <v>0.1</v>
      </c>
      <c r="AR15" s="458" t="s">
        <v>202</v>
      </c>
      <c r="AS15" s="461">
        <f t="shared" si="0"/>
        <v>0.1</v>
      </c>
      <c r="AT15">
        <f t="shared" si="1"/>
        <v>1</v>
      </c>
      <c r="AU15" s="461">
        <f>IF(AT15=0,"",IF(AND(AT15=1,M15="F",SUMIF(C2:C35,C15,AS2:AS35)&lt;=1),SUMIF(C2:C35,C15,AS2:AS35),IF(AND(AT15=1,M15="F",SUMIF(C2:C35,C15,AS2:AS35)&gt;1),1,"")))</f>
        <v>1</v>
      </c>
      <c r="AV15" s="461" t="str">
        <f>IF(AT15=0,"",IF(AND(AT15=3,M15="F",SUMIF(C2:C35,C15,AS2:AS35)&lt;=1),SUMIF(C2:C35,C15,AS2:AS35),IF(AND(AT15=3,M15="F",SUMIF(C2:C35,C15,AS2:AS35)&gt;1),1,"")))</f>
        <v/>
      </c>
      <c r="AW15" s="461">
        <f>SUMIF(C2:C35,C15,O2:O35)</f>
        <v>2</v>
      </c>
      <c r="AX15" s="461">
        <f>IF(AND(M15="F",AS15&lt;&gt;0),SUMIF(C2:C35,C15,W2:W35),0)</f>
        <v>42806.400000000001</v>
      </c>
      <c r="AY15" s="461">
        <f t="shared" si="2"/>
        <v>4280.6400000000003</v>
      </c>
      <c r="AZ15" s="461" t="str">
        <f t="shared" si="3"/>
        <v/>
      </c>
      <c r="BA15" s="461">
        <f t="shared" si="4"/>
        <v>0</v>
      </c>
      <c r="BB15" s="461">
        <f>IF(AND(AT15=1,AK15="E",AU15&gt;=0.75,AW15=1),Health,IF(AND(AT15=1,AK15="E",AU15&gt;=0.75),Health*P15,IF(AND(AT15=1,AK15="E",AU15&gt;=0.5,AW15=1),PTHealth,IF(AND(AT15=1,AK15="E",AU15&gt;=0.5),PTHealth*P15,0))))</f>
        <v>1165</v>
      </c>
      <c r="BC15" s="461">
        <f>IF(AND(AT15=3,AK15="E",AV15&gt;=0.75,AW15=1),Health,IF(AND(AT15=3,AK15="E",AV15&gt;=0.75),Health*P15,IF(AND(AT15=3,AK15="E",AV15&gt;=0.5,AW15=1),PTHealth,IF(AND(AT15=3,AK15="E",AV15&gt;=0.5),PTHealth*P15,0))))</f>
        <v>0</v>
      </c>
      <c r="BD15" s="461">
        <f>IF(AND(AT15&lt;&gt;0,AX15&gt;=MAXSSDI),SSDI*MAXSSDI*P15,IF(AT15&lt;&gt;0,SSDI*W15,0))</f>
        <v>265.39968000000005</v>
      </c>
      <c r="BE15" s="461">
        <f>IF(AT15&lt;&gt;0,SSHI*W15,0)</f>
        <v>62.069280000000006</v>
      </c>
      <c r="BF15" s="461">
        <f>IF(AND(AT15&lt;&gt;0,AN15&lt;&gt;"NE"),VLOOKUP(AN15,Retirement_Rates,3,FALSE)*W15,0)</f>
        <v>511.10841600000009</v>
      </c>
      <c r="BG15" s="461">
        <f>IF(AND(AT15&lt;&gt;0,AJ15&lt;&gt;"PF"),Life*W15,0)</f>
        <v>30.863414400000003</v>
      </c>
      <c r="BH15" s="461">
        <f>IF(AND(AT15&lt;&gt;0,AM15="Y"),UI*W15,0)</f>
        <v>20.975136000000003</v>
      </c>
      <c r="BI15" s="461">
        <f>IF(AND(AT15&lt;&gt;0,N15&lt;&gt;"NR"),DHR*W15,0)</f>
        <v>23.714745600000001</v>
      </c>
      <c r="BJ15" s="461">
        <f>IF(AT15&lt;&gt;0,WC*W15,0)</f>
        <v>58.216704</v>
      </c>
      <c r="BK15" s="461">
        <f>IF(OR(AND(AT15&lt;&gt;0,AJ15&lt;&gt;"PF",AN15&lt;&gt;"NE",AG15&lt;&gt;"A"),AND(AL15="E",OR(AT15=1,AT15=3))),Sick*W15,0)</f>
        <v>0</v>
      </c>
      <c r="BL15" s="461">
        <f t="shared" si="5"/>
        <v>972.34737600000028</v>
      </c>
      <c r="BM15" s="461">
        <f t="shared" si="6"/>
        <v>0</v>
      </c>
      <c r="BN15" s="461">
        <f>IF(AND(AT15=1,AK15="E",AU15&gt;=0.75,AW15=1),HealthBY,IF(AND(AT15=1,AK15="E",AU15&gt;=0.75),HealthBY*P15,IF(AND(AT15=1,AK15="E",AU15&gt;=0.5,AW15=1),PTHealthBY,IF(AND(AT15=1,AK15="E",AU15&gt;=0.5),PTHealthBY*P15,0))))</f>
        <v>1165</v>
      </c>
      <c r="BO15" s="461">
        <f>IF(AND(AT15=3,AK15="E",AV15&gt;=0.75,AW15=1),HealthBY,IF(AND(AT15=3,AK15="E",AV15&gt;=0.75),HealthBY*P15,IF(AND(AT15=3,AK15="E",AV15&gt;=0.5,AW15=1),PTHealthBY,IF(AND(AT15=3,AK15="E",AV15&gt;=0.5),PTHealthBY*P15,0))))</f>
        <v>0</v>
      </c>
      <c r="BP15" s="461">
        <f>IF(AND(AT15&lt;&gt;0,(AX15+BA15)&gt;=MAXSSDIBY),SSDIBY*MAXSSDIBY*P15,IF(AT15&lt;&gt;0,SSDIBY*W15,0))</f>
        <v>265.39968000000005</v>
      </c>
      <c r="BQ15" s="461">
        <f>IF(AT15&lt;&gt;0,SSHIBY*W15,0)</f>
        <v>62.069280000000006</v>
      </c>
      <c r="BR15" s="461">
        <f>IF(AND(AT15&lt;&gt;0,AN15&lt;&gt;"NE"),VLOOKUP(AN15,Retirement_Rates,4,FALSE)*W15,0)</f>
        <v>511.10841600000009</v>
      </c>
      <c r="BS15" s="461">
        <f>IF(AND(AT15&lt;&gt;0,AJ15&lt;&gt;"PF"),LifeBY*W15,0)</f>
        <v>30.863414400000003</v>
      </c>
      <c r="BT15" s="461">
        <f>IF(AND(AT15&lt;&gt;0,AM15="Y"),UIBY*W15,0)</f>
        <v>0</v>
      </c>
      <c r="BU15" s="461">
        <f>IF(AND(AT15&lt;&gt;0,N15&lt;&gt;"NR"),DHRBY*W15,0)</f>
        <v>23.714745600000001</v>
      </c>
      <c r="BV15" s="461">
        <f>IF(AT15&lt;&gt;0,WCBY*W15,0)</f>
        <v>50.939616000000008</v>
      </c>
      <c r="BW15" s="461">
        <f>IF(OR(AND(AT15&lt;&gt;0,AJ15&lt;&gt;"PF",AN15&lt;&gt;"NE",AG15&lt;&gt;"A"),AND(AL15="E",OR(AT15=1,AT15=3))),SickBY*W15,0)</f>
        <v>0</v>
      </c>
      <c r="BX15" s="461">
        <f t="shared" si="7"/>
        <v>944.09515200000021</v>
      </c>
      <c r="BY15" s="461">
        <f t="shared" si="8"/>
        <v>0</v>
      </c>
      <c r="BZ15" s="461">
        <f t="shared" si="9"/>
        <v>0</v>
      </c>
      <c r="CA15" s="461">
        <f t="shared" si="10"/>
        <v>0</v>
      </c>
      <c r="CB15" s="461">
        <f t="shared" si="11"/>
        <v>0</v>
      </c>
      <c r="CC15" s="461">
        <f>IF(AT15&lt;&gt;0,SSHICHG*Y15,0)</f>
        <v>0</v>
      </c>
      <c r="CD15" s="461">
        <f>IF(AND(AT15&lt;&gt;0,AN15&lt;&gt;"NE"),VLOOKUP(AN15,Retirement_Rates,5,FALSE)*Y15,0)</f>
        <v>0</v>
      </c>
      <c r="CE15" s="461">
        <f>IF(AND(AT15&lt;&gt;0,AJ15&lt;&gt;"PF"),LifeCHG*Y15,0)</f>
        <v>0</v>
      </c>
      <c r="CF15" s="461">
        <f>IF(AND(AT15&lt;&gt;0,AM15="Y"),UICHG*Y15,0)</f>
        <v>-20.975136000000003</v>
      </c>
      <c r="CG15" s="461">
        <f>IF(AND(AT15&lt;&gt;0,N15&lt;&gt;"NR"),DHRCHG*Y15,0)</f>
        <v>0</v>
      </c>
      <c r="CH15" s="461">
        <f>IF(AT15&lt;&gt;0,WCCHG*Y15,0)</f>
        <v>-7.2770879999999938</v>
      </c>
      <c r="CI15" s="461">
        <f>IF(OR(AND(AT15&lt;&gt;0,AJ15&lt;&gt;"PF",AN15&lt;&gt;"NE",AG15&lt;&gt;"A"),AND(AL15="E",OR(AT15=1,AT15=3))),SickCHG*Y15,0)</f>
        <v>0</v>
      </c>
      <c r="CJ15" s="461">
        <f t="shared" si="12"/>
        <v>-28.252223999999998</v>
      </c>
      <c r="CK15" s="461" t="str">
        <f t="shared" si="13"/>
        <v/>
      </c>
      <c r="CL15" s="461" t="str">
        <f t="shared" si="14"/>
        <v/>
      </c>
      <c r="CM15" s="461" t="str">
        <f t="shared" si="15"/>
        <v/>
      </c>
      <c r="CN15" s="461" t="str">
        <f t="shared" si="16"/>
        <v>0001-00</v>
      </c>
    </row>
    <row r="16" spans="1:92" ht="15" thickBot="1" x14ac:dyDescent="0.35">
      <c r="A16" s="376" t="s">
        <v>161</v>
      </c>
      <c r="B16" s="376" t="s">
        <v>162</v>
      </c>
      <c r="C16" s="376" t="s">
        <v>261</v>
      </c>
      <c r="D16" s="376" t="s">
        <v>220</v>
      </c>
      <c r="E16" s="376" t="s">
        <v>165</v>
      </c>
      <c r="F16" s="377" t="s">
        <v>166</v>
      </c>
      <c r="G16" s="376" t="s">
        <v>167</v>
      </c>
      <c r="H16" s="378"/>
      <c r="I16" s="378"/>
      <c r="J16" s="376" t="s">
        <v>186</v>
      </c>
      <c r="K16" s="376" t="s">
        <v>221</v>
      </c>
      <c r="L16" s="376" t="s">
        <v>222</v>
      </c>
      <c r="M16" s="376" t="s">
        <v>192</v>
      </c>
      <c r="N16" s="376" t="s">
        <v>179</v>
      </c>
      <c r="O16" s="379">
        <v>1</v>
      </c>
      <c r="P16" s="459">
        <v>1</v>
      </c>
      <c r="Q16" s="459">
        <v>1</v>
      </c>
      <c r="R16" s="380">
        <v>80</v>
      </c>
      <c r="S16" s="459">
        <v>1</v>
      </c>
      <c r="T16" s="380">
        <v>41791.03</v>
      </c>
      <c r="U16" s="380">
        <v>0</v>
      </c>
      <c r="V16" s="380">
        <v>18932.63</v>
      </c>
      <c r="W16" s="380">
        <v>42848</v>
      </c>
      <c r="X16" s="380">
        <v>21382.880000000001</v>
      </c>
      <c r="Y16" s="380">
        <v>42848</v>
      </c>
      <c r="Z16" s="380">
        <v>21100.080000000002</v>
      </c>
      <c r="AA16" s="376" t="s">
        <v>262</v>
      </c>
      <c r="AB16" s="376" t="s">
        <v>263</v>
      </c>
      <c r="AC16" s="376" t="s">
        <v>264</v>
      </c>
      <c r="AD16" s="376" t="s">
        <v>265</v>
      </c>
      <c r="AE16" s="376" t="s">
        <v>221</v>
      </c>
      <c r="AF16" s="376" t="s">
        <v>227</v>
      </c>
      <c r="AG16" s="376" t="s">
        <v>198</v>
      </c>
      <c r="AH16" s="381">
        <v>20.6</v>
      </c>
      <c r="AI16" s="381">
        <v>2363.8000000000002</v>
      </c>
      <c r="AJ16" s="376" t="s">
        <v>199</v>
      </c>
      <c r="AK16" s="376" t="s">
        <v>200</v>
      </c>
      <c r="AL16" s="376" t="s">
        <v>172</v>
      </c>
      <c r="AM16" s="376" t="s">
        <v>201</v>
      </c>
      <c r="AN16" s="376" t="s">
        <v>68</v>
      </c>
      <c r="AO16" s="379">
        <v>80</v>
      </c>
      <c r="AP16" s="459">
        <v>1</v>
      </c>
      <c r="AQ16" s="459">
        <v>1</v>
      </c>
      <c r="AR16" s="458" t="s">
        <v>202</v>
      </c>
      <c r="AS16" s="461">
        <f t="shared" si="0"/>
        <v>1</v>
      </c>
      <c r="AT16">
        <f t="shared" si="1"/>
        <v>1</v>
      </c>
      <c r="AU16" s="461">
        <f>IF(AT16=0,"",IF(AND(AT16=1,M16="F",SUMIF(C2:C35,C16,AS2:AS35)&lt;=1),SUMIF(C2:C35,C16,AS2:AS35),IF(AND(AT16=1,M16="F",SUMIF(C2:C35,C16,AS2:AS35)&gt;1),1,"")))</f>
        <v>1</v>
      </c>
      <c r="AV16" s="461" t="str">
        <f>IF(AT16=0,"",IF(AND(AT16=3,M16="F",SUMIF(C2:C35,C16,AS2:AS35)&lt;=1),SUMIF(C2:C35,C16,AS2:AS35),IF(AND(AT16=3,M16="F",SUMIF(C2:C35,C16,AS2:AS35)&gt;1),1,"")))</f>
        <v/>
      </c>
      <c r="AW16" s="461">
        <f>SUMIF(C2:C35,C16,O2:O35)</f>
        <v>1</v>
      </c>
      <c r="AX16" s="461">
        <f>IF(AND(M16="F",AS16&lt;&gt;0),SUMIF(C2:C35,C16,W2:W35),0)</f>
        <v>42848</v>
      </c>
      <c r="AY16" s="461">
        <f t="shared" si="2"/>
        <v>42848</v>
      </c>
      <c r="AZ16" s="461" t="str">
        <f t="shared" si="3"/>
        <v/>
      </c>
      <c r="BA16" s="461">
        <f t="shared" si="4"/>
        <v>0</v>
      </c>
      <c r="BB16" s="461">
        <f>IF(AND(AT16=1,AK16="E",AU16&gt;=0.75,AW16=1),Health,IF(AND(AT16=1,AK16="E",AU16&gt;=0.75),Health*P16,IF(AND(AT16=1,AK16="E",AU16&gt;=0.5,AW16=1),PTHealth,IF(AND(AT16=1,AK16="E",AU16&gt;=0.5),PTHealth*P16,0))))</f>
        <v>11650</v>
      </c>
      <c r="BC16" s="461">
        <f>IF(AND(AT16=3,AK16="E",AV16&gt;=0.75,AW16=1),Health,IF(AND(AT16=3,AK16="E",AV16&gt;=0.75),Health*P16,IF(AND(AT16=3,AK16="E",AV16&gt;=0.5,AW16=1),PTHealth,IF(AND(AT16=3,AK16="E",AV16&gt;=0.5),PTHealth*P16,0))))</f>
        <v>0</v>
      </c>
      <c r="BD16" s="461">
        <f>IF(AND(AT16&lt;&gt;0,AX16&gt;=MAXSSDI),SSDI*MAXSSDI*P16,IF(AT16&lt;&gt;0,SSDI*W16,0))</f>
        <v>2656.576</v>
      </c>
      <c r="BE16" s="461">
        <f>IF(AT16&lt;&gt;0,SSHI*W16,0)</f>
        <v>621.29600000000005</v>
      </c>
      <c r="BF16" s="461">
        <f>IF(AND(AT16&lt;&gt;0,AN16&lt;&gt;"NE"),VLOOKUP(AN16,Retirement_Rates,3,FALSE)*W16,0)</f>
        <v>5116.0511999999999</v>
      </c>
      <c r="BG16" s="461">
        <f>IF(AND(AT16&lt;&gt;0,AJ16&lt;&gt;"PF"),Life*W16,0)</f>
        <v>308.93407999999999</v>
      </c>
      <c r="BH16" s="461">
        <f>IF(AND(AT16&lt;&gt;0,AM16="Y"),UI*W16,0)</f>
        <v>209.95519999999999</v>
      </c>
      <c r="BI16" s="461">
        <f>IF(AND(AT16&lt;&gt;0,N16&lt;&gt;"NR"),DHR*W16,0)</f>
        <v>237.37791999999999</v>
      </c>
      <c r="BJ16" s="461">
        <f>IF(AT16&lt;&gt;0,WC*W16,0)</f>
        <v>582.7328</v>
      </c>
      <c r="BK16" s="461">
        <f>IF(OR(AND(AT16&lt;&gt;0,AJ16&lt;&gt;"PF",AN16&lt;&gt;"NE",AG16&lt;&gt;"A"),AND(AL16="E",OR(AT16=1,AT16=3))),Sick*W16,0)</f>
        <v>0</v>
      </c>
      <c r="BL16" s="461">
        <f t="shared" si="5"/>
        <v>9732.9232000000011</v>
      </c>
      <c r="BM16" s="461">
        <f t="shared" si="6"/>
        <v>0</v>
      </c>
      <c r="BN16" s="461">
        <f>IF(AND(AT16=1,AK16="E",AU16&gt;=0.75,AW16=1),HealthBY,IF(AND(AT16=1,AK16="E",AU16&gt;=0.75),HealthBY*P16,IF(AND(AT16=1,AK16="E",AU16&gt;=0.5,AW16=1),PTHealthBY,IF(AND(AT16=1,AK16="E",AU16&gt;=0.5),PTHealthBY*P16,0))))</f>
        <v>11650</v>
      </c>
      <c r="BO16" s="461">
        <f>IF(AND(AT16=3,AK16="E",AV16&gt;=0.75,AW16=1),HealthBY,IF(AND(AT16=3,AK16="E",AV16&gt;=0.75),HealthBY*P16,IF(AND(AT16=3,AK16="E",AV16&gt;=0.5,AW16=1),PTHealthBY,IF(AND(AT16=3,AK16="E",AV16&gt;=0.5),PTHealthBY*P16,0))))</f>
        <v>0</v>
      </c>
      <c r="BP16" s="461">
        <f>IF(AND(AT16&lt;&gt;0,(AX16+BA16)&gt;=MAXSSDIBY),SSDIBY*MAXSSDIBY*P16,IF(AT16&lt;&gt;0,SSDIBY*W16,0))</f>
        <v>2656.576</v>
      </c>
      <c r="BQ16" s="461">
        <f>IF(AT16&lt;&gt;0,SSHIBY*W16,0)</f>
        <v>621.29600000000005</v>
      </c>
      <c r="BR16" s="461">
        <f>IF(AND(AT16&lt;&gt;0,AN16&lt;&gt;"NE"),VLOOKUP(AN16,Retirement_Rates,4,FALSE)*W16,0)</f>
        <v>5116.0511999999999</v>
      </c>
      <c r="BS16" s="461">
        <f>IF(AND(AT16&lt;&gt;0,AJ16&lt;&gt;"PF"),LifeBY*W16,0)</f>
        <v>308.93407999999999</v>
      </c>
      <c r="BT16" s="461">
        <f>IF(AND(AT16&lt;&gt;0,AM16="Y"),UIBY*W16,0)</f>
        <v>0</v>
      </c>
      <c r="BU16" s="461">
        <f>IF(AND(AT16&lt;&gt;0,N16&lt;&gt;"NR"),DHRBY*W16,0)</f>
        <v>237.37791999999999</v>
      </c>
      <c r="BV16" s="461">
        <f>IF(AT16&lt;&gt;0,WCBY*W16,0)</f>
        <v>509.89120000000003</v>
      </c>
      <c r="BW16" s="461">
        <f>IF(OR(AND(AT16&lt;&gt;0,AJ16&lt;&gt;"PF",AN16&lt;&gt;"NE",AG16&lt;&gt;"A"),AND(AL16="E",OR(AT16=1,AT16=3))),SickBY*W16,0)</f>
        <v>0</v>
      </c>
      <c r="BX16" s="461">
        <f t="shared" si="7"/>
        <v>9450.126400000001</v>
      </c>
      <c r="BY16" s="461">
        <f t="shared" si="8"/>
        <v>0</v>
      </c>
      <c r="BZ16" s="461">
        <f t="shared" si="9"/>
        <v>0</v>
      </c>
      <c r="CA16" s="461">
        <f t="shared" si="10"/>
        <v>0</v>
      </c>
      <c r="CB16" s="461">
        <f t="shared" si="11"/>
        <v>0</v>
      </c>
      <c r="CC16" s="461">
        <f>IF(AT16&lt;&gt;0,SSHICHG*Y16,0)</f>
        <v>0</v>
      </c>
      <c r="CD16" s="461">
        <f>IF(AND(AT16&lt;&gt;0,AN16&lt;&gt;"NE"),VLOOKUP(AN16,Retirement_Rates,5,FALSE)*Y16,0)</f>
        <v>0</v>
      </c>
      <c r="CE16" s="461">
        <f>IF(AND(AT16&lt;&gt;0,AJ16&lt;&gt;"PF"),LifeCHG*Y16,0)</f>
        <v>0</v>
      </c>
      <c r="CF16" s="461">
        <f>IF(AND(AT16&lt;&gt;0,AM16="Y"),UICHG*Y16,0)</f>
        <v>-209.95519999999999</v>
      </c>
      <c r="CG16" s="461">
        <f>IF(AND(AT16&lt;&gt;0,N16&lt;&gt;"NR"),DHRCHG*Y16,0)</f>
        <v>0</v>
      </c>
      <c r="CH16" s="461">
        <f>IF(AT16&lt;&gt;0,WCCHG*Y16,0)</f>
        <v>-72.841599999999929</v>
      </c>
      <c r="CI16" s="461">
        <f>IF(OR(AND(AT16&lt;&gt;0,AJ16&lt;&gt;"PF",AN16&lt;&gt;"NE",AG16&lt;&gt;"A"),AND(AL16="E",OR(AT16=1,AT16=3))),SickCHG*Y16,0)</f>
        <v>0</v>
      </c>
      <c r="CJ16" s="461">
        <f t="shared" si="12"/>
        <v>-282.79679999999991</v>
      </c>
      <c r="CK16" s="461" t="str">
        <f t="shared" si="13"/>
        <v/>
      </c>
      <c r="CL16" s="461" t="str">
        <f t="shared" si="14"/>
        <v/>
      </c>
      <c r="CM16" s="461" t="str">
        <f t="shared" si="15"/>
        <v/>
      </c>
      <c r="CN16" s="461" t="str">
        <f t="shared" si="16"/>
        <v>0001-00</v>
      </c>
    </row>
    <row r="17" spans="1:92" ht="15" thickBot="1" x14ac:dyDescent="0.35">
      <c r="A17" s="376" t="s">
        <v>161</v>
      </c>
      <c r="B17" s="376" t="s">
        <v>162</v>
      </c>
      <c r="C17" s="376" t="s">
        <v>266</v>
      </c>
      <c r="D17" s="376" t="s">
        <v>174</v>
      </c>
      <c r="E17" s="376" t="s">
        <v>165</v>
      </c>
      <c r="F17" s="377" t="s">
        <v>166</v>
      </c>
      <c r="G17" s="376" t="s">
        <v>167</v>
      </c>
      <c r="H17" s="378"/>
      <c r="I17" s="378"/>
      <c r="J17" s="376" t="s">
        <v>175</v>
      </c>
      <c r="K17" s="376" t="s">
        <v>176</v>
      </c>
      <c r="L17" s="376" t="s">
        <v>177</v>
      </c>
      <c r="M17" s="376" t="s">
        <v>192</v>
      </c>
      <c r="N17" s="376" t="s">
        <v>179</v>
      </c>
      <c r="O17" s="379">
        <v>1</v>
      </c>
      <c r="P17" s="459">
        <v>1</v>
      </c>
      <c r="Q17" s="459">
        <v>1</v>
      </c>
      <c r="R17" s="380">
        <v>80</v>
      </c>
      <c r="S17" s="459">
        <v>1</v>
      </c>
      <c r="T17" s="380">
        <v>61504.05</v>
      </c>
      <c r="U17" s="380">
        <v>0</v>
      </c>
      <c r="V17" s="380">
        <v>25236.15</v>
      </c>
      <c r="W17" s="380">
        <v>63481.58</v>
      </c>
      <c r="X17" s="380">
        <v>26069.78</v>
      </c>
      <c r="Y17" s="380">
        <v>63481.58</v>
      </c>
      <c r="Z17" s="380">
        <v>25650.82</v>
      </c>
      <c r="AA17" s="376" t="s">
        <v>267</v>
      </c>
      <c r="AB17" s="376" t="s">
        <v>268</v>
      </c>
      <c r="AC17" s="376" t="s">
        <v>269</v>
      </c>
      <c r="AD17" s="376" t="s">
        <v>270</v>
      </c>
      <c r="AE17" s="376" t="s">
        <v>176</v>
      </c>
      <c r="AF17" s="376" t="s">
        <v>237</v>
      </c>
      <c r="AG17" s="376" t="s">
        <v>198</v>
      </c>
      <c r="AH17" s="381">
        <v>30.52</v>
      </c>
      <c r="AI17" s="381">
        <v>34190.699999999997</v>
      </c>
      <c r="AJ17" s="376" t="s">
        <v>199</v>
      </c>
      <c r="AK17" s="376" t="s">
        <v>200</v>
      </c>
      <c r="AL17" s="376" t="s">
        <v>172</v>
      </c>
      <c r="AM17" s="376" t="s">
        <v>201</v>
      </c>
      <c r="AN17" s="376" t="s">
        <v>68</v>
      </c>
      <c r="AO17" s="379">
        <v>80</v>
      </c>
      <c r="AP17" s="459">
        <v>1</v>
      </c>
      <c r="AQ17" s="459">
        <v>1</v>
      </c>
      <c r="AR17" s="458" t="s">
        <v>202</v>
      </c>
      <c r="AS17" s="461">
        <f t="shared" si="0"/>
        <v>1</v>
      </c>
      <c r="AT17">
        <f t="shared" si="1"/>
        <v>1</v>
      </c>
      <c r="AU17" s="461">
        <f>IF(AT17=0,"",IF(AND(AT17=1,M17="F",SUMIF(C2:C35,C17,AS2:AS35)&lt;=1),SUMIF(C2:C35,C17,AS2:AS35),IF(AND(AT17=1,M17="F",SUMIF(C2:C35,C17,AS2:AS35)&gt;1),1,"")))</f>
        <v>1</v>
      </c>
      <c r="AV17" s="461" t="str">
        <f>IF(AT17=0,"",IF(AND(AT17=3,M17="F",SUMIF(C2:C35,C17,AS2:AS35)&lt;=1),SUMIF(C2:C35,C17,AS2:AS35),IF(AND(AT17=3,M17="F",SUMIF(C2:C35,C17,AS2:AS35)&gt;1),1,"")))</f>
        <v/>
      </c>
      <c r="AW17" s="461">
        <f>SUMIF(C2:C35,C17,O2:O35)</f>
        <v>1</v>
      </c>
      <c r="AX17" s="461">
        <f>IF(AND(M17="F",AS17&lt;&gt;0),SUMIF(C2:C35,C17,W2:W35),0)</f>
        <v>63481.58</v>
      </c>
      <c r="AY17" s="461">
        <f t="shared" si="2"/>
        <v>63481.58</v>
      </c>
      <c r="AZ17" s="461" t="str">
        <f t="shared" si="3"/>
        <v/>
      </c>
      <c r="BA17" s="461">
        <f t="shared" si="4"/>
        <v>0</v>
      </c>
      <c r="BB17" s="461">
        <f>IF(AND(AT17=1,AK17="E",AU17&gt;=0.75,AW17=1),Health,IF(AND(AT17=1,AK17="E",AU17&gt;=0.75),Health*P17,IF(AND(AT17=1,AK17="E",AU17&gt;=0.5,AW17=1),PTHealth,IF(AND(AT17=1,AK17="E",AU17&gt;=0.5),PTHealth*P17,0))))</f>
        <v>11650</v>
      </c>
      <c r="BC17" s="461">
        <f>IF(AND(AT17=3,AK17="E",AV17&gt;=0.75,AW17=1),Health,IF(AND(AT17=3,AK17="E",AV17&gt;=0.75),Health*P17,IF(AND(AT17=3,AK17="E",AV17&gt;=0.5,AW17=1),PTHealth,IF(AND(AT17=3,AK17="E",AV17&gt;=0.5),PTHealth*P17,0))))</f>
        <v>0</v>
      </c>
      <c r="BD17" s="461">
        <f>IF(AND(AT17&lt;&gt;0,AX17&gt;=MAXSSDI),SSDI*MAXSSDI*P17,IF(AT17&lt;&gt;0,SSDI*W17,0))</f>
        <v>3935.8579600000003</v>
      </c>
      <c r="BE17" s="461">
        <f>IF(AT17&lt;&gt;0,SSHI*W17,0)</f>
        <v>920.48291000000006</v>
      </c>
      <c r="BF17" s="461">
        <f>IF(AND(AT17&lt;&gt;0,AN17&lt;&gt;"NE"),VLOOKUP(AN17,Retirement_Rates,3,FALSE)*W17,0)</f>
        <v>7579.7006520000004</v>
      </c>
      <c r="BG17" s="461">
        <f>IF(AND(AT17&lt;&gt;0,AJ17&lt;&gt;"PF"),Life*W17,0)</f>
        <v>457.70219180000004</v>
      </c>
      <c r="BH17" s="461">
        <f>IF(AND(AT17&lt;&gt;0,AM17="Y"),UI*W17,0)</f>
        <v>311.05974199999997</v>
      </c>
      <c r="BI17" s="461">
        <f>IF(AND(AT17&lt;&gt;0,N17&lt;&gt;"NR"),DHR*W17,0)</f>
        <v>351.68795319999998</v>
      </c>
      <c r="BJ17" s="461">
        <f>IF(AT17&lt;&gt;0,WC*W17,0)</f>
        <v>863.34948799999995</v>
      </c>
      <c r="BK17" s="461">
        <f>IF(OR(AND(AT17&lt;&gt;0,AJ17&lt;&gt;"PF",AN17&lt;&gt;"NE",AG17&lt;&gt;"A"),AND(AL17="E",OR(AT17=1,AT17=3))),Sick*W17,0)</f>
        <v>0</v>
      </c>
      <c r="BL17" s="461">
        <f t="shared" si="5"/>
        <v>14419.840896999998</v>
      </c>
      <c r="BM17" s="461">
        <f t="shared" si="6"/>
        <v>0</v>
      </c>
      <c r="BN17" s="461">
        <f>IF(AND(AT17=1,AK17="E",AU17&gt;=0.75,AW17=1),HealthBY,IF(AND(AT17=1,AK17="E",AU17&gt;=0.75),HealthBY*P17,IF(AND(AT17=1,AK17="E",AU17&gt;=0.5,AW17=1),PTHealthBY,IF(AND(AT17=1,AK17="E",AU17&gt;=0.5),PTHealthBY*P17,0))))</f>
        <v>11650</v>
      </c>
      <c r="BO17" s="461">
        <f>IF(AND(AT17=3,AK17="E",AV17&gt;=0.75,AW17=1),HealthBY,IF(AND(AT17=3,AK17="E",AV17&gt;=0.75),HealthBY*P17,IF(AND(AT17=3,AK17="E",AV17&gt;=0.5,AW17=1),PTHealthBY,IF(AND(AT17=3,AK17="E",AV17&gt;=0.5),PTHealthBY*P17,0))))</f>
        <v>0</v>
      </c>
      <c r="BP17" s="461">
        <f>IF(AND(AT17&lt;&gt;0,(AX17+BA17)&gt;=MAXSSDIBY),SSDIBY*MAXSSDIBY*P17,IF(AT17&lt;&gt;0,SSDIBY*W17,0))</f>
        <v>3935.8579600000003</v>
      </c>
      <c r="BQ17" s="461">
        <f>IF(AT17&lt;&gt;0,SSHIBY*W17,0)</f>
        <v>920.48291000000006</v>
      </c>
      <c r="BR17" s="461">
        <f>IF(AND(AT17&lt;&gt;0,AN17&lt;&gt;"NE"),VLOOKUP(AN17,Retirement_Rates,4,FALSE)*W17,0)</f>
        <v>7579.7006520000004</v>
      </c>
      <c r="BS17" s="461">
        <f>IF(AND(AT17&lt;&gt;0,AJ17&lt;&gt;"PF"),LifeBY*W17,0)</f>
        <v>457.70219180000004</v>
      </c>
      <c r="BT17" s="461">
        <f>IF(AND(AT17&lt;&gt;0,AM17="Y"),UIBY*W17,0)</f>
        <v>0</v>
      </c>
      <c r="BU17" s="461">
        <f>IF(AND(AT17&lt;&gt;0,N17&lt;&gt;"NR"),DHRBY*W17,0)</f>
        <v>351.68795319999998</v>
      </c>
      <c r="BV17" s="461">
        <f>IF(AT17&lt;&gt;0,WCBY*W17,0)</f>
        <v>755.43080200000009</v>
      </c>
      <c r="BW17" s="461">
        <f>IF(OR(AND(AT17&lt;&gt;0,AJ17&lt;&gt;"PF",AN17&lt;&gt;"NE",AG17&lt;&gt;"A"),AND(AL17="E",OR(AT17=1,AT17=3))),SickBY*W17,0)</f>
        <v>0</v>
      </c>
      <c r="BX17" s="461">
        <f t="shared" si="7"/>
        <v>14000.862469</v>
      </c>
      <c r="BY17" s="461">
        <f t="shared" si="8"/>
        <v>0</v>
      </c>
      <c r="BZ17" s="461">
        <f t="shared" si="9"/>
        <v>0</v>
      </c>
      <c r="CA17" s="461">
        <f t="shared" si="10"/>
        <v>0</v>
      </c>
      <c r="CB17" s="461">
        <f t="shared" si="11"/>
        <v>0</v>
      </c>
      <c r="CC17" s="461">
        <f>IF(AT17&lt;&gt;0,SSHICHG*Y17,0)</f>
        <v>0</v>
      </c>
      <c r="CD17" s="461">
        <f>IF(AND(AT17&lt;&gt;0,AN17&lt;&gt;"NE"),VLOOKUP(AN17,Retirement_Rates,5,FALSE)*Y17,0)</f>
        <v>0</v>
      </c>
      <c r="CE17" s="461">
        <f>IF(AND(AT17&lt;&gt;0,AJ17&lt;&gt;"PF"),LifeCHG*Y17,0)</f>
        <v>0</v>
      </c>
      <c r="CF17" s="461">
        <f>IF(AND(AT17&lt;&gt;0,AM17="Y"),UICHG*Y17,0)</f>
        <v>-311.05974199999997</v>
      </c>
      <c r="CG17" s="461">
        <f>IF(AND(AT17&lt;&gt;0,N17&lt;&gt;"NR"),DHRCHG*Y17,0)</f>
        <v>0</v>
      </c>
      <c r="CH17" s="461">
        <f>IF(AT17&lt;&gt;0,WCCHG*Y17,0)</f>
        <v>-107.91868599999989</v>
      </c>
      <c r="CI17" s="461">
        <f>IF(OR(AND(AT17&lt;&gt;0,AJ17&lt;&gt;"PF",AN17&lt;&gt;"NE",AG17&lt;&gt;"A"),AND(AL17="E",OR(AT17=1,AT17=3))),SickCHG*Y17,0)</f>
        <v>0</v>
      </c>
      <c r="CJ17" s="461">
        <f t="shared" si="12"/>
        <v>-418.97842799999989</v>
      </c>
      <c r="CK17" s="461" t="str">
        <f t="shared" si="13"/>
        <v/>
      </c>
      <c r="CL17" s="461" t="str">
        <f t="shared" si="14"/>
        <v/>
      </c>
      <c r="CM17" s="461" t="str">
        <f t="shared" si="15"/>
        <v/>
      </c>
      <c r="CN17" s="461" t="str">
        <f t="shared" si="16"/>
        <v>0001-00</v>
      </c>
    </row>
    <row r="18" spans="1:92" ht="15" thickBot="1" x14ac:dyDescent="0.35">
      <c r="A18" s="376" t="s">
        <v>161</v>
      </c>
      <c r="B18" s="376" t="s">
        <v>162</v>
      </c>
      <c r="C18" s="376" t="s">
        <v>271</v>
      </c>
      <c r="D18" s="376" t="s">
        <v>272</v>
      </c>
      <c r="E18" s="376" t="s">
        <v>165</v>
      </c>
      <c r="F18" s="377" t="s">
        <v>166</v>
      </c>
      <c r="G18" s="376" t="s">
        <v>167</v>
      </c>
      <c r="H18" s="378"/>
      <c r="I18" s="378"/>
      <c r="J18" s="376" t="s">
        <v>182</v>
      </c>
      <c r="K18" s="376" t="s">
        <v>273</v>
      </c>
      <c r="L18" s="376" t="s">
        <v>274</v>
      </c>
      <c r="M18" s="376" t="s">
        <v>192</v>
      </c>
      <c r="N18" s="376" t="s">
        <v>179</v>
      </c>
      <c r="O18" s="379">
        <v>1</v>
      </c>
      <c r="P18" s="459">
        <v>1</v>
      </c>
      <c r="Q18" s="459">
        <v>1</v>
      </c>
      <c r="R18" s="380">
        <v>80</v>
      </c>
      <c r="S18" s="459">
        <v>1</v>
      </c>
      <c r="T18" s="380">
        <v>75165</v>
      </c>
      <c r="U18" s="380">
        <v>0</v>
      </c>
      <c r="V18" s="380">
        <v>27679.23</v>
      </c>
      <c r="W18" s="380">
        <v>75504</v>
      </c>
      <c r="X18" s="380">
        <v>28800.68</v>
      </c>
      <c r="Y18" s="380">
        <v>75504</v>
      </c>
      <c r="Z18" s="380">
        <v>28302.36</v>
      </c>
      <c r="AA18" s="376" t="s">
        <v>275</v>
      </c>
      <c r="AB18" s="376" t="s">
        <v>276</v>
      </c>
      <c r="AC18" s="376" t="s">
        <v>277</v>
      </c>
      <c r="AD18" s="376" t="s">
        <v>278</v>
      </c>
      <c r="AE18" s="376" t="s">
        <v>273</v>
      </c>
      <c r="AF18" s="376" t="s">
        <v>279</v>
      </c>
      <c r="AG18" s="376" t="s">
        <v>198</v>
      </c>
      <c r="AH18" s="381">
        <v>36.299999999999997</v>
      </c>
      <c r="AI18" s="379">
        <v>52207</v>
      </c>
      <c r="AJ18" s="376" t="s">
        <v>199</v>
      </c>
      <c r="AK18" s="376" t="s">
        <v>200</v>
      </c>
      <c r="AL18" s="376" t="s">
        <v>172</v>
      </c>
      <c r="AM18" s="376" t="s">
        <v>201</v>
      </c>
      <c r="AN18" s="376" t="s">
        <v>68</v>
      </c>
      <c r="AO18" s="379">
        <v>80</v>
      </c>
      <c r="AP18" s="459">
        <v>1</v>
      </c>
      <c r="AQ18" s="459">
        <v>1</v>
      </c>
      <c r="AR18" s="458" t="s">
        <v>202</v>
      </c>
      <c r="AS18" s="461">
        <f t="shared" si="0"/>
        <v>1</v>
      </c>
      <c r="AT18">
        <f t="shared" si="1"/>
        <v>1</v>
      </c>
      <c r="AU18" s="461">
        <f>IF(AT18=0,"",IF(AND(AT18=1,M18="F",SUMIF(C2:C35,C18,AS2:AS35)&lt;=1),SUMIF(C2:C35,C18,AS2:AS35),IF(AND(AT18=1,M18="F",SUMIF(C2:C35,C18,AS2:AS35)&gt;1),1,"")))</f>
        <v>1</v>
      </c>
      <c r="AV18" s="461" t="str">
        <f>IF(AT18=0,"",IF(AND(AT18=3,M18="F",SUMIF(C2:C35,C18,AS2:AS35)&lt;=1),SUMIF(C2:C35,C18,AS2:AS35),IF(AND(AT18=3,M18="F",SUMIF(C2:C35,C18,AS2:AS35)&gt;1),1,"")))</f>
        <v/>
      </c>
      <c r="AW18" s="461">
        <f>SUMIF(C2:C35,C18,O2:O35)</f>
        <v>1</v>
      </c>
      <c r="AX18" s="461">
        <f>IF(AND(M18="F",AS18&lt;&gt;0),SUMIF(C2:C35,C18,W2:W35),0)</f>
        <v>75504</v>
      </c>
      <c r="AY18" s="461">
        <f t="shared" si="2"/>
        <v>75504</v>
      </c>
      <c r="AZ18" s="461" t="str">
        <f t="shared" si="3"/>
        <v/>
      </c>
      <c r="BA18" s="461">
        <f t="shared" si="4"/>
        <v>0</v>
      </c>
      <c r="BB18" s="461">
        <f>IF(AND(AT18=1,AK18="E",AU18&gt;=0.75,AW18=1),Health,IF(AND(AT18=1,AK18="E",AU18&gt;=0.75),Health*P18,IF(AND(AT18=1,AK18="E",AU18&gt;=0.5,AW18=1),PTHealth,IF(AND(AT18=1,AK18="E",AU18&gt;=0.5),PTHealth*P18,0))))</f>
        <v>11650</v>
      </c>
      <c r="BC18" s="461">
        <f>IF(AND(AT18=3,AK18="E",AV18&gt;=0.75,AW18=1),Health,IF(AND(AT18=3,AK18="E",AV18&gt;=0.75),Health*P18,IF(AND(AT18=3,AK18="E",AV18&gt;=0.5,AW18=1),PTHealth,IF(AND(AT18=3,AK18="E",AV18&gt;=0.5),PTHealth*P18,0))))</f>
        <v>0</v>
      </c>
      <c r="BD18" s="461">
        <f>IF(AND(AT18&lt;&gt;0,AX18&gt;=MAXSSDI),SSDI*MAXSSDI*P18,IF(AT18&lt;&gt;0,SSDI*W18,0))</f>
        <v>4681.2479999999996</v>
      </c>
      <c r="BE18" s="461">
        <f>IF(AT18&lt;&gt;0,SSHI*W18,0)</f>
        <v>1094.808</v>
      </c>
      <c r="BF18" s="461">
        <f>IF(AND(AT18&lt;&gt;0,AN18&lt;&gt;"NE"),VLOOKUP(AN18,Retirement_Rates,3,FALSE)*W18,0)</f>
        <v>9015.1776000000009</v>
      </c>
      <c r="BG18" s="461">
        <f>IF(AND(AT18&lt;&gt;0,AJ18&lt;&gt;"PF"),Life*W18,0)</f>
        <v>544.38383999999996</v>
      </c>
      <c r="BH18" s="461">
        <f>IF(AND(AT18&lt;&gt;0,AM18="Y"),UI*W18,0)</f>
        <v>369.96960000000001</v>
      </c>
      <c r="BI18" s="461">
        <f>IF(AND(AT18&lt;&gt;0,N18&lt;&gt;"NR"),DHR*W18,0)</f>
        <v>418.29215999999997</v>
      </c>
      <c r="BJ18" s="461">
        <f>IF(AT18&lt;&gt;0,WC*W18,0)</f>
        <v>1026.8543999999999</v>
      </c>
      <c r="BK18" s="461">
        <f>IF(OR(AND(AT18&lt;&gt;0,AJ18&lt;&gt;"PF",AN18&lt;&gt;"NE",AG18&lt;&gt;"A"),AND(AL18="E",OR(AT18=1,AT18=3))),Sick*W18,0)</f>
        <v>0</v>
      </c>
      <c r="BL18" s="461">
        <f t="shared" si="5"/>
        <v>17150.7336</v>
      </c>
      <c r="BM18" s="461">
        <f t="shared" si="6"/>
        <v>0</v>
      </c>
      <c r="BN18" s="461">
        <f>IF(AND(AT18=1,AK18="E",AU18&gt;=0.75,AW18=1),HealthBY,IF(AND(AT18=1,AK18="E",AU18&gt;=0.75),HealthBY*P18,IF(AND(AT18=1,AK18="E",AU18&gt;=0.5,AW18=1),PTHealthBY,IF(AND(AT18=1,AK18="E",AU18&gt;=0.5),PTHealthBY*P18,0))))</f>
        <v>11650</v>
      </c>
      <c r="BO18" s="461">
        <f>IF(AND(AT18=3,AK18="E",AV18&gt;=0.75,AW18=1),HealthBY,IF(AND(AT18=3,AK18="E",AV18&gt;=0.75),HealthBY*P18,IF(AND(AT18=3,AK18="E",AV18&gt;=0.5,AW18=1),PTHealthBY,IF(AND(AT18=3,AK18="E",AV18&gt;=0.5),PTHealthBY*P18,0))))</f>
        <v>0</v>
      </c>
      <c r="BP18" s="461">
        <f>IF(AND(AT18&lt;&gt;0,(AX18+BA18)&gt;=MAXSSDIBY),SSDIBY*MAXSSDIBY*P18,IF(AT18&lt;&gt;0,SSDIBY*W18,0))</f>
        <v>4681.2479999999996</v>
      </c>
      <c r="BQ18" s="461">
        <f>IF(AT18&lt;&gt;0,SSHIBY*W18,0)</f>
        <v>1094.808</v>
      </c>
      <c r="BR18" s="461">
        <f>IF(AND(AT18&lt;&gt;0,AN18&lt;&gt;"NE"),VLOOKUP(AN18,Retirement_Rates,4,FALSE)*W18,0)</f>
        <v>9015.1776000000009</v>
      </c>
      <c r="BS18" s="461">
        <f>IF(AND(AT18&lt;&gt;0,AJ18&lt;&gt;"PF"),LifeBY*W18,0)</f>
        <v>544.38383999999996</v>
      </c>
      <c r="BT18" s="461">
        <f>IF(AND(AT18&lt;&gt;0,AM18="Y"),UIBY*W18,0)</f>
        <v>0</v>
      </c>
      <c r="BU18" s="461">
        <f>IF(AND(AT18&lt;&gt;0,N18&lt;&gt;"NR"),DHRBY*W18,0)</f>
        <v>418.29215999999997</v>
      </c>
      <c r="BV18" s="461">
        <f>IF(AT18&lt;&gt;0,WCBY*W18,0)</f>
        <v>898.49760000000003</v>
      </c>
      <c r="BW18" s="461">
        <f>IF(OR(AND(AT18&lt;&gt;0,AJ18&lt;&gt;"PF",AN18&lt;&gt;"NE",AG18&lt;&gt;"A"),AND(AL18="E",OR(AT18=1,AT18=3))),SickBY*W18,0)</f>
        <v>0</v>
      </c>
      <c r="BX18" s="461">
        <f t="shared" si="7"/>
        <v>16652.407199999998</v>
      </c>
      <c r="BY18" s="461">
        <f t="shared" si="8"/>
        <v>0</v>
      </c>
      <c r="BZ18" s="461">
        <f t="shared" si="9"/>
        <v>0</v>
      </c>
      <c r="CA18" s="461">
        <f t="shared" si="10"/>
        <v>0</v>
      </c>
      <c r="CB18" s="461">
        <f t="shared" si="11"/>
        <v>0</v>
      </c>
      <c r="CC18" s="461">
        <f>IF(AT18&lt;&gt;0,SSHICHG*Y18,0)</f>
        <v>0</v>
      </c>
      <c r="CD18" s="461">
        <f>IF(AND(AT18&lt;&gt;0,AN18&lt;&gt;"NE"),VLOOKUP(AN18,Retirement_Rates,5,FALSE)*Y18,0)</f>
        <v>0</v>
      </c>
      <c r="CE18" s="461">
        <f>IF(AND(AT18&lt;&gt;0,AJ18&lt;&gt;"PF"),LifeCHG*Y18,0)</f>
        <v>0</v>
      </c>
      <c r="CF18" s="461">
        <f>IF(AND(AT18&lt;&gt;0,AM18="Y"),UICHG*Y18,0)</f>
        <v>-369.96960000000001</v>
      </c>
      <c r="CG18" s="461">
        <f>IF(AND(AT18&lt;&gt;0,N18&lt;&gt;"NR"),DHRCHG*Y18,0)</f>
        <v>0</v>
      </c>
      <c r="CH18" s="461">
        <f>IF(AT18&lt;&gt;0,WCCHG*Y18,0)</f>
        <v>-128.35679999999988</v>
      </c>
      <c r="CI18" s="461">
        <f>IF(OR(AND(AT18&lt;&gt;0,AJ18&lt;&gt;"PF",AN18&lt;&gt;"NE",AG18&lt;&gt;"A"),AND(AL18="E",OR(AT18=1,AT18=3))),SickCHG*Y18,0)</f>
        <v>0</v>
      </c>
      <c r="CJ18" s="461">
        <f t="shared" si="12"/>
        <v>-498.32639999999992</v>
      </c>
      <c r="CK18" s="461" t="str">
        <f t="shared" si="13"/>
        <v/>
      </c>
      <c r="CL18" s="461" t="str">
        <f t="shared" si="14"/>
        <v/>
      </c>
      <c r="CM18" s="461" t="str">
        <f t="shared" si="15"/>
        <v/>
      </c>
      <c r="CN18" s="461" t="str">
        <f t="shared" si="16"/>
        <v>0001-00</v>
      </c>
    </row>
    <row r="19" spans="1:92" ht="15" thickBot="1" x14ac:dyDescent="0.35">
      <c r="A19" s="376" t="s">
        <v>161</v>
      </c>
      <c r="B19" s="376" t="s">
        <v>162</v>
      </c>
      <c r="C19" s="376" t="s">
        <v>280</v>
      </c>
      <c r="D19" s="376" t="s">
        <v>281</v>
      </c>
      <c r="E19" s="376" t="s">
        <v>165</v>
      </c>
      <c r="F19" s="377" t="s">
        <v>166</v>
      </c>
      <c r="G19" s="376" t="s">
        <v>167</v>
      </c>
      <c r="H19" s="378"/>
      <c r="I19" s="378"/>
      <c r="J19" s="376" t="s">
        <v>186</v>
      </c>
      <c r="K19" s="376" t="s">
        <v>282</v>
      </c>
      <c r="L19" s="376" t="s">
        <v>170</v>
      </c>
      <c r="M19" s="376" t="s">
        <v>178</v>
      </c>
      <c r="N19" s="376" t="s">
        <v>283</v>
      </c>
      <c r="O19" s="379">
        <v>0</v>
      </c>
      <c r="P19" s="459">
        <v>1</v>
      </c>
      <c r="Q19" s="459">
        <v>0</v>
      </c>
      <c r="R19" s="380">
        <v>0</v>
      </c>
      <c r="S19" s="459">
        <v>0</v>
      </c>
      <c r="T19" s="380">
        <v>2394</v>
      </c>
      <c r="U19" s="380">
        <v>0</v>
      </c>
      <c r="V19" s="380">
        <v>196.7</v>
      </c>
      <c r="W19" s="380">
        <v>2394</v>
      </c>
      <c r="X19" s="380">
        <v>196.69</v>
      </c>
      <c r="Y19" s="380">
        <v>2394</v>
      </c>
      <c r="Z19" s="380">
        <v>196.69</v>
      </c>
      <c r="AA19" s="378"/>
      <c r="AB19" s="376" t="s">
        <v>45</v>
      </c>
      <c r="AC19" s="376" t="s">
        <v>45</v>
      </c>
      <c r="AD19" s="378"/>
      <c r="AE19" s="378"/>
      <c r="AF19" s="378"/>
      <c r="AG19" s="378"/>
      <c r="AH19" s="379">
        <v>0</v>
      </c>
      <c r="AI19" s="379">
        <v>0</v>
      </c>
      <c r="AJ19" s="378"/>
      <c r="AK19" s="378"/>
      <c r="AL19" s="376" t="s">
        <v>172</v>
      </c>
      <c r="AM19" s="378"/>
      <c r="AN19" s="378"/>
      <c r="AO19" s="379">
        <v>0</v>
      </c>
      <c r="AP19" s="459">
        <v>0</v>
      </c>
      <c r="AQ19" s="459">
        <v>0</v>
      </c>
      <c r="AR19" s="457"/>
      <c r="AS19" s="461">
        <f t="shared" si="0"/>
        <v>0</v>
      </c>
      <c r="AT19">
        <f t="shared" si="1"/>
        <v>0</v>
      </c>
      <c r="AU19" s="461" t="str">
        <f>IF(AT19=0,"",IF(AND(AT19=1,M19="F",SUMIF(C2:C35,C19,AS2:AS35)&lt;=1),SUMIF(C2:C35,C19,AS2:AS35),IF(AND(AT19=1,M19="F",SUMIF(C2:C35,C19,AS2:AS35)&gt;1),1,"")))</f>
        <v/>
      </c>
      <c r="AV19" s="461" t="str">
        <f>IF(AT19=0,"",IF(AND(AT19=3,M19="F",SUMIF(C2:C35,C19,AS2:AS35)&lt;=1),SUMIF(C2:C35,C19,AS2:AS35),IF(AND(AT19=3,M19="F",SUMIF(C2:C35,C19,AS2:AS35)&gt;1),1,"")))</f>
        <v/>
      </c>
      <c r="AW19" s="461">
        <f>SUMIF(C2:C35,C19,O2:O35)</f>
        <v>0</v>
      </c>
      <c r="AX19" s="461">
        <f>IF(AND(M19="F",AS19&lt;&gt;0),SUMIF(C2:C35,C19,W2:W35),0)</f>
        <v>0</v>
      </c>
      <c r="AY19" s="461" t="str">
        <f t="shared" si="2"/>
        <v/>
      </c>
      <c r="AZ19" s="461" t="str">
        <f t="shared" si="3"/>
        <v/>
      </c>
      <c r="BA19" s="461">
        <f t="shared" si="4"/>
        <v>0</v>
      </c>
      <c r="BB19" s="461">
        <f>IF(AND(AT19=1,AK19="E",AU19&gt;=0.75,AW19=1),Health,IF(AND(AT19=1,AK19="E",AU19&gt;=0.75),Health*P19,IF(AND(AT19=1,AK19="E",AU19&gt;=0.5,AW19=1),PTHealth,IF(AND(AT19=1,AK19="E",AU19&gt;=0.5),PTHealth*P19,0))))</f>
        <v>0</v>
      </c>
      <c r="BC19" s="461">
        <f>IF(AND(AT19=3,AK19="E",AV19&gt;=0.75,AW19=1),Health,IF(AND(AT19=3,AK19="E",AV19&gt;=0.75),Health*P19,IF(AND(AT19=3,AK19="E",AV19&gt;=0.5,AW19=1),PTHealth,IF(AND(AT19=3,AK19="E",AV19&gt;=0.5),PTHealth*P19,0))))</f>
        <v>0</v>
      </c>
      <c r="BD19" s="461">
        <f>IF(AND(AT19&lt;&gt;0,AX19&gt;=MAXSSDI),SSDI*MAXSSDI*P19,IF(AT19&lt;&gt;0,SSDI*W19,0))</f>
        <v>0</v>
      </c>
      <c r="BE19" s="461">
        <f>IF(AT19&lt;&gt;0,SSHI*W19,0)</f>
        <v>0</v>
      </c>
      <c r="BF19" s="461">
        <f>IF(AND(AT19&lt;&gt;0,AN19&lt;&gt;"NE"),VLOOKUP(AN19,Retirement_Rates,3,FALSE)*W19,0)</f>
        <v>0</v>
      </c>
      <c r="BG19" s="461">
        <f>IF(AND(AT19&lt;&gt;0,AJ19&lt;&gt;"PF"),Life*W19,0)</f>
        <v>0</v>
      </c>
      <c r="BH19" s="461">
        <f>IF(AND(AT19&lt;&gt;0,AM19="Y"),UI*W19,0)</f>
        <v>0</v>
      </c>
      <c r="BI19" s="461">
        <f>IF(AND(AT19&lt;&gt;0,N19&lt;&gt;"NR"),DHR*W19,0)</f>
        <v>0</v>
      </c>
      <c r="BJ19" s="461">
        <f>IF(AT19&lt;&gt;0,WC*W19,0)</f>
        <v>0</v>
      </c>
      <c r="BK19" s="461">
        <f>IF(OR(AND(AT19&lt;&gt;0,AJ19&lt;&gt;"PF",AN19&lt;&gt;"NE",AG19&lt;&gt;"A"),AND(AL19="E",OR(AT19=1,AT19=3))),Sick*W19,0)</f>
        <v>0</v>
      </c>
      <c r="BL19" s="461">
        <f t="shared" si="5"/>
        <v>0</v>
      </c>
      <c r="BM19" s="461">
        <f t="shared" si="6"/>
        <v>0</v>
      </c>
      <c r="BN19" s="461">
        <f>IF(AND(AT19=1,AK19="E",AU19&gt;=0.75,AW19=1),HealthBY,IF(AND(AT19=1,AK19="E",AU19&gt;=0.75),HealthBY*P19,IF(AND(AT19=1,AK19="E",AU19&gt;=0.5,AW19=1),PTHealthBY,IF(AND(AT19=1,AK19="E",AU19&gt;=0.5),PTHealthBY*P19,0))))</f>
        <v>0</v>
      </c>
      <c r="BO19" s="461">
        <f>IF(AND(AT19=3,AK19="E",AV19&gt;=0.75,AW19=1),HealthBY,IF(AND(AT19=3,AK19="E",AV19&gt;=0.75),HealthBY*P19,IF(AND(AT19=3,AK19="E",AV19&gt;=0.5,AW19=1),PTHealthBY,IF(AND(AT19=3,AK19="E",AV19&gt;=0.5),PTHealthBY*P19,0))))</f>
        <v>0</v>
      </c>
      <c r="BP19" s="461">
        <f>IF(AND(AT19&lt;&gt;0,(AX19+BA19)&gt;=MAXSSDIBY),SSDIBY*MAXSSDIBY*P19,IF(AT19&lt;&gt;0,SSDIBY*W19,0))</f>
        <v>0</v>
      </c>
      <c r="BQ19" s="461">
        <f>IF(AT19&lt;&gt;0,SSHIBY*W19,0)</f>
        <v>0</v>
      </c>
      <c r="BR19" s="461">
        <f>IF(AND(AT19&lt;&gt;0,AN19&lt;&gt;"NE"),VLOOKUP(AN19,Retirement_Rates,4,FALSE)*W19,0)</f>
        <v>0</v>
      </c>
      <c r="BS19" s="461">
        <f>IF(AND(AT19&lt;&gt;0,AJ19&lt;&gt;"PF"),LifeBY*W19,0)</f>
        <v>0</v>
      </c>
      <c r="BT19" s="461">
        <f>IF(AND(AT19&lt;&gt;0,AM19="Y"),UIBY*W19,0)</f>
        <v>0</v>
      </c>
      <c r="BU19" s="461">
        <f>IF(AND(AT19&lt;&gt;0,N19&lt;&gt;"NR"),DHRBY*W19,0)</f>
        <v>0</v>
      </c>
      <c r="BV19" s="461">
        <f>IF(AT19&lt;&gt;0,WCBY*W19,0)</f>
        <v>0</v>
      </c>
      <c r="BW19" s="461">
        <f>IF(OR(AND(AT19&lt;&gt;0,AJ19&lt;&gt;"PF",AN19&lt;&gt;"NE",AG19&lt;&gt;"A"),AND(AL19="E",OR(AT19=1,AT19=3))),SickBY*W19,0)</f>
        <v>0</v>
      </c>
      <c r="BX19" s="461">
        <f t="shared" si="7"/>
        <v>0</v>
      </c>
      <c r="BY19" s="461">
        <f t="shared" si="8"/>
        <v>0</v>
      </c>
      <c r="BZ19" s="461">
        <f t="shared" si="9"/>
        <v>0</v>
      </c>
      <c r="CA19" s="461">
        <f t="shared" si="10"/>
        <v>0</v>
      </c>
      <c r="CB19" s="461">
        <f t="shared" si="11"/>
        <v>0</v>
      </c>
      <c r="CC19" s="461">
        <f>IF(AT19&lt;&gt;0,SSHICHG*Y19,0)</f>
        <v>0</v>
      </c>
      <c r="CD19" s="461">
        <f>IF(AND(AT19&lt;&gt;0,AN19&lt;&gt;"NE"),VLOOKUP(AN19,Retirement_Rates,5,FALSE)*Y19,0)</f>
        <v>0</v>
      </c>
      <c r="CE19" s="461">
        <f>IF(AND(AT19&lt;&gt;0,AJ19&lt;&gt;"PF"),LifeCHG*Y19,0)</f>
        <v>0</v>
      </c>
      <c r="CF19" s="461">
        <f>IF(AND(AT19&lt;&gt;0,AM19="Y"),UICHG*Y19,0)</f>
        <v>0</v>
      </c>
      <c r="CG19" s="461">
        <f>IF(AND(AT19&lt;&gt;0,N19&lt;&gt;"NR"),DHRCHG*Y19,0)</f>
        <v>0</v>
      </c>
      <c r="CH19" s="461">
        <f>IF(AT19&lt;&gt;0,WCCHG*Y19,0)</f>
        <v>0</v>
      </c>
      <c r="CI19" s="461">
        <f>IF(OR(AND(AT19&lt;&gt;0,AJ19&lt;&gt;"PF",AN19&lt;&gt;"NE",AG19&lt;&gt;"A"),AND(AL19="E",OR(AT19=1,AT19=3))),SickCHG*Y19,0)</f>
        <v>0</v>
      </c>
      <c r="CJ19" s="461">
        <f t="shared" si="12"/>
        <v>0</v>
      </c>
      <c r="CK19" s="461" t="str">
        <f t="shared" si="13"/>
        <v/>
      </c>
      <c r="CL19" s="461">
        <f t="shared" si="14"/>
        <v>2394</v>
      </c>
      <c r="CM19" s="461">
        <f t="shared" si="15"/>
        <v>196.7</v>
      </c>
      <c r="CN19" s="461" t="str">
        <f t="shared" si="16"/>
        <v>0001-00</v>
      </c>
    </row>
    <row r="20" spans="1:92" ht="15" thickBot="1" x14ac:dyDescent="0.35">
      <c r="A20" s="376" t="s">
        <v>161</v>
      </c>
      <c r="B20" s="376" t="s">
        <v>162</v>
      </c>
      <c r="C20" s="376" t="s">
        <v>284</v>
      </c>
      <c r="D20" s="376" t="s">
        <v>220</v>
      </c>
      <c r="E20" s="376" t="s">
        <v>165</v>
      </c>
      <c r="F20" s="377" t="s">
        <v>166</v>
      </c>
      <c r="G20" s="376" t="s">
        <v>167</v>
      </c>
      <c r="H20" s="378"/>
      <c r="I20" s="378"/>
      <c r="J20" s="376" t="s">
        <v>175</v>
      </c>
      <c r="K20" s="376" t="s">
        <v>221</v>
      </c>
      <c r="L20" s="376" t="s">
        <v>222</v>
      </c>
      <c r="M20" s="376" t="s">
        <v>192</v>
      </c>
      <c r="N20" s="376" t="s">
        <v>179</v>
      </c>
      <c r="O20" s="379">
        <v>1</v>
      </c>
      <c r="P20" s="459">
        <v>1</v>
      </c>
      <c r="Q20" s="459">
        <v>1</v>
      </c>
      <c r="R20" s="380">
        <v>80</v>
      </c>
      <c r="S20" s="459">
        <v>1</v>
      </c>
      <c r="T20" s="380">
        <v>50827.199999999997</v>
      </c>
      <c r="U20" s="380">
        <v>0</v>
      </c>
      <c r="V20" s="380">
        <v>22756.28</v>
      </c>
      <c r="W20" s="380">
        <v>52228.78</v>
      </c>
      <c r="X20" s="380">
        <v>23513.71</v>
      </c>
      <c r="Y20" s="380">
        <v>52228.78</v>
      </c>
      <c r="Z20" s="380">
        <v>23169.01</v>
      </c>
      <c r="AA20" s="376" t="s">
        <v>285</v>
      </c>
      <c r="AB20" s="376" t="s">
        <v>286</v>
      </c>
      <c r="AC20" s="376" t="s">
        <v>287</v>
      </c>
      <c r="AD20" s="376" t="s">
        <v>191</v>
      </c>
      <c r="AE20" s="376" t="s">
        <v>221</v>
      </c>
      <c r="AF20" s="376" t="s">
        <v>227</v>
      </c>
      <c r="AG20" s="376" t="s">
        <v>198</v>
      </c>
      <c r="AH20" s="381">
        <v>25.11</v>
      </c>
      <c r="AI20" s="381">
        <v>22617.7</v>
      </c>
      <c r="AJ20" s="376" t="s">
        <v>199</v>
      </c>
      <c r="AK20" s="376" t="s">
        <v>200</v>
      </c>
      <c r="AL20" s="376" t="s">
        <v>172</v>
      </c>
      <c r="AM20" s="376" t="s">
        <v>201</v>
      </c>
      <c r="AN20" s="376" t="s">
        <v>68</v>
      </c>
      <c r="AO20" s="379">
        <v>80</v>
      </c>
      <c r="AP20" s="459">
        <v>1</v>
      </c>
      <c r="AQ20" s="459">
        <v>1</v>
      </c>
      <c r="AR20" s="458" t="s">
        <v>202</v>
      </c>
      <c r="AS20" s="461">
        <f t="shared" si="0"/>
        <v>1</v>
      </c>
      <c r="AT20">
        <f t="shared" si="1"/>
        <v>1</v>
      </c>
      <c r="AU20" s="461">
        <f>IF(AT20=0,"",IF(AND(AT20=1,M20="F",SUMIF(C2:C35,C20,AS2:AS35)&lt;=1),SUMIF(C2:C35,C20,AS2:AS35),IF(AND(AT20=1,M20="F",SUMIF(C2:C35,C20,AS2:AS35)&gt;1),1,"")))</f>
        <v>1</v>
      </c>
      <c r="AV20" s="461" t="str">
        <f>IF(AT20=0,"",IF(AND(AT20=3,M20="F",SUMIF(C2:C35,C20,AS2:AS35)&lt;=1),SUMIF(C2:C35,C20,AS2:AS35),IF(AND(AT20=3,M20="F",SUMIF(C2:C35,C20,AS2:AS35)&gt;1),1,"")))</f>
        <v/>
      </c>
      <c r="AW20" s="461">
        <f>SUMIF(C2:C35,C20,O2:O35)</f>
        <v>1</v>
      </c>
      <c r="AX20" s="461">
        <f>IF(AND(M20="F",AS20&lt;&gt;0),SUMIF(C2:C35,C20,W2:W35),0)</f>
        <v>52228.78</v>
      </c>
      <c r="AY20" s="461">
        <f t="shared" si="2"/>
        <v>52228.78</v>
      </c>
      <c r="AZ20" s="461" t="str">
        <f t="shared" si="3"/>
        <v/>
      </c>
      <c r="BA20" s="461">
        <f t="shared" si="4"/>
        <v>0</v>
      </c>
      <c r="BB20" s="461">
        <f>IF(AND(AT20=1,AK20="E",AU20&gt;=0.75,AW20=1),Health,IF(AND(AT20=1,AK20="E",AU20&gt;=0.75),Health*P20,IF(AND(AT20=1,AK20="E",AU20&gt;=0.5,AW20=1),PTHealth,IF(AND(AT20=1,AK20="E",AU20&gt;=0.5),PTHealth*P20,0))))</f>
        <v>11650</v>
      </c>
      <c r="BC20" s="461">
        <f>IF(AND(AT20=3,AK20="E",AV20&gt;=0.75,AW20=1),Health,IF(AND(AT20=3,AK20="E",AV20&gt;=0.75),Health*P20,IF(AND(AT20=3,AK20="E",AV20&gt;=0.5,AW20=1),PTHealth,IF(AND(AT20=3,AK20="E",AV20&gt;=0.5),PTHealth*P20,0))))</f>
        <v>0</v>
      </c>
      <c r="BD20" s="461">
        <f>IF(AND(AT20&lt;&gt;0,AX20&gt;=MAXSSDI),SSDI*MAXSSDI*P20,IF(AT20&lt;&gt;0,SSDI*W20,0))</f>
        <v>3238.1843599999997</v>
      </c>
      <c r="BE20" s="461">
        <f>IF(AT20&lt;&gt;0,SSHI*W20,0)</f>
        <v>757.31731000000002</v>
      </c>
      <c r="BF20" s="461">
        <f>IF(AND(AT20&lt;&gt;0,AN20&lt;&gt;"NE"),VLOOKUP(AN20,Retirement_Rates,3,FALSE)*W20,0)</f>
        <v>6236.1163320000005</v>
      </c>
      <c r="BG20" s="461">
        <f>IF(AND(AT20&lt;&gt;0,AJ20&lt;&gt;"PF"),Life*W20,0)</f>
        <v>376.56950380000001</v>
      </c>
      <c r="BH20" s="461">
        <f>IF(AND(AT20&lt;&gt;0,AM20="Y"),UI*W20,0)</f>
        <v>255.92102199999999</v>
      </c>
      <c r="BI20" s="461">
        <f>IF(AND(AT20&lt;&gt;0,N20&lt;&gt;"NR"),DHR*W20,0)</f>
        <v>289.34744119999999</v>
      </c>
      <c r="BJ20" s="461">
        <f>IF(AT20&lt;&gt;0,WC*W20,0)</f>
        <v>710.31140799999991</v>
      </c>
      <c r="BK20" s="461">
        <f>IF(OR(AND(AT20&lt;&gt;0,AJ20&lt;&gt;"PF",AN20&lt;&gt;"NE",AG20&lt;&gt;"A"),AND(AL20="E",OR(AT20=1,AT20=3))),Sick*W20,0)</f>
        <v>0</v>
      </c>
      <c r="BL20" s="461">
        <f t="shared" si="5"/>
        <v>11863.767376999998</v>
      </c>
      <c r="BM20" s="461">
        <f t="shared" si="6"/>
        <v>0</v>
      </c>
      <c r="BN20" s="461">
        <f>IF(AND(AT20=1,AK20="E",AU20&gt;=0.75,AW20=1),HealthBY,IF(AND(AT20=1,AK20="E",AU20&gt;=0.75),HealthBY*P20,IF(AND(AT20=1,AK20="E",AU20&gt;=0.5,AW20=1),PTHealthBY,IF(AND(AT20=1,AK20="E",AU20&gt;=0.5),PTHealthBY*P20,0))))</f>
        <v>11650</v>
      </c>
      <c r="BO20" s="461">
        <f>IF(AND(AT20=3,AK20="E",AV20&gt;=0.75,AW20=1),HealthBY,IF(AND(AT20=3,AK20="E",AV20&gt;=0.75),HealthBY*P20,IF(AND(AT20=3,AK20="E",AV20&gt;=0.5,AW20=1),PTHealthBY,IF(AND(AT20=3,AK20="E",AV20&gt;=0.5),PTHealthBY*P20,0))))</f>
        <v>0</v>
      </c>
      <c r="BP20" s="461">
        <f>IF(AND(AT20&lt;&gt;0,(AX20+BA20)&gt;=MAXSSDIBY),SSDIBY*MAXSSDIBY*P20,IF(AT20&lt;&gt;0,SSDIBY*W20,0))</f>
        <v>3238.1843599999997</v>
      </c>
      <c r="BQ20" s="461">
        <f>IF(AT20&lt;&gt;0,SSHIBY*W20,0)</f>
        <v>757.31731000000002</v>
      </c>
      <c r="BR20" s="461">
        <f>IF(AND(AT20&lt;&gt;0,AN20&lt;&gt;"NE"),VLOOKUP(AN20,Retirement_Rates,4,FALSE)*W20,0)</f>
        <v>6236.1163320000005</v>
      </c>
      <c r="BS20" s="461">
        <f>IF(AND(AT20&lt;&gt;0,AJ20&lt;&gt;"PF"),LifeBY*W20,0)</f>
        <v>376.56950380000001</v>
      </c>
      <c r="BT20" s="461">
        <f>IF(AND(AT20&lt;&gt;0,AM20="Y"),UIBY*W20,0)</f>
        <v>0</v>
      </c>
      <c r="BU20" s="461">
        <f>IF(AND(AT20&lt;&gt;0,N20&lt;&gt;"NR"),DHRBY*W20,0)</f>
        <v>289.34744119999999</v>
      </c>
      <c r="BV20" s="461">
        <f>IF(AT20&lt;&gt;0,WCBY*W20,0)</f>
        <v>621.52248200000008</v>
      </c>
      <c r="BW20" s="461">
        <f>IF(OR(AND(AT20&lt;&gt;0,AJ20&lt;&gt;"PF",AN20&lt;&gt;"NE",AG20&lt;&gt;"A"),AND(AL20="E",OR(AT20=1,AT20=3))),SickBY*W20,0)</f>
        <v>0</v>
      </c>
      <c r="BX20" s="461">
        <f t="shared" si="7"/>
        <v>11519.057428999999</v>
      </c>
      <c r="BY20" s="461">
        <f t="shared" si="8"/>
        <v>0</v>
      </c>
      <c r="BZ20" s="461">
        <f t="shared" si="9"/>
        <v>0</v>
      </c>
      <c r="CA20" s="461">
        <f t="shared" si="10"/>
        <v>0</v>
      </c>
      <c r="CB20" s="461">
        <f t="shared" si="11"/>
        <v>0</v>
      </c>
      <c r="CC20" s="461">
        <f>IF(AT20&lt;&gt;0,SSHICHG*Y20,0)</f>
        <v>0</v>
      </c>
      <c r="CD20" s="461">
        <f>IF(AND(AT20&lt;&gt;0,AN20&lt;&gt;"NE"),VLOOKUP(AN20,Retirement_Rates,5,FALSE)*Y20,0)</f>
        <v>0</v>
      </c>
      <c r="CE20" s="461">
        <f>IF(AND(AT20&lt;&gt;0,AJ20&lt;&gt;"PF"),LifeCHG*Y20,0)</f>
        <v>0</v>
      </c>
      <c r="CF20" s="461">
        <f>IF(AND(AT20&lt;&gt;0,AM20="Y"),UICHG*Y20,0)</f>
        <v>-255.92102199999999</v>
      </c>
      <c r="CG20" s="461">
        <f>IF(AND(AT20&lt;&gt;0,N20&lt;&gt;"NR"),DHRCHG*Y20,0)</f>
        <v>0</v>
      </c>
      <c r="CH20" s="461">
        <f>IF(AT20&lt;&gt;0,WCCHG*Y20,0)</f>
        <v>-88.788925999999918</v>
      </c>
      <c r="CI20" s="461">
        <f>IF(OR(AND(AT20&lt;&gt;0,AJ20&lt;&gt;"PF",AN20&lt;&gt;"NE",AG20&lt;&gt;"A"),AND(AL20="E",OR(AT20=1,AT20=3))),SickCHG*Y20,0)</f>
        <v>0</v>
      </c>
      <c r="CJ20" s="461">
        <f t="shared" si="12"/>
        <v>-344.70994799999994</v>
      </c>
      <c r="CK20" s="461" t="str">
        <f t="shared" si="13"/>
        <v/>
      </c>
      <c r="CL20" s="461" t="str">
        <f t="shared" si="14"/>
        <v/>
      </c>
      <c r="CM20" s="461" t="str">
        <f t="shared" si="15"/>
        <v/>
      </c>
      <c r="CN20" s="461" t="str">
        <f t="shared" si="16"/>
        <v>0001-00</v>
      </c>
    </row>
    <row r="21" spans="1:92" ht="15" thickBot="1" x14ac:dyDescent="0.35">
      <c r="A21" s="376" t="s">
        <v>161</v>
      </c>
      <c r="B21" s="376" t="s">
        <v>162</v>
      </c>
      <c r="C21" s="376" t="s">
        <v>288</v>
      </c>
      <c r="D21" s="376" t="s">
        <v>289</v>
      </c>
      <c r="E21" s="376" t="s">
        <v>165</v>
      </c>
      <c r="F21" s="377" t="s">
        <v>166</v>
      </c>
      <c r="G21" s="376" t="s">
        <v>167</v>
      </c>
      <c r="H21" s="378"/>
      <c r="I21" s="378"/>
      <c r="J21" s="376" t="s">
        <v>182</v>
      </c>
      <c r="K21" s="376" t="s">
        <v>290</v>
      </c>
      <c r="L21" s="376" t="s">
        <v>166</v>
      </c>
      <c r="M21" s="376" t="s">
        <v>178</v>
      </c>
      <c r="N21" s="376" t="s">
        <v>283</v>
      </c>
      <c r="O21" s="379">
        <v>0</v>
      </c>
      <c r="P21" s="459">
        <v>1</v>
      </c>
      <c r="Q21" s="459">
        <v>0</v>
      </c>
      <c r="R21" s="380">
        <v>0</v>
      </c>
      <c r="S21" s="459">
        <v>0</v>
      </c>
      <c r="T21" s="380">
        <v>0</v>
      </c>
      <c r="U21" s="380">
        <v>0</v>
      </c>
      <c r="V21" s="380">
        <v>0</v>
      </c>
      <c r="W21" s="380">
        <v>0</v>
      </c>
      <c r="X21" s="380">
        <v>0</v>
      </c>
      <c r="Y21" s="380">
        <v>0</v>
      </c>
      <c r="Z21" s="380">
        <v>0</v>
      </c>
      <c r="AA21" s="378"/>
      <c r="AB21" s="376" t="s">
        <v>45</v>
      </c>
      <c r="AC21" s="376" t="s">
        <v>45</v>
      </c>
      <c r="AD21" s="378"/>
      <c r="AE21" s="378"/>
      <c r="AF21" s="378"/>
      <c r="AG21" s="378"/>
      <c r="AH21" s="379">
        <v>0</v>
      </c>
      <c r="AI21" s="379">
        <v>0</v>
      </c>
      <c r="AJ21" s="378"/>
      <c r="AK21" s="378"/>
      <c r="AL21" s="376" t="s">
        <v>172</v>
      </c>
      <c r="AM21" s="378"/>
      <c r="AN21" s="378"/>
      <c r="AO21" s="379">
        <v>0</v>
      </c>
      <c r="AP21" s="459">
        <v>0</v>
      </c>
      <c r="AQ21" s="459">
        <v>0</v>
      </c>
      <c r="AR21" s="457"/>
      <c r="AS21" s="461">
        <f t="shared" si="0"/>
        <v>0</v>
      </c>
      <c r="AT21">
        <f t="shared" si="1"/>
        <v>0</v>
      </c>
      <c r="AU21" s="461" t="str">
        <f>IF(AT21=0,"",IF(AND(AT21=1,M21="F",SUMIF(C2:C35,C21,AS2:AS35)&lt;=1),SUMIF(C2:C35,C21,AS2:AS35),IF(AND(AT21=1,M21="F",SUMIF(C2:C35,C21,AS2:AS35)&gt;1),1,"")))</f>
        <v/>
      </c>
      <c r="AV21" s="461" t="str">
        <f>IF(AT21=0,"",IF(AND(AT21=3,M21="F",SUMIF(C2:C35,C21,AS2:AS35)&lt;=1),SUMIF(C2:C35,C21,AS2:AS35),IF(AND(AT21=3,M21="F",SUMIF(C2:C35,C21,AS2:AS35)&gt;1),1,"")))</f>
        <v/>
      </c>
      <c r="AW21" s="461">
        <f>SUMIF(C2:C35,C21,O2:O35)</f>
        <v>0</v>
      </c>
      <c r="AX21" s="461">
        <f>IF(AND(M21="F",AS21&lt;&gt;0),SUMIF(C2:C35,C21,W2:W35),0)</f>
        <v>0</v>
      </c>
      <c r="AY21" s="461" t="str">
        <f t="shared" si="2"/>
        <v/>
      </c>
      <c r="AZ21" s="461" t="str">
        <f t="shared" si="3"/>
        <v/>
      </c>
      <c r="BA21" s="461">
        <f t="shared" si="4"/>
        <v>0</v>
      </c>
      <c r="BB21" s="461">
        <f>IF(AND(AT21=1,AK21="E",AU21&gt;=0.75,AW21=1),Health,IF(AND(AT21=1,AK21="E",AU21&gt;=0.75),Health*P21,IF(AND(AT21=1,AK21="E",AU21&gt;=0.5,AW21=1),PTHealth,IF(AND(AT21=1,AK21="E",AU21&gt;=0.5),PTHealth*P21,0))))</f>
        <v>0</v>
      </c>
      <c r="BC21" s="461">
        <f>IF(AND(AT21=3,AK21="E",AV21&gt;=0.75,AW21=1),Health,IF(AND(AT21=3,AK21="E",AV21&gt;=0.75),Health*P21,IF(AND(AT21=3,AK21="E",AV21&gt;=0.5,AW21=1),PTHealth,IF(AND(AT21=3,AK21="E",AV21&gt;=0.5),PTHealth*P21,0))))</f>
        <v>0</v>
      </c>
      <c r="BD21" s="461">
        <f>IF(AND(AT21&lt;&gt;0,AX21&gt;=MAXSSDI),SSDI*MAXSSDI*P21,IF(AT21&lt;&gt;0,SSDI*W21,0))</f>
        <v>0</v>
      </c>
      <c r="BE21" s="461">
        <f>IF(AT21&lt;&gt;0,SSHI*W21,0)</f>
        <v>0</v>
      </c>
      <c r="BF21" s="461">
        <f>IF(AND(AT21&lt;&gt;0,AN21&lt;&gt;"NE"),VLOOKUP(AN21,Retirement_Rates,3,FALSE)*W21,0)</f>
        <v>0</v>
      </c>
      <c r="BG21" s="461">
        <f>IF(AND(AT21&lt;&gt;0,AJ21&lt;&gt;"PF"),Life*W21,0)</f>
        <v>0</v>
      </c>
      <c r="BH21" s="461">
        <f>IF(AND(AT21&lt;&gt;0,AM21="Y"),UI*W21,0)</f>
        <v>0</v>
      </c>
      <c r="BI21" s="461">
        <f>IF(AND(AT21&lt;&gt;0,N21&lt;&gt;"NR"),DHR*W21,0)</f>
        <v>0</v>
      </c>
      <c r="BJ21" s="461">
        <f>IF(AT21&lt;&gt;0,WC*W21,0)</f>
        <v>0</v>
      </c>
      <c r="BK21" s="461">
        <f>IF(OR(AND(AT21&lt;&gt;0,AJ21&lt;&gt;"PF",AN21&lt;&gt;"NE",AG21&lt;&gt;"A"),AND(AL21="E",OR(AT21=1,AT21=3))),Sick*W21,0)</f>
        <v>0</v>
      </c>
      <c r="BL21" s="461">
        <f t="shared" si="5"/>
        <v>0</v>
      </c>
      <c r="BM21" s="461">
        <f t="shared" si="6"/>
        <v>0</v>
      </c>
      <c r="BN21" s="461">
        <f>IF(AND(AT21=1,AK21="E",AU21&gt;=0.75,AW21=1),HealthBY,IF(AND(AT21=1,AK21="E",AU21&gt;=0.75),HealthBY*P21,IF(AND(AT21=1,AK21="E",AU21&gt;=0.5,AW21=1),PTHealthBY,IF(AND(AT21=1,AK21="E",AU21&gt;=0.5),PTHealthBY*P21,0))))</f>
        <v>0</v>
      </c>
      <c r="BO21" s="461">
        <f>IF(AND(AT21=3,AK21="E",AV21&gt;=0.75,AW21=1),HealthBY,IF(AND(AT21=3,AK21="E",AV21&gt;=0.75),HealthBY*P21,IF(AND(AT21=3,AK21="E",AV21&gt;=0.5,AW21=1),PTHealthBY,IF(AND(AT21=3,AK21="E",AV21&gt;=0.5),PTHealthBY*P21,0))))</f>
        <v>0</v>
      </c>
      <c r="BP21" s="461">
        <f>IF(AND(AT21&lt;&gt;0,(AX21+BA21)&gt;=MAXSSDIBY),SSDIBY*MAXSSDIBY*P21,IF(AT21&lt;&gt;0,SSDIBY*W21,0))</f>
        <v>0</v>
      </c>
      <c r="BQ21" s="461">
        <f>IF(AT21&lt;&gt;0,SSHIBY*W21,0)</f>
        <v>0</v>
      </c>
      <c r="BR21" s="461">
        <f>IF(AND(AT21&lt;&gt;0,AN21&lt;&gt;"NE"),VLOOKUP(AN21,Retirement_Rates,4,FALSE)*W21,0)</f>
        <v>0</v>
      </c>
      <c r="BS21" s="461">
        <f>IF(AND(AT21&lt;&gt;0,AJ21&lt;&gt;"PF"),LifeBY*W21,0)</f>
        <v>0</v>
      </c>
      <c r="BT21" s="461">
        <f>IF(AND(AT21&lt;&gt;0,AM21="Y"),UIBY*W21,0)</f>
        <v>0</v>
      </c>
      <c r="BU21" s="461">
        <f>IF(AND(AT21&lt;&gt;0,N21&lt;&gt;"NR"),DHRBY*W21,0)</f>
        <v>0</v>
      </c>
      <c r="BV21" s="461">
        <f>IF(AT21&lt;&gt;0,WCBY*W21,0)</f>
        <v>0</v>
      </c>
      <c r="BW21" s="461">
        <f>IF(OR(AND(AT21&lt;&gt;0,AJ21&lt;&gt;"PF",AN21&lt;&gt;"NE",AG21&lt;&gt;"A"),AND(AL21="E",OR(AT21=1,AT21=3))),SickBY*W21,0)</f>
        <v>0</v>
      </c>
      <c r="BX21" s="461">
        <f t="shared" si="7"/>
        <v>0</v>
      </c>
      <c r="BY21" s="461">
        <f t="shared" si="8"/>
        <v>0</v>
      </c>
      <c r="BZ21" s="461">
        <f t="shared" si="9"/>
        <v>0</v>
      </c>
      <c r="CA21" s="461">
        <f t="shared" si="10"/>
        <v>0</v>
      </c>
      <c r="CB21" s="461">
        <f t="shared" si="11"/>
        <v>0</v>
      </c>
      <c r="CC21" s="461">
        <f>IF(AT21&lt;&gt;0,SSHICHG*Y21,0)</f>
        <v>0</v>
      </c>
      <c r="CD21" s="461">
        <f>IF(AND(AT21&lt;&gt;0,AN21&lt;&gt;"NE"),VLOOKUP(AN21,Retirement_Rates,5,FALSE)*Y21,0)</f>
        <v>0</v>
      </c>
      <c r="CE21" s="461">
        <f>IF(AND(AT21&lt;&gt;0,AJ21&lt;&gt;"PF"),LifeCHG*Y21,0)</f>
        <v>0</v>
      </c>
      <c r="CF21" s="461">
        <f>IF(AND(AT21&lt;&gt;0,AM21="Y"),UICHG*Y21,0)</f>
        <v>0</v>
      </c>
      <c r="CG21" s="461">
        <f>IF(AND(AT21&lt;&gt;0,N21&lt;&gt;"NR"),DHRCHG*Y21,0)</f>
        <v>0</v>
      </c>
      <c r="CH21" s="461">
        <f>IF(AT21&lt;&gt;0,WCCHG*Y21,0)</f>
        <v>0</v>
      </c>
      <c r="CI21" s="461">
        <f>IF(OR(AND(AT21&lt;&gt;0,AJ21&lt;&gt;"PF",AN21&lt;&gt;"NE",AG21&lt;&gt;"A"),AND(AL21="E",OR(AT21=1,AT21=3))),SickCHG*Y21,0)</f>
        <v>0</v>
      </c>
      <c r="CJ21" s="461">
        <f t="shared" si="12"/>
        <v>0</v>
      </c>
      <c r="CK21" s="461" t="str">
        <f t="shared" si="13"/>
        <v/>
      </c>
      <c r="CL21" s="461">
        <f t="shared" si="14"/>
        <v>0</v>
      </c>
      <c r="CM21" s="461">
        <f t="shared" si="15"/>
        <v>0</v>
      </c>
      <c r="CN21" s="461" t="str">
        <f t="shared" si="16"/>
        <v>0001-00</v>
      </c>
    </row>
    <row r="22" spans="1:92" ht="15" thickBot="1" x14ac:dyDescent="0.35">
      <c r="A22" s="376" t="s">
        <v>161</v>
      </c>
      <c r="B22" s="376" t="s">
        <v>162</v>
      </c>
      <c r="C22" s="376" t="s">
        <v>291</v>
      </c>
      <c r="D22" s="376" t="s">
        <v>289</v>
      </c>
      <c r="E22" s="376" t="s">
        <v>165</v>
      </c>
      <c r="F22" s="377" t="s">
        <v>166</v>
      </c>
      <c r="G22" s="376" t="s">
        <v>167</v>
      </c>
      <c r="H22" s="378"/>
      <c r="I22" s="378"/>
      <c r="J22" s="376" t="s">
        <v>168</v>
      </c>
      <c r="K22" s="376" t="s">
        <v>290</v>
      </c>
      <c r="L22" s="376" t="s">
        <v>166</v>
      </c>
      <c r="M22" s="376" t="s">
        <v>178</v>
      </c>
      <c r="N22" s="376" t="s">
        <v>283</v>
      </c>
      <c r="O22" s="379">
        <v>0</v>
      </c>
      <c r="P22" s="459">
        <v>1</v>
      </c>
      <c r="Q22" s="459">
        <v>0</v>
      </c>
      <c r="R22" s="380">
        <v>0</v>
      </c>
      <c r="S22" s="459">
        <v>0</v>
      </c>
      <c r="T22" s="380">
        <v>0</v>
      </c>
      <c r="U22" s="380">
        <v>0</v>
      </c>
      <c r="V22" s="380">
        <v>0</v>
      </c>
      <c r="W22" s="380">
        <v>0</v>
      </c>
      <c r="X22" s="380">
        <v>0</v>
      </c>
      <c r="Y22" s="380">
        <v>0</v>
      </c>
      <c r="Z22" s="380">
        <v>0</v>
      </c>
      <c r="AA22" s="378"/>
      <c r="AB22" s="376" t="s">
        <v>45</v>
      </c>
      <c r="AC22" s="376" t="s">
        <v>45</v>
      </c>
      <c r="AD22" s="378"/>
      <c r="AE22" s="378"/>
      <c r="AF22" s="378"/>
      <c r="AG22" s="378"/>
      <c r="AH22" s="379">
        <v>0</v>
      </c>
      <c r="AI22" s="379">
        <v>0</v>
      </c>
      <c r="AJ22" s="378"/>
      <c r="AK22" s="378"/>
      <c r="AL22" s="376" t="s">
        <v>172</v>
      </c>
      <c r="AM22" s="378"/>
      <c r="AN22" s="378"/>
      <c r="AO22" s="379">
        <v>0</v>
      </c>
      <c r="AP22" s="459">
        <v>0</v>
      </c>
      <c r="AQ22" s="459">
        <v>0</v>
      </c>
      <c r="AR22" s="457"/>
      <c r="AS22" s="461">
        <f t="shared" si="0"/>
        <v>0</v>
      </c>
      <c r="AT22">
        <f t="shared" si="1"/>
        <v>0</v>
      </c>
      <c r="AU22" s="461" t="str">
        <f>IF(AT22=0,"",IF(AND(AT22=1,M22="F",SUMIF(C2:C35,C22,AS2:AS35)&lt;=1),SUMIF(C2:C35,C22,AS2:AS35),IF(AND(AT22=1,M22="F",SUMIF(C2:C35,C22,AS2:AS35)&gt;1),1,"")))</f>
        <v/>
      </c>
      <c r="AV22" s="461" t="str">
        <f>IF(AT22=0,"",IF(AND(AT22=3,M22="F",SUMIF(C2:C35,C22,AS2:AS35)&lt;=1),SUMIF(C2:C35,C22,AS2:AS35),IF(AND(AT22=3,M22="F",SUMIF(C2:C35,C22,AS2:AS35)&gt;1),1,"")))</f>
        <v/>
      </c>
      <c r="AW22" s="461">
        <f>SUMIF(C2:C35,C22,O2:O35)</f>
        <v>0</v>
      </c>
      <c r="AX22" s="461">
        <f>IF(AND(M22="F",AS22&lt;&gt;0),SUMIF(C2:C35,C22,W2:W35),0)</f>
        <v>0</v>
      </c>
      <c r="AY22" s="461" t="str">
        <f t="shared" si="2"/>
        <v/>
      </c>
      <c r="AZ22" s="461" t="str">
        <f t="shared" si="3"/>
        <v/>
      </c>
      <c r="BA22" s="461">
        <f t="shared" si="4"/>
        <v>0</v>
      </c>
      <c r="BB22" s="461">
        <f>IF(AND(AT22=1,AK22="E",AU22&gt;=0.75,AW22=1),Health,IF(AND(AT22=1,AK22="E",AU22&gt;=0.75),Health*P22,IF(AND(AT22=1,AK22="E",AU22&gt;=0.5,AW22=1),PTHealth,IF(AND(AT22=1,AK22="E",AU22&gt;=0.5),PTHealth*P22,0))))</f>
        <v>0</v>
      </c>
      <c r="BC22" s="461">
        <f>IF(AND(AT22=3,AK22="E",AV22&gt;=0.75,AW22=1),Health,IF(AND(AT22=3,AK22="E",AV22&gt;=0.75),Health*P22,IF(AND(AT22=3,AK22="E",AV22&gt;=0.5,AW22=1),PTHealth,IF(AND(AT22=3,AK22="E",AV22&gt;=0.5),PTHealth*P22,0))))</f>
        <v>0</v>
      </c>
      <c r="BD22" s="461">
        <f>IF(AND(AT22&lt;&gt;0,AX22&gt;=MAXSSDI),SSDI*MAXSSDI*P22,IF(AT22&lt;&gt;0,SSDI*W22,0))</f>
        <v>0</v>
      </c>
      <c r="BE22" s="461">
        <f>IF(AT22&lt;&gt;0,SSHI*W22,0)</f>
        <v>0</v>
      </c>
      <c r="BF22" s="461">
        <f>IF(AND(AT22&lt;&gt;0,AN22&lt;&gt;"NE"),VLOOKUP(AN22,Retirement_Rates,3,FALSE)*W22,0)</f>
        <v>0</v>
      </c>
      <c r="BG22" s="461">
        <f>IF(AND(AT22&lt;&gt;0,AJ22&lt;&gt;"PF"),Life*W22,0)</f>
        <v>0</v>
      </c>
      <c r="BH22" s="461">
        <f>IF(AND(AT22&lt;&gt;0,AM22="Y"),UI*W22,0)</f>
        <v>0</v>
      </c>
      <c r="BI22" s="461">
        <f>IF(AND(AT22&lt;&gt;0,N22&lt;&gt;"NR"),DHR*W22,0)</f>
        <v>0</v>
      </c>
      <c r="BJ22" s="461">
        <f>IF(AT22&lt;&gt;0,WC*W22,0)</f>
        <v>0</v>
      </c>
      <c r="BK22" s="461">
        <f>IF(OR(AND(AT22&lt;&gt;0,AJ22&lt;&gt;"PF",AN22&lt;&gt;"NE",AG22&lt;&gt;"A"),AND(AL22="E",OR(AT22=1,AT22=3))),Sick*W22,0)</f>
        <v>0</v>
      </c>
      <c r="BL22" s="461">
        <f t="shared" si="5"/>
        <v>0</v>
      </c>
      <c r="BM22" s="461">
        <f t="shared" si="6"/>
        <v>0</v>
      </c>
      <c r="BN22" s="461">
        <f>IF(AND(AT22=1,AK22="E",AU22&gt;=0.75,AW22=1),HealthBY,IF(AND(AT22=1,AK22="E",AU22&gt;=0.75),HealthBY*P22,IF(AND(AT22=1,AK22="E",AU22&gt;=0.5,AW22=1),PTHealthBY,IF(AND(AT22=1,AK22="E",AU22&gt;=0.5),PTHealthBY*P22,0))))</f>
        <v>0</v>
      </c>
      <c r="BO22" s="461">
        <f>IF(AND(AT22=3,AK22="E",AV22&gt;=0.75,AW22=1),HealthBY,IF(AND(AT22=3,AK22="E",AV22&gt;=0.75),HealthBY*P22,IF(AND(AT22=3,AK22="E",AV22&gt;=0.5,AW22=1),PTHealthBY,IF(AND(AT22=3,AK22="E",AV22&gt;=0.5),PTHealthBY*P22,0))))</f>
        <v>0</v>
      </c>
      <c r="BP22" s="461">
        <f>IF(AND(AT22&lt;&gt;0,(AX22+BA22)&gt;=MAXSSDIBY),SSDIBY*MAXSSDIBY*P22,IF(AT22&lt;&gt;0,SSDIBY*W22,0))</f>
        <v>0</v>
      </c>
      <c r="BQ22" s="461">
        <f>IF(AT22&lt;&gt;0,SSHIBY*W22,0)</f>
        <v>0</v>
      </c>
      <c r="BR22" s="461">
        <f>IF(AND(AT22&lt;&gt;0,AN22&lt;&gt;"NE"),VLOOKUP(AN22,Retirement_Rates,4,FALSE)*W22,0)</f>
        <v>0</v>
      </c>
      <c r="BS22" s="461">
        <f>IF(AND(AT22&lt;&gt;0,AJ22&lt;&gt;"PF"),LifeBY*W22,0)</f>
        <v>0</v>
      </c>
      <c r="BT22" s="461">
        <f>IF(AND(AT22&lt;&gt;0,AM22="Y"),UIBY*W22,0)</f>
        <v>0</v>
      </c>
      <c r="BU22" s="461">
        <f>IF(AND(AT22&lt;&gt;0,N22&lt;&gt;"NR"),DHRBY*W22,0)</f>
        <v>0</v>
      </c>
      <c r="BV22" s="461">
        <f>IF(AT22&lt;&gt;0,WCBY*W22,0)</f>
        <v>0</v>
      </c>
      <c r="BW22" s="461">
        <f>IF(OR(AND(AT22&lt;&gt;0,AJ22&lt;&gt;"PF",AN22&lt;&gt;"NE",AG22&lt;&gt;"A"),AND(AL22="E",OR(AT22=1,AT22=3))),SickBY*W22,0)</f>
        <v>0</v>
      </c>
      <c r="BX22" s="461">
        <f t="shared" si="7"/>
        <v>0</v>
      </c>
      <c r="BY22" s="461">
        <f t="shared" si="8"/>
        <v>0</v>
      </c>
      <c r="BZ22" s="461">
        <f t="shared" si="9"/>
        <v>0</v>
      </c>
      <c r="CA22" s="461">
        <f t="shared" si="10"/>
        <v>0</v>
      </c>
      <c r="CB22" s="461">
        <f t="shared" si="11"/>
        <v>0</v>
      </c>
      <c r="CC22" s="461">
        <f>IF(AT22&lt;&gt;0,SSHICHG*Y22,0)</f>
        <v>0</v>
      </c>
      <c r="CD22" s="461">
        <f>IF(AND(AT22&lt;&gt;0,AN22&lt;&gt;"NE"),VLOOKUP(AN22,Retirement_Rates,5,FALSE)*Y22,0)</f>
        <v>0</v>
      </c>
      <c r="CE22" s="461">
        <f>IF(AND(AT22&lt;&gt;0,AJ22&lt;&gt;"PF"),LifeCHG*Y22,0)</f>
        <v>0</v>
      </c>
      <c r="CF22" s="461">
        <f>IF(AND(AT22&lt;&gt;0,AM22="Y"),UICHG*Y22,0)</f>
        <v>0</v>
      </c>
      <c r="CG22" s="461">
        <f>IF(AND(AT22&lt;&gt;0,N22&lt;&gt;"NR"),DHRCHG*Y22,0)</f>
        <v>0</v>
      </c>
      <c r="CH22" s="461">
        <f>IF(AT22&lt;&gt;0,WCCHG*Y22,0)</f>
        <v>0</v>
      </c>
      <c r="CI22" s="461">
        <f>IF(OR(AND(AT22&lt;&gt;0,AJ22&lt;&gt;"PF",AN22&lt;&gt;"NE",AG22&lt;&gt;"A"),AND(AL22="E",OR(AT22=1,AT22=3))),SickCHG*Y22,0)</f>
        <v>0</v>
      </c>
      <c r="CJ22" s="461">
        <f t="shared" si="12"/>
        <v>0</v>
      </c>
      <c r="CK22" s="461" t="str">
        <f t="shared" si="13"/>
        <v/>
      </c>
      <c r="CL22" s="461">
        <f t="shared" si="14"/>
        <v>0</v>
      </c>
      <c r="CM22" s="461">
        <f t="shared" si="15"/>
        <v>0</v>
      </c>
      <c r="CN22" s="461" t="str">
        <f t="shared" si="16"/>
        <v>0001-00</v>
      </c>
    </row>
    <row r="23" spans="1:92" ht="15" thickBot="1" x14ac:dyDescent="0.35">
      <c r="A23" s="376" t="s">
        <v>161</v>
      </c>
      <c r="B23" s="376" t="s">
        <v>162</v>
      </c>
      <c r="C23" s="376" t="s">
        <v>292</v>
      </c>
      <c r="D23" s="376" t="s">
        <v>289</v>
      </c>
      <c r="E23" s="376" t="s">
        <v>165</v>
      </c>
      <c r="F23" s="377" t="s">
        <v>166</v>
      </c>
      <c r="G23" s="376" t="s">
        <v>167</v>
      </c>
      <c r="H23" s="378"/>
      <c r="I23" s="378"/>
      <c r="J23" s="376" t="s">
        <v>168</v>
      </c>
      <c r="K23" s="376" t="s">
        <v>290</v>
      </c>
      <c r="L23" s="376" t="s">
        <v>166</v>
      </c>
      <c r="M23" s="376" t="s">
        <v>178</v>
      </c>
      <c r="N23" s="376" t="s">
        <v>283</v>
      </c>
      <c r="O23" s="379">
        <v>0</v>
      </c>
      <c r="P23" s="459">
        <v>1</v>
      </c>
      <c r="Q23" s="459">
        <v>0</v>
      </c>
      <c r="R23" s="380">
        <v>0</v>
      </c>
      <c r="S23" s="459">
        <v>0</v>
      </c>
      <c r="T23" s="380">
        <v>0</v>
      </c>
      <c r="U23" s="380">
        <v>0</v>
      </c>
      <c r="V23" s="380">
        <v>0</v>
      </c>
      <c r="W23" s="380">
        <v>0</v>
      </c>
      <c r="X23" s="380">
        <v>0</v>
      </c>
      <c r="Y23" s="380">
        <v>0</v>
      </c>
      <c r="Z23" s="380">
        <v>0</v>
      </c>
      <c r="AA23" s="378"/>
      <c r="AB23" s="376" t="s">
        <v>45</v>
      </c>
      <c r="AC23" s="376" t="s">
        <v>45</v>
      </c>
      <c r="AD23" s="378"/>
      <c r="AE23" s="378"/>
      <c r="AF23" s="378"/>
      <c r="AG23" s="378"/>
      <c r="AH23" s="379">
        <v>0</v>
      </c>
      <c r="AI23" s="379">
        <v>0</v>
      </c>
      <c r="AJ23" s="378"/>
      <c r="AK23" s="378"/>
      <c r="AL23" s="376" t="s">
        <v>172</v>
      </c>
      <c r="AM23" s="378"/>
      <c r="AN23" s="378"/>
      <c r="AO23" s="379">
        <v>0</v>
      </c>
      <c r="AP23" s="459">
        <v>0</v>
      </c>
      <c r="AQ23" s="459">
        <v>0</v>
      </c>
      <c r="AR23" s="457"/>
      <c r="AS23" s="461">
        <f t="shared" si="0"/>
        <v>0</v>
      </c>
      <c r="AT23">
        <f t="shared" si="1"/>
        <v>0</v>
      </c>
      <c r="AU23" s="461" t="str">
        <f>IF(AT23=0,"",IF(AND(AT23=1,M23="F",SUMIF(C2:C35,C23,AS2:AS35)&lt;=1),SUMIF(C2:C35,C23,AS2:AS35),IF(AND(AT23=1,M23="F",SUMIF(C2:C35,C23,AS2:AS35)&gt;1),1,"")))</f>
        <v/>
      </c>
      <c r="AV23" s="461" t="str">
        <f>IF(AT23=0,"",IF(AND(AT23=3,M23="F",SUMIF(C2:C35,C23,AS2:AS35)&lt;=1),SUMIF(C2:C35,C23,AS2:AS35),IF(AND(AT23=3,M23="F",SUMIF(C2:C35,C23,AS2:AS35)&gt;1),1,"")))</f>
        <v/>
      </c>
      <c r="AW23" s="461">
        <f>SUMIF(C2:C35,C23,O2:O35)</f>
        <v>0</v>
      </c>
      <c r="AX23" s="461">
        <f>IF(AND(M23="F",AS23&lt;&gt;0),SUMIF(C2:C35,C23,W2:W35),0)</f>
        <v>0</v>
      </c>
      <c r="AY23" s="461" t="str">
        <f t="shared" si="2"/>
        <v/>
      </c>
      <c r="AZ23" s="461" t="str">
        <f t="shared" si="3"/>
        <v/>
      </c>
      <c r="BA23" s="461">
        <f t="shared" si="4"/>
        <v>0</v>
      </c>
      <c r="BB23" s="461">
        <f>IF(AND(AT23=1,AK23="E",AU23&gt;=0.75,AW23=1),Health,IF(AND(AT23=1,AK23="E",AU23&gt;=0.75),Health*P23,IF(AND(AT23=1,AK23="E",AU23&gt;=0.5,AW23=1),PTHealth,IF(AND(AT23=1,AK23="E",AU23&gt;=0.5),PTHealth*P23,0))))</f>
        <v>0</v>
      </c>
      <c r="BC23" s="461">
        <f>IF(AND(AT23=3,AK23="E",AV23&gt;=0.75,AW23=1),Health,IF(AND(AT23=3,AK23="E",AV23&gt;=0.75),Health*P23,IF(AND(AT23=3,AK23="E",AV23&gt;=0.5,AW23=1),PTHealth,IF(AND(AT23=3,AK23="E",AV23&gt;=0.5),PTHealth*P23,0))))</f>
        <v>0</v>
      </c>
      <c r="BD23" s="461">
        <f>IF(AND(AT23&lt;&gt;0,AX23&gt;=MAXSSDI),SSDI*MAXSSDI*P23,IF(AT23&lt;&gt;0,SSDI*W23,0))</f>
        <v>0</v>
      </c>
      <c r="BE23" s="461">
        <f>IF(AT23&lt;&gt;0,SSHI*W23,0)</f>
        <v>0</v>
      </c>
      <c r="BF23" s="461">
        <f>IF(AND(AT23&lt;&gt;0,AN23&lt;&gt;"NE"),VLOOKUP(AN23,Retirement_Rates,3,FALSE)*W23,0)</f>
        <v>0</v>
      </c>
      <c r="BG23" s="461">
        <f>IF(AND(AT23&lt;&gt;0,AJ23&lt;&gt;"PF"),Life*W23,0)</f>
        <v>0</v>
      </c>
      <c r="BH23" s="461">
        <f>IF(AND(AT23&lt;&gt;0,AM23="Y"),UI*W23,0)</f>
        <v>0</v>
      </c>
      <c r="BI23" s="461">
        <f>IF(AND(AT23&lt;&gt;0,N23&lt;&gt;"NR"),DHR*W23,0)</f>
        <v>0</v>
      </c>
      <c r="BJ23" s="461">
        <f>IF(AT23&lt;&gt;0,WC*W23,0)</f>
        <v>0</v>
      </c>
      <c r="BK23" s="461">
        <f>IF(OR(AND(AT23&lt;&gt;0,AJ23&lt;&gt;"PF",AN23&lt;&gt;"NE",AG23&lt;&gt;"A"),AND(AL23="E",OR(AT23=1,AT23=3))),Sick*W23,0)</f>
        <v>0</v>
      </c>
      <c r="BL23" s="461">
        <f t="shared" si="5"/>
        <v>0</v>
      </c>
      <c r="BM23" s="461">
        <f t="shared" si="6"/>
        <v>0</v>
      </c>
      <c r="BN23" s="461">
        <f>IF(AND(AT23=1,AK23="E",AU23&gt;=0.75,AW23=1),HealthBY,IF(AND(AT23=1,AK23="E",AU23&gt;=0.75),HealthBY*P23,IF(AND(AT23=1,AK23="E",AU23&gt;=0.5,AW23=1),PTHealthBY,IF(AND(AT23=1,AK23="E",AU23&gt;=0.5),PTHealthBY*P23,0))))</f>
        <v>0</v>
      </c>
      <c r="BO23" s="461">
        <f>IF(AND(AT23=3,AK23="E",AV23&gt;=0.75,AW23=1),HealthBY,IF(AND(AT23=3,AK23="E",AV23&gt;=0.75),HealthBY*P23,IF(AND(AT23=3,AK23="E",AV23&gt;=0.5,AW23=1),PTHealthBY,IF(AND(AT23=3,AK23="E",AV23&gt;=0.5),PTHealthBY*P23,0))))</f>
        <v>0</v>
      </c>
      <c r="BP23" s="461">
        <f>IF(AND(AT23&lt;&gt;0,(AX23+BA23)&gt;=MAXSSDIBY),SSDIBY*MAXSSDIBY*P23,IF(AT23&lt;&gt;0,SSDIBY*W23,0))</f>
        <v>0</v>
      </c>
      <c r="BQ23" s="461">
        <f>IF(AT23&lt;&gt;0,SSHIBY*W23,0)</f>
        <v>0</v>
      </c>
      <c r="BR23" s="461">
        <f>IF(AND(AT23&lt;&gt;0,AN23&lt;&gt;"NE"),VLOOKUP(AN23,Retirement_Rates,4,FALSE)*W23,0)</f>
        <v>0</v>
      </c>
      <c r="BS23" s="461">
        <f>IF(AND(AT23&lt;&gt;0,AJ23&lt;&gt;"PF"),LifeBY*W23,0)</f>
        <v>0</v>
      </c>
      <c r="BT23" s="461">
        <f>IF(AND(AT23&lt;&gt;0,AM23="Y"),UIBY*W23,0)</f>
        <v>0</v>
      </c>
      <c r="BU23" s="461">
        <f>IF(AND(AT23&lt;&gt;0,N23&lt;&gt;"NR"),DHRBY*W23,0)</f>
        <v>0</v>
      </c>
      <c r="BV23" s="461">
        <f>IF(AT23&lt;&gt;0,WCBY*W23,0)</f>
        <v>0</v>
      </c>
      <c r="BW23" s="461">
        <f>IF(OR(AND(AT23&lt;&gt;0,AJ23&lt;&gt;"PF",AN23&lt;&gt;"NE",AG23&lt;&gt;"A"),AND(AL23="E",OR(AT23=1,AT23=3))),SickBY*W23,0)</f>
        <v>0</v>
      </c>
      <c r="BX23" s="461">
        <f t="shared" si="7"/>
        <v>0</v>
      </c>
      <c r="BY23" s="461">
        <f t="shared" si="8"/>
        <v>0</v>
      </c>
      <c r="BZ23" s="461">
        <f t="shared" si="9"/>
        <v>0</v>
      </c>
      <c r="CA23" s="461">
        <f t="shared" si="10"/>
        <v>0</v>
      </c>
      <c r="CB23" s="461">
        <f t="shared" si="11"/>
        <v>0</v>
      </c>
      <c r="CC23" s="461">
        <f>IF(AT23&lt;&gt;0,SSHICHG*Y23,0)</f>
        <v>0</v>
      </c>
      <c r="CD23" s="461">
        <f>IF(AND(AT23&lt;&gt;0,AN23&lt;&gt;"NE"),VLOOKUP(AN23,Retirement_Rates,5,FALSE)*Y23,0)</f>
        <v>0</v>
      </c>
      <c r="CE23" s="461">
        <f>IF(AND(AT23&lt;&gt;0,AJ23&lt;&gt;"PF"),LifeCHG*Y23,0)</f>
        <v>0</v>
      </c>
      <c r="CF23" s="461">
        <f>IF(AND(AT23&lt;&gt;0,AM23="Y"),UICHG*Y23,0)</f>
        <v>0</v>
      </c>
      <c r="CG23" s="461">
        <f>IF(AND(AT23&lt;&gt;0,N23&lt;&gt;"NR"),DHRCHG*Y23,0)</f>
        <v>0</v>
      </c>
      <c r="CH23" s="461">
        <f>IF(AT23&lt;&gt;0,WCCHG*Y23,0)</f>
        <v>0</v>
      </c>
      <c r="CI23" s="461">
        <f>IF(OR(AND(AT23&lt;&gt;0,AJ23&lt;&gt;"PF",AN23&lt;&gt;"NE",AG23&lt;&gt;"A"),AND(AL23="E",OR(AT23=1,AT23=3))),SickCHG*Y23,0)</f>
        <v>0</v>
      </c>
      <c r="CJ23" s="461">
        <f t="shared" si="12"/>
        <v>0</v>
      </c>
      <c r="CK23" s="461" t="str">
        <f t="shared" si="13"/>
        <v/>
      </c>
      <c r="CL23" s="461">
        <f t="shared" si="14"/>
        <v>0</v>
      </c>
      <c r="CM23" s="461">
        <f t="shared" si="15"/>
        <v>0</v>
      </c>
      <c r="CN23" s="461" t="str">
        <f t="shared" si="16"/>
        <v>0001-00</v>
      </c>
    </row>
    <row r="24" spans="1:92" ht="15" thickBot="1" x14ac:dyDescent="0.35">
      <c r="A24" s="376" t="s">
        <v>161</v>
      </c>
      <c r="B24" s="376" t="s">
        <v>162</v>
      </c>
      <c r="C24" s="376" t="s">
        <v>293</v>
      </c>
      <c r="D24" s="376" t="s">
        <v>220</v>
      </c>
      <c r="E24" s="376" t="s">
        <v>165</v>
      </c>
      <c r="F24" s="377" t="s">
        <v>166</v>
      </c>
      <c r="G24" s="376" t="s">
        <v>167</v>
      </c>
      <c r="H24" s="378"/>
      <c r="I24" s="378"/>
      <c r="J24" s="376" t="s">
        <v>168</v>
      </c>
      <c r="K24" s="376" t="s">
        <v>221</v>
      </c>
      <c r="L24" s="376" t="s">
        <v>222</v>
      </c>
      <c r="M24" s="376" t="s">
        <v>178</v>
      </c>
      <c r="N24" s="376" t="s">
        <v>283</v>
      </c>
      <c r="O24" s="379">
        <v>0</v>
      </c>
      <c r="P24" s="459">
        <v>1</v>
      </c>
      <c r="Q24" s="459">
        <v>0</v>
      </c>
      <c r="R24" s="380">
        <v>0</v>
      </c>
      <c r="S24" s="459">
        <v>0</v>
      </c>
      <c r="T24" s="380">
        <v>0</v>
      </c>
      <c r="U24" s="380">
        <v>0</v>
      </c>
      <c r="V24" s="380">
        <v>0</v>
      </c>
      <c r="W24" s="380">
        <v>0</v>
      </c>
      <c r="X24" s="380">
        <v>0</v>
      </c>
      <c r="Y24" s="380">
        <v>0</v>
      </c>
      <c r="Z24" s="380">
        <v>0</v>
      </c>
      <c r="AA24" s="378"/>
      <c r="AB24" s="376" t="s">
        <v>45</v>
      </c>
      <c r="AC24" s="376" t="s">
        <v>45</v>
      </c>
      <c r="AD24" s="378"/>
      <c r="AE24" s="378"/>
      <c r="AF24" s="378"/>
      <c r="AG24" s="378"/>
      <c r="AH24" s="379">
        <v>0</v>
      </c>
      <c r="AI24" s="379">
        <v>0</v>
      </c>
      <c r="AJ24" s="378"/>
      <c r="AK24" s="378"/>
      <c r="AL24" s="376" t="s">
        <v>172</v>
      </c>
      <c r="AM24" s="378"/>
      <c r="AN24" s="378"/>
      <c r="AO24" s="379">
        <v>0</v>
      </c>
      <c r="AP24" s="459">
        <v>0</v>
      </c>
      <c r="AQ24" s="459">
        <v>0</v>
      </c>
      <c r="AR24" s="457"/>
      <c r="AS24" s="461">
        <f t="shared" si="0"/>
        <v>0</v>
      </c>
      <c r="AT24">
        <f t="shared" si="1"/>
        <v>0</v>
      </c>
      <c r="AU24" s="461" t="str">
        <f>IF(AT24=0,"",IF(AND(AT24=1,M24="F",SUMIF(C2:C35,C24,AS2:AS35)&lt;=1),SUMIF(C2:C35,C24,AS2:AS35),IF(AND(AT24=1,M24="F",SUMIF(C2:C35,C24,AS2:AS35)&gt;1),1,"")))</f>
        <v/>
      </c>
      <c r="AV24" s="461" t="str">
        <f>IF(AT24=0,"",IF(AND(AT24=3,M24="F",SUMIF(C2:C35,C24,AS2:AS35)&lt;=1),SUMIF(C2:C35,C24,AS2:AS35),IF(AND(AT24=3,M24="F",SUMIF(C2:C35,C24,AS2:AS35)&gt;1),1,"")))</f>
        <v/>
      </c>
      <c r="AW24" s="461">
        <f>SUMIF(C2:C35,C24,O2:O35)</f>
        <v>0</v>
      </c>
      <c r="AX24" s="461">
        <f>IF(AND(M24="F",AS24&lt;&gt;0),SUMIF(C2:C35,C24,W2:W35),0)</f>
        <v>0</v>
      </c>
      <c r="AY24" s="461" t="str">
        <f t="shared" si="2"/>
        <v/>
      </c>
      <c r="AZ24" s="461" t="str">
        <f t="shared" si="3"/>
        <v/>
      </c>
      <c r="BA24" s="461">
        <f t="shared" si="4"/>
        <v>0</v>
      </c>
      <c r="BB24" s="461">
        <f>IF(AND(AT24=1,AK24="E",AU24&gt;=0.75,AW24=1),Health,IF(AND(AT24=1,AK24="E",AU24&gt;=0.75),Health*P24,IF(AND(AT24=1,AK24="E",AU24&gt;=0.5,AW24=1),PTHealth,IF(AND(AT24=1,AK24="E",AU24&gt;=0.5),PTHealth*P24,0))))</f>
        <v>0</v>
      </c>
      <c r="BC24" s="461">
        <f>IF(AND(AT24=3,AK24="E",AV24&gt;=0.75,AW24=1),Health,IF(AND(AT24=3,AK24="E",AV24&gt;=0.75),Health*P24,IF(AND(AT24=3,AK24="E",AV24&gt;=0.5,AW24=1),PTHealth,IF(AND(AT24=3,AK24="E",AV24&gt;=0.5),PTHealth*P24,0))))</f>
        <v>0</v>
      </c>
      <c r="BD24" s="461">
        <f>IF(AND(AT24&lt;&gt;0,AX24&gt;=MAXSSDI),SSDI*MAXSSDI*P24,IF(AT24&lt;&gt;0,SSDI*W24,0))</f>
        <v>0</v>
      </c>
      <c r="BE24" s="461">
        <f>IF(AT24&lt;&gt;0,SSHI*W24,0)</f>
        <v>0</v>
      </c>
      <c r="BF24" s="461">
        <f>IF(AND(AT24&lt;&gt;0,AN24&lt;&gt;"NE"),VLOOKUP(AN24,Retirement_Rates,3,FALSE)*W24,0)</f>
        <v>0</v>
      </c>
      <c r="BG24" s="461">
        <f>IF(AND(AT24&lt;&gt;0,AJ24&lt;&gt;"PF"),Life*W24,0)</f>
        <v>0</v>
      </c>
      <c r="BH24" s="461">
        <f>IF(AND(AT24&lt;&gt;0,AM24="Y"),UI*W24,0)</f>
        <v>0</v>
      </c>
      <c r="BI24" s="461">
        <f>IF(AND(AT24&lt;&gt;0,N24&lt;&gt;"NR"),DHR*W24,0)</f>
        <v>0</v>
      </c>
      <c r="BJ24" s="461">
        <f>IF(AT24&lt;&gt;0,WC*W24,0)</f>
        <v>0</v>
      </c>
      <c r="BK24" s="461">
        <f>IF(OR(AND(AT24&lt;&gt;0,AJ24&lt;&gt;"PF",AN24&lt;&gt;"NE",AG24&lt;&gt;"A"),AND(AL24="E",OR(AT24=1,AT24=3))),Sick*W24,0)</f>
        <v>0</v>
      </c>
      <c r="BL24" s="461">
        <f t="shared" si="5"/>
        <v>0</v>
      </c>
      <c r="BM24" s="461">
        <f t="shared" si="6"/>
        <v>0</v>
      </c>
      <c r="BN24" s="461">
        <f>IF(AND(AT24=1,AK24="E",AU24&gt;=0.75,AW24=1),HealthBY,IF(AND(AT24=1,AK24="E",AU24&gt;=0.75),HealthBY*P24,IF(AND(AT24=1,AK24="E",AU24&gt;=0.5,AW24=1),PTHealthBY,IF(AND(AT24=1,AK24="E",AU24&gt;=0.5),PTHealthBY*P24,0))))</f>
        <v>0</v>
      </c>
      <c r="BO24" s="461">
        <f>IF(AND(AT24=3,AK24="E",AV24&gt;=0.75,AW24=1),HealthBY,IF(AND(AT24=3,AK24="E",AV24&gt;=0.75),HealthBY*P24,IF(AND(AT24=3,AK24="E",AV24&gt;=0.5,AW24=1),PTHealthBY,IF(AND(AT24=3,AK24="E",AV24&gt;=0.5),PTHealthBY*P24,0))))</f>
        <v>0</v>
      </c>
      <c r="BP24" s="461">
        <f>IF(AND(AT24&lt;&gt;0,(AX24+BA24)&gt;=MAXSSDIBY),SSDIBY*MAXSSDIBY*P24,IF(AT24&lt;&gt;0,SSDIBY*W24,0))</f>
        <v>0</v>
      </c>
      <c r="BQ24" s="461">
        <f>IF(AT24&lt;&gt;0,SSHIBY*W24,0)</f>
        <v>0</v>
      </c>
      <c r="BR24" s="461">
        <f>IF(AND(AT24&lt;&gt;0,AN24&lt;&gt;"NE"),VLOOKUP(AN24,Retirement_Rates,4,FALSE)*W24,0)</f>
        <v>0</v>
      </c>
      <c r="BS24" s="461">
        <f>IF(AND(AT24&lt;&gt;0,AJ24&lt;&gt;"PF"),LifeBY*W24,0)</f>
        <v>0</v>
      </c>
      <c r="BT24" s="461">
        <f>IF(AND(AT24&lt;&gt;0,AM24="Y"),UIBY*W24,0)</f>
        <v>0</v>
      </c>
      <c r="BU24" s="461">
        <f>IF(AND(AT24&lt;&gt;0,N24&lt;&gt;"NR"),DHRBY*W24,0)</f>
        <v>0</v>
      </c>
      <c r="BV24" s="461">
        <f>IF(AT24&lt;&gt;0,WCBY*W24,0)</f>
        <v>0</v>
      </c>
      <c r="BW24" s="461">
        <f>IF(OR(AND(AT24&lt;&gt;0,AJ24&lt;&gt;"PF",AN24&lt;&gt;"NE",AG24&lt;&gt;"A"),AND(AL24="E",OR(AT24=1,AT24=3))),SickBY*W24,0)</f>
        <v>0</v>
      </c>
      <c r="BX24" s="461">
        <f t="shared" si="7"/>
        <v>0</v>
      </c>
      <c r="BY24" s="461">
        <f t="shared" si="8"/>
        <v>0</v>
      </c>
      <c r="BZ24" s="461">
        <f t="shared" si="9"/>
        <v>0</v>
      </c>
      <c r="CA24" s="461">
        <f t="shared" si="10"/>
        <v>0</v>
      </c>
      <c r="CB24" s="461">
        <f t="shared" si="11"/>
        <v>0</v>
      </c>
      <c r="CC24" s="461">
        <f>IF(AT24&lt;&gt;0,SSHICHG*Y24,0)</f>
        <v>0</v>
      </c>
      <c r="CD24" s="461">
        <f>IF(AND(AT24&lt;&gt;0,AN24&lt;&gt;"NE"),VLOOKUP(AN24,Retirement_Rates,5,FALSE)*Y24,0)</f>
        <v>0</v>
      </c>
      <c r="CE24" s="461">
        <f>IF(AND(AT24&lt;&gt;0,AJ24&lt;&gt;"PF"),LifeCHG*Y24,0)</f>
        <v>0</v>
      </c>
      <c r="CF24" s="461">
        <f>IF(AND(AT24&lt;&gt;0,AM24="Y"),UICHG*Y24,0)</f>
        <v>0</v>
      </c>
      <c r="CG24" s="461">
        <f>IF(AND(AT24&lt;&gt;0,N24&lt;&gt;"NR"),DHRCHG*Y24,0)</f>
        <v>0</v>
      </c>
      <c r="CH24" s="461">
        <f>IF(AT24&lt;&gt;0,WCCHG*Y24,0)</f>
        <v>0</v>
      </c>
      <c r="CI24" s="461">
        <f>IF(OR(AND(AT24&lt;&gt;0,AJ24&lt;&gt;"PF",AN24&lt;&gt;"NE",AG24&lt;&gt;"A"),AND(AL24="E",OR(AT24=1,AT24=3))),SickCHG*Y24,0)</f>
        <v>0</v>
      </c>
      <c r="CJ24" s="461">
        <f t="shared" si="12"/>
        <v>0</v>
      </c>
      <c r="CK24" s="461" t="str">
        <f t="shared" si="13"/>
        <v/>
      </c>
      <c r="CL24" s="461">
        <f t="shared" si="14"/>
        <v>0</v>
      </c>
      <c r="CM24" s="461">
        <f t="shared" si="15"/>
        <v>0</v>
      </c>
      <c r="CN24" s="461" t="str">
        <f t="shared" si="16"/>
        <v>0001-00</v>
      </c>
    </row>
    <row r="25" spans="1:92" ht="15" thickBot="1" x14ac:dyDescent="0.35">
      <c r="A25" s="376" t="s">
        <v>161</v>
      </c>
      <c r="B25" s="376" t="s">
        <v>162</v>
      </c>
      <c r="C25" s="376" t="s">
        <v>294</v>
      </c>
      <c r="D25" s="376" t="s">
        <v>220</v>
      </c>
      <c r="E25" s="376" t="s">
        <v>165</v>
      </c>
      <c r="F25" s="377" t="s">
        <v>166</v>
      </c>
      <c r="G25" s="376" t="s">
        <v>167</v>
      </c>
      <c r="H25" s="378"/>
      <c r="I25" s="378"/>
      <c r="J25" s="376" t="s">
        <v>168</v>
      </c>
      <c r="K25" s="376" t="s">
        <v>221</v>
      </c>
      <c r="L25" s="376" t="s">
        <v>222</v>
      </c>
      <c r="M25" s="376" t="s">
        <v>178</v>
      </c>
      <c r="N25" s="376" t="s">
        <v>283</v>
      </c>
      <c r="O25" s="379">
        <v>0</v>
      </c>
      <c r="P25" s="459">
        <v>1</v>
      </c>
      <c r="Q25" s="459">
        <v>0</v>
      </c>
      <c r="R25" s="380">
        <v>0</v>
      </c>
      <c r="S25" s="459">
        <v>0</v>
      </c>
      <c r="T25" s="380">
        <v>0</v>
      </c>
      <c r="U25" s="380">
        <v>0</v>
      </c>
      <c r="V25" s="380">
        <v>0</v>
      </c>
      <c r="W25" s="380">
        <v>0</v>
      </c>
      <c r="X25" s="380">
        <v>0</v>
      </c>
      <c r="Y25" s="380">
        <v>0</v>
      </c>
      <c r="Z25" s="380">
        <v>0</v>
      </c>
      <c r="AA25" s="378"/>
      <c r="AB25" s="376" t="s">
        <v>45</v>
      </c>
      <c r="AC25" s="376" t="s">
        <v>45</v>
      </c>
      <c r="AD25" s="378"/>
      <c r="AE25" s="378"/>
      <c r="AF25" s="378"/>
      <c r="AG25" s="378"/>
      <c r="AH25" s="379">
        <v>0</v>
      </c>
      <c r="AI25" s="379">
        <v>0</v>
      </c>
      <c r="AJ25" s="378"/>
      <c r="AK25" s="378"/>
      <c r="AL25" s="376" t="s">
        <v>172</v>
      </c>
      <c r="AM25" s="378"/>
      <c r="AN25" s="378"/>
      <c r="AO25" s="379">
        <v>0</v>
      </c>
      <c r="AP25" s="459">
        <v>0</v>
      </c>
      <c r="AQ25" s="459">
        <v>0</v>
      </c>
      <c r="AR25" s="457"/>
      <c r="AS25" s="461">
        <f t="shared" si="0"/>
        <v>0</v>
      </c>
      <c r="AT25">
        <f t="shared" si="1"/>
        <v>0</v>
      </c>
      <c r="AU25" s="461" t="str">
        <f>IF(AT25=0,"",IF(AND(AT25=1,M25="F",SUMIF(C2:C35,C25,AS2:AS35)&lt;=1),SUMIF(C2:C35,C25,AS2:AS35),IF(AND(AT25=1,M25="F",SUMIF(C2:C35,C25,AS2:AS35)&gt;1),1,"")))</f>
        <v/>
      </c>
      <c r="AV25" s="461" t="str">
        <f>IF(AT25=0,"",IF(AND(AT25=3,M25="F",SUMIF(C2:C35,C25,AS2:AS35)&lt;=1),SUMIF(C2:C35,C25,AS2:AS35),IF(AND(AT25=3,M25="F",SUMIF(C2:C35,C25,AS2:AS35)&gt;1),1,"")))</f>
        <v/>
      </c>
      <c r="AW25" s="461">
        <f>SUMIF(C2:C35,C25,O2:O35)</f>
        <v>0</v>
      </c>
      <c r="AX25" s="461">
        <f>IF(AND(M25="F",AS25&lt;&gt;0),SUMIF(C2:C35,C25,W2:W35),0)</f>
        <v>0</v>
      </c>
      <c r="AY25" s="461" t="str">
        <f t="shared" si="2"/>
        <v/>
      </c>
      <c r="AZ25" s="461" t="str">
        <f t="shared" si="3"/>
        <v/>
      </c>
      <c r="BA25" s="461">
        <f t="shared" si="4"/>
        <v>0</v>
      </c>
      <c r="BB25" s="461">
        <f>IF(AND(AT25=1,AK25="E",AU25&gt;=0.75,AW25=1),Health,IF(AND(AT25=1,AK25="E",AU25&gt;=0.75),Health*P25,IF(AND(AT25=1,AK25="E",AU25&gt;=0.5,AW25=1),PTHealth,IF(AND(AT25=1,AK25="E",AU25&gt;=0.5),PTHealth*P25,0))))</f>
        <v>0</v>
      </c>
      <c r="BC25" s="461">
        <f>IF(AND(AT25=3,AK25="E",AV25&gt;=0.75,AW25=1),Health,IF(AND(AT25=3,AK25="E",AV25&gt;=0.75),Health*P25,IF(AND(AT25=3,AK25="E",AV25&gt;=0.5,AW25=1),PTHealth,IF(AND(AT25=3,AK25="E",AV25&gt;=0.5),PTHealth*P25,0))))</f>
        <v>0</v>
      </c>
      <c r="BD25" s="461">
        <f>IF(AND(AT25&lt;&gt;0,AX25&gt;=MAXSSDI),SSDI*MAXSSDI*P25,IF(AT25&lt;&gt;0,SSDI*W25,0))</f>
        <v>0</v>
      </c>
      <c r="BE25" s="461">
        <f>IF(AT25&lt;&gt;0,SSHI*W25,0)</f>
        <v>0</v>
      </c>
      <c r="BF25" s="461">
        <f>IF(AND(AT25&lt;&gt;0,AN25&lt;&gt;"NE"),VLOOKUP(AN25,Retirement_Rates,3,FALSE)*W25,0)</f>
        <v>0</v>
      </c>
      <c r="BG25" s="461">
        <f>IF(AND(AT25&lt;&gt;0,AJ25&lt;&gt;"PF"),Life*W25,0)</f>
        <v>0</v>
      </c>
      <c r="BH25" s="461">
        <f>IF(AND(AT25&lt;&gt;0,AM25="Y"),UI*W25,0)</f>
        <v>0</v>
      </c>
      <c r="BI25" s="461">
        <f>IF(AND(AT25&lt;&gt;0,N25&lt;&gt;"NR"),DHR*W25,0)</f>
        <v>0</v>
      </c>
      <c r="BJ25" s="461">
        <f>IF(AT25&lt;&gt;0,WC*W25,0)</f>
        <v>0</v>
      </c>
      <c r="BK25" s="461">
        <f>IF(OR(AND(AT25&lt;&gt;0,AJ25&lt;&gt;"PF",AN25&lt;&gt;"NE",AG25&lt;&gt;"A"),AND(AL25="E",OR(AT25=1,AT25=3))),Sick*W25,0)</f>
        <v>0</v>
      </c>
      <c r="BL25" s="461">
        <f t="shared" si="5"/>
        <v>0</v>
      </c>
      <c r="BM25" s="461">
        <f t="shared" si="6"/>
        <v>0</v>
      </c>
      <c r="BN25" s="461">
        <f>IF(AND(AT25=1,AK25="E",AU25&gt;=0.75,AW25=1),HealthBY,IF(AND(AT25=1,AK25="E",AU25&gt;=0.75),HealthBY*P25,IF(AND(AT25=1,AK25="E",AU25&gt;=0.5,AW25=1),PTHealthBY,IF(AND(AT25=1,AK25="E",AU25&gt;=0.5),PTHealthBY*P25,0))))</f>
        <v>0</v>
      </c>
      <c r="BO25" s="461">
        <f>IF(AND(AT25=3,AK25="E",AV25&gt;=0.75,AW25=1),HealthBY,IF(AND(AT25=3,AK25="E",AV25&gt;=0.75),HealthBY*P25,IF(AND(AT25=3,AK25="E",AV25&gt;=0.5,AW25=1),PTHealthBY,IF(AND(AT25=3,AK25="E",AV25&gt;=0.5),PTHealthBY*P25,0))))</f>
        <v>0</v>
      </c>
      <c r="BP25" s="461">
        <f>IF(AND(AT25&lt;&gt;0,(AX25+BA25)&gt;=MAXSSDIBY),SSDIBY*MAXSSDIBY*P25,IF(AT25&lt;&gt;0,SSDIBY*W25,0))</f>
        <v>0</v>
      </c>
      <c r="BQ25" s="461">
        <f>IF(AT25&lt;&gt;0,SSHIBY*W25,0)</f>
        <v>0</v>
      </c>
      <c r="BR25" s="461">
        <f>IF(AND(AT25&lt;&gt;0,AN25&lt;&gt;"NE"),VLOOKUP(AN25,Retirement_Rates,4,FALSE)*W25,0)</f>
        <v>0</v>
      </c>
      <c r="BS25" s="461">
        <f>IF(AND(AT25&lt;&gt;0,AJ25&lt;&gt;"PF"),LifeBY*W25,0)</f>
        <v>0</v>
      </c>
      <c r="BT25" s="461">
        <f>IF(AND(AT25&lt;&gt;0,AM25="Y"),UIBY*W25,0)</f>
        <v>0</v>
      </c>
      <c r="BU25" s="461">
        <f>IF(AND(AT25&lt;&gt;0,N25&lt;&gt;"NR"),DHRBY*W25,0)</f>
        <v>0</v>
      </c>
      <c r="BV25" s="461">
        <f>IF(AT25&lt;&gt;0,WCBY*W25,0)</f>
        <v>0</v>
      </c>
      <c r="BW25" s="461">
        <f>IF(OR(AND(AT25&lt;&gt;0,AJ25&lt;&gt;"PF",AN25&lt;&gt;"NE",AG25&lt;&gt;"A"),AND(AL25="E",OR(AT25=1,AT25=3))),SickBY*W25,0)</f>
        <v>0</v>
      </c>
      <c r="BX25" s="461">
        <f t="shared" si="7"/>
        <v>0</v>
      </c>
      <c r="BY25" s="461">
        <f t="shared" si="8"/>
        <v>0</v>
      </c>
      <c r="BZ25" s="461">
        <f t="shared" si="9"/>
        <v>0</v>
      </c>
      <c r="CA25" s="461">
        <f t="shared" si="10"/>
        <v>0</v>
      </c>
      <c r="CB25" s="461">
        <f t="shared" si="11"/>
        <v>0</v>
      </c>
      <c r="CC25" s="461">
        <f>IF(AT25&lt;&gt;0,SSHICHG*Y25,0)</f>
        <v>0</v>
      </c>
      <c r="CD25" s="461">
        <f>IF(AND(AT25&lt;&gt;0,AN25&lt;&gt;"NE"),VLOOKUP(AN25,Retirement_Rates,5,FALSE)*Y25,0)</f>
        <v>0</v>
      </c>
      <c r="CE25" s="461">
        <f>IF(AND(AT25&lt;&gt;0,AJ25&lt;&gt;"PF"),LifeCHG*Y25,0)</f>
        <v>0</v>
      </c>
      <c r="CF25" s="461">
        <f>IF(AND(AT25&lt;&gt;0,AM25="Y"),UICHG*Y25,0)</f>
        <v>0</v>
      </c>
      <c r="CG25" s="461">
        <f>IF(AND(AT25&lt;&gt;0,N25&lt;&gt;"NR"),DHRCHG*Y25,0)</f>
        <v>0</v>
      </c>
      <c r="CH25" s="461">
        <f>IF(AT25&lt;&gt;0,WCCHG*Y25,0)</f>
        <v>0</v>
      </c>
      <c r="CI25" s="461">
        <f>IF(OR(AND(AT25&lt;&gt;0,AJ25&lt;&gt;"PF",AN25&lt;&gt;"NE",AG25&lt;&gt;"A"),AND(AL25="E",OR(AT25=1,AT25=3))),SickCHG*Y25,0)</f>
        <v>0</v>
      </c>
      <c r="CJ25" s="461">
        <f t="shared" si="12"/>
        <v>0</v>
      </c>
      <c r="CK25" s="461" t="str">
        <f t="shared" si="13"/>
        <v/>
      </c>
      <c r="CL25" s="461">
        <f t="shared" si="14"/>
        <v>0</v>
      </c>
      <c r="CM25" s="461">
        <f t="shared" si="15"/>
        <v>0</v>
      </c>
      <c r="CN25" s="461" t="str">
        <f t="shared" si="16"/>
        <v>0001-00</v>
      </c>
    </row>
    <row r="26" spans="1:92" ht="15" thickBot="1" x14ac:dyDescent="0.35">
      <c r="A26" s="376" t="s">
        <v>161</v>
      </c>
      <c r="B26" s="376" t="s">
        <v>162</v>
      </c>
      <c r="C26" s="376" t="s">
        <v>295</v>
      </c>
      <c r="D26" s="376" t="s">
        <v>289</v>
      </c>
      <c r="E26" s="376" t="s">
        <v>165</v>
      </c>
      <c r="F26" s="377" t="s">
        <v>166</v>
      </c>
      <c r="G26" s="376" t="s">
        <v>167</v>
      </c>
      <c r="H26" s="378"/>
      <c r="I26" s="378"/>
      <c r="J26" s="376" t="s">
        <v>168</v>
      </c>
      <c r="K26" s="376" t="s">
        <v>290</v>
      </c>
      <c r="L26" s="376" t="s">
        <v>166</v>
      </c>
      <c r="M26" s="376" t="s">
        <v>178</v>
      </c>
      <c r="N26" s="376" t="s">
        <v>283</v>
      </c>
      <c r="O26" s="379">
        <v>0</v>
      </c>
      <c r="P26" s="459">
        <v>1</v>
      </c>
      <c r="Q26" s="459">
        <v>0</v>
      </c>
      <c r="R26" s="380">
        <v>0</v>
      </c>
      <c r="S26" s="459">
        <v>0</v>
      </c>
      <c r="T26" s="380">
        <v>0</v>
      </c>
      <c r="U26" s="380">
        <v>0</v>
      </c>
      <c r="V26" s="380">
        <v>0</v>
      </c>
      <c r="W26" s="380">
        <v>0</v>
      </c>
      <c r="X26" s="380">
        <v>0</v>
      </c>
      <c r="Y26" s="380">
        <v>0</v>
      </c>
      <c r="Z26" s="380">
        <v>0</v>
      </c>
      <c r="AA26" s="378"/>
      <c r="AB26" s="376" t="s">
        <v>45</v>
      </c>
      <c r="AC26" s="376" t="s">
        <v>45</v>
      </c>
      <c r="AD26" s="378"/>
      <c r="AE26" s="378"/>
      <c r="AF26" s="378"/>
      <c r="AG26" s="378"/>
      <c r="AH26" s="379">
        <v>0</v>
      </c>
      <c r="AI26" s="379">
        <v>0</v>
      </c>
      <c r="AJ26" s="378"/>
      <c r="AK26" s="378"/>
      <c r="AL26" s="376" t="s">
        <v>172</v>
      </c>
      <c r="AM26" s="378"/>
      <c r="AN26" s="378"/>
      <c r="AO26" s="379">
        <v>0</v>
      </c>
      <c r="AP26" s="459">
        <v>0</v>
      </c>
      <c r="AQ26" s="459">
        <v>0</v>
      </c>
      <c r="AR26" s="457"/>
      <c r="AS26" s="461">
        <f t="shared" si="0"/>
        <v>0</v>
      </c>
      <c r="AT26">
        <f t="shared" si="1"/>
        <v>0</v>
      </c>
      <c r="AU26" s="461" t="str">
        <f>IF(AT26=0,"",IF(AND(AT26=1,M26="F",SUMIF(C2:C35,C26,AS2:AS35)&lt;=1),SUMIF(C2:C35,C26,AS2:AS35),IF(AND(AT26=1,M26="F",SUMIF(C2:C35,C26,AS2:AS35)&gt;1),1,"")))</f>
        <v/>
      </c>
      <c r="AV26" s="461" t="str">
        <f>IF(AT26=0,"",IF(AND(AT26=3,M26="F",SUMIF(C2:C35,C26,AS2:AS35)&lt;=1),SUMIF(C2:C35,C26,AS2:AS35),IF(AND(AT26=3,M26="F",SUMIF(C2:C35,C26,AS2:AS35)&gt;1),1,"")))</f>
        <v/>
      </c>
      <c r="AW26" s="461">
        <f>SUMIF(C2:C35,C26,O2:O35)</f>
        <v>0</v>
      </c>
      <c r="AX26" s="461">
        <f>IF(AND(M26="F",AS26&lt;&gt;0),SUMIF(C2:C35,C26,W2:W35),0)</f>
        <v>0</v>
      </c>
      <c r="AY26" s="461" t="str">
        <f t="shared" si="2"/>
        <v/>
      </c>
      <c r="AZ26" s="461" t="str">
        <f t="shared" si="3"/>
        <v/>
      </c>
      <c r="BA26" s="461">
        <f t="shared" si="4"/>
        <v>0</v>
      </c>
      <c r="BB26" s="461">
        <f>IF(AND(AT26=1,AK26="E",AU26&gt;=0.75,AW26=1),Health,IF(AND(AT26=1,AK26="E",AU26&gt;=0.75),Health*P26,IF(AND(AT26=1,AK26="E",AU26&gt;=0.5,AW26=1),PTHealth,IF(AND(AT26=1,AK26="E",AU26&gt;=0.5),PTHealth*P26,0))))</f>
        <v>0</v>
      </c>
      <c r="BC26" s="461">
        <f>IF(AND(AT26=3,AK26="E",AV26&gt;=0.75,AW26=1),Health,IF(AND(AT26=3,AK26="E",AV26&gt;=0.75),Health*P26,IF(AND(AT26=3,AK26="E",AV26&gt;=0.5,AW26=1),PTHealth,IF(AND(AT26=3,AK26="E",AV26&gt;=0.5),PTHealth*P26,0))))</f>
        <v>0</v>
      </c>
      <c r="BD26" s="461">
        <f>IF(AND(AT26&lt;&gt;0,AX26&gt;=MAXSSDI),SSDI*MAXSSDI*P26,IF(AT26&lt;&gt;0,SSDI*W26,0))</f>
        <v>0</v>
      </c>
      <c r="BE26" s="461">
        <f>IF(AT26&lt;&gt;0,SSHI*W26,0)</f>
        <v>0</v>
      </c>
      <c r="BF26" s="461">
        <f>IF(AND(AT26&lt;&gt;0,AN26&lt;&gt;"NE"),VLOOKUP(AN26,Retirement_Rates,3,FALSE)*W26,0)</f>
        <v>0</v>
      </c>
      <c r="BG26" s="461">
        <f>IF(AND(AT26&lt;&gt;0,AJ26&lt;&gt;"PF"),Life*W26,0)</f>
        <v>0</v>
      </c>
      <c r="BH26" s="461">
        <f>IF(AND(AT26&lt;&gt;0,AM26="Y"),UI*W26,0)</f>
        <v>0</v>
      </c>
      <c r="BI26" s="461">
        <f>IF(AND(AT26&lt;&gt;0,N26&lt;&gt;"NR"),DHR*W26,0)</f>
        <v>0</v>
      </c>
      <c r="BJ26" s="461">
        <f>IF(AT26&lt;&gt;0,WC*W26,0)</f>
        <v>0</v>
      </c>
      <c r="BK26" s="461">
        <f>IF(OR(AND(AT26&lt;&gt;0,AJ26&lt;&gt;"PF",AN26&lt;&gt;"NE",AG26&lt;&gt;"A"),AND(AL26="E",OR(AT26=1,AT26=3))),Sick*W26,0)</f>
        <v>0</v>
      </c>
      <c r="BL26" s="461">
        <f t="shared" si="5"/>
        <v>0</v>
      </c>
      <c r="BM26" s="461">
        <f t="shared" si="6"/>
        <v>0</v>
      </c>
      <c r="BN26" s="461">
        <f>IF(AND(AT26=1,AK26="E",AU26&gt;=0.75,AW26=1),HealthBY,IF(AND(AT26=1,AK26="E",AU26&gt;=0.75),HealthBY*P26,IF(AND(AT26=1,AK26="E",AU26&gt;=0.5,AW26=1),PTHealthBY,IF(AND(AT26=1,AK26="E",AU26&gt;=0.5),PTHealthBY*P26,0))))</f>
        <v>0</v>
      </c>
      <c r="BO26" s="461">
        <f>IF(AND(AT26=3,AK26="E",AV26&gt;=0.75,AW26=1),HealthBY,IF(AND(AT26=3,AK26="E",AV26&gt;=0.75),HealthBY*P26,IF(AND(AT26=3,AK26="E",AV26&gt;=0.5,AW26=1),PTHealthBY,IF(AND(AT26=3,AK26="E",AV26&gt;=0.5),PTHealthBY*P26,0))))</f>
        <v>0</v>
      </c>
      <c r="BP26" s="461">
        <f>IF(AND(AT26&lt;&gt;0,(AX26+BA26)&gt;=MAXSSDIBY),SSDIBY*MAXSSDIBY*P26,IF(AT26&lt;&gt;0,SSDIBY*W26,0))</f>
        <v>0</v>
      </c>
      <c r="BQ26" s="461">
        <f>IF(AT26&lt;&gt;0,SSHIBY*W26,0)</f>
        <v>0</v>
      </c>
      <c r="BR26" s="461">
        <f>IF(AND(AT26&lt;&gt;0,AN26&lt;&gt;"NE"),VLOOKUP(AN26,Retirement_Rates,4,FALSE)*W26,0)</f>
        <v>0</v>
      </c>
      <c r="BS26" s="461">
        <f>IF(AND(AT26&lt;&gt;0,AJ26&lt;&gt;"PF"),LifeBY*W26,0)</f>
        <v>0</v>
      </c>
      <c r="BT26" s="461">
        <f>IF(AND(AT26&lt;&gt;0,AM26="Y"),UIBY*W26,0)</f>
        <v>0</v>
      </c>
      <c r="BU26" s="461">
        <f>IF(AND(AT26&lt;&gt;0,N26&lt;&gt;"NR"),DHRBY*W26,0)</f>
        <v>0</v>
      </c>
      <c r="BV26" s="461">
        <f>IF(AT26&lt;&gt;0,WCBY*W26,0)</f>
        <v>0</v>
      </c>
      <c r="BW26" s="461">
        <f>IF(OR(AND(AT26&lt;&gt;0,AJ26&lt;&gt;"PF",AN26&lt;&gt;"NE",AG26&lt;&gt;"A"),AND(AL26="E",OR(AT26=1,AT26=3))),SickBY*W26,0)</f>
        <v>0</v>
      </c>
      <c r="BX26" s="461">
        <f t="shared" si="7"/>
        <v>0</v>
      </c>
      <c r="BY26" s="461">
        <f t="shared" si="8"/>
        <v>0</v>
      </c>
      <c r="BZ26" s="461">
        <f t="shared" si="9"/>
        <v>0</v>
      </c>
      <c r="CA26" s="461">
        <f t="shared" si="10"/>
        <v>0</v>
      </c>
      <c r="CB26" s="461">
        <f t="shared" si="11"/>
        <v>0</v>
      </c>
      <c r="CC26" s="461">
        <f>IF(AT26&lt;&gt;0,SSHICHG*Y26,0)</f>
        <v>0</v>
      </c>
      <c r="CD26" s="461">
        <f>IF(AND(AT26&lt;&gt;0,AN26&lt;&gt;"NE"),VLOOKUP(AN26,Retirement_Rates,5,FALSE)*Y26,0)</f>
        <v>0</v>
      </c>
      <c r="CE26" s="461">
        <f>IF(AND(AT26&lt;&gt;0,AJ26&lt;&gt;"PF"),LifeCHG*Y26,0)</f>
        <v>0</v>
      </c>
      <c r="CF26" s="461">
        <f>IF(AND(AT26&lt;&gt;0,AM26="Y"),UICHG*Y26,0)</f>
        <v>0</v>
      </c>
      <c r="CG26" s="461">
        <f>IF(AND(AT26&lt;&gt;0,N26&lt;&gt;"NR"),DHRCHG*Y26,0)</f>
        <v>0</v>
      </c>
      <c r="CH26" s="461">
        <f>IF(AT26&lt;&gt;0,WCCHG*Y26,0)</f>
        <v>0</v>
      </c>
      <c r="CI26" s="461">
        <f>IF(OR(AND(AT26&lt;&gt;0,AJ26&lt;&gt;"PF",AN26&lt;&gt;"NE",AG26&lt;&gt;"A"),AND(AL26="E",OR(AT26=1,AT26=3))),SickCHG*Y26,0)</f>
        <v>0</v>
      </c>
      <c r="CJ26" s="461">
        <f t="shared" si="12"/>
        <v>0</v>
      </c>
      <c r="CK26" s="461" t="str">
        <f t="shared" si="13"/>
        <v/>
      </c>
      <c r="CL26" s="461">
        <f t="shared" si="14"/>
        <v>0</v>
      </c>
      <c r="CM26" s="461">
        <f t="shared" si="15"/>
        <v>0</v>
      </c>
      <c r="CN26" s="461" t="str">
        <f t="shared" si="16"/>
        <v>0001-00</v>
      </c>
    </row>
    <row r="27" spans="1:92" ht="15" thickBot="1" x14ac:dyDescent="0.35">
      <c r="A27" s="376" t="s">
        <v>161</v>
      </c>
      <c r="B27" s="376" t="s">
        <v>162</v>
      </c>
      <c r="C27" s="376" t="s">
        <v>296</v>
      </c>
      <c r="D27" s="376" t="s">
        <v>220</v>
      </c>
      <c r="E27" s="376" t="s">
        <v>165</v>
      </c>
      <c r="F27" s="377" t="s">
        <v>166</v>
      </c>
      <c r="G27" s="376" t="s">
        <v>167</v>
      </c>
      <c r="H27" s="378"/>
      <c r="I27" s="378"/>
      <c r="J27" s="376" t="s">
        <v>168</v>
      </c>
      <c r="K27" s="376" t="s">
        <v>221</v>
      </c>
      <c r="L27" s="376" t="s">
        <v>222</v>
      </c>
      <c r="M27" s="376" t="s">
        <v>178</v>
      </c>
      <c r="N27" s="376" t="s">
        <v>283</v>
      </c>
      <c r="O27" s="379">
        <v>0</v>
      </c>
      <c r="P27" s="459">
        <v>1</v>
      </c>
      <c r="Q27" s="459">
        <v>0</v>
      </c>
      <c r="R27" s="380">
        <v>0</v>
      </c>
      <c r="S27" s="459">
        <v>0</v>
      </c>
      <c r="T27" s="380">
        <v>0</v>
      </c>
      <c r="U27" s="380">
        <v>0</v>
      </c>
      <c r="V27" s="380">
        <v>0</v>
      </c>
      <c r="W27" s="380">
        <v>0</v>
      </c>
      <c r="X27" s="380">
        <v>0</v>
      </c>
      <c r="Y27" s="380">
        <v>0</v>
      </c>
      <c r="Z27" s="380">
        <v>0</v>
      </c>
      <c r="AA27" s="378"/>
      <c r="AB27" s="376" t="s">
        <v>45</v>
      </c>
      <c r="AC27" s="376" t="s">
        <v>45</v>
      </c>
      <c r="AD27" s="378"/>
      <c r="AE27" s="378"/>
      <c r="AF27" s="378"/>
      <c r="AG27" s="378"/>
      <c r="AH27" s="379">
        <v>0</v>
      </c>
      <c r="AI27" s="379">
        <v>0</v>
      </c>
      <c r="AJ27" s="378"/>
      <c r="AK27" s="378"/>
      <c r="AL27" s="376" t="s">
        <v>172</v>
      </c>
      <c r="AM27" s="378"/>
      <c r="AN27" s="378"/>
      <c r="AO27" s="379">
        <v>0</v>
      </c>
      <c r="AP27" s="459">
        <v>0</v>
      </c>
      <c r="AQ27" s="459">
        <v>0</v>
      </c>
      <c r="AR27" s="457"/>
      <c r="AS27" s="461">
        <f t="shared" si="0"/>
        <v>0</v>
      </c>
      <c r="AT27">
        <f t="shared" si="1"/>
        <v>0</v>
      </c>
      <c r="AU27" s="461" t="str">
        <f>IF(AT27=0,"",IF(AND(AT27=1,M27="F",SUMIF(C2:C35,C27,AS2:AS35)&lt;=1),SUMIF(C2:C35,C27,AS2:AS35),IF(AND(AT27=1,M27="F",SUMIF(C2:C35,C27,AS2:AS35)&gt;1),1,"")))</f>
        <v/>
      </c>
      <c r="AV27" s="461" t="str">
        <f>IF(AT27=0,"",IF(AND(AT27=3,M27="F",SUMIF(C2:C35,C27,AS2:AS35)&lt;=1),SUMIF(C2:C35,C27,AS2:AS35),IF(AND(AT27=3,M27="F",SUMIF(C2:C35,C27,AS2:AS35)&gt;1),1,"")))</f>
        <v/>
      </c>
      <c r="AW27" s="461">
        <f>SUMIF(C2:C35,C27,O2:O35)</f>
        <v>0</v>
      </c>
      <c r="AX27" s="461">
        <f>IF(AND(M27="F",AS27&lt;&gt;0),SUMIF(C2:C35,C27,W2:W35),0)</f>
        <v>0</v>
      </c>
      <c r="AY27" s="461" t="str">
        <f t="shared" si="2"/>
        <v/>
      </c>
      <c r="AZ27" s="461" t="str">
        <f t="shared" si="3"/>
        <v/>
      </c>
      <c r="BA27" s="461">
        <f t="shared" si="4"/>
        <v>0</v>
      </c>
      <c r="BB27" s="461">
        <f>IF(AND(AT27=1,AK27="E",AU27&gt;=0.75,AW27=1),Health,IF(AND(AT27=1,AK27="E",AU27&gt;=0.75),Health*P27,IF(AND(AT27=1,AK27="E",AU27&gt;=0.5,AW27=1),PTHealth,IF(AND(AT27=1,AK27="E",AU27&gt;=0.5),PTHealth*P27,0))))</f>
        <v>0</v>
      </c>
      <c r="BC27" s="461">
        <f>IF(AND(AT27=3,AK27="E",AV27&gt;=0.75,AW27=1),Health,IF(AND(AT27=3,AK27="E",AV27&gt;=0.75),Health*P27,IF(AND(AT27=3,AK27="E",AV27&gt;=0.5,AW27=1),PTHealth,IF(AND(AT27=3,AK27="E",AV27&gt;=0.5),PTHealth*P27,0))))</f>
        <v>0</v>
      </c>
      <c r="BD27" s="461">
        <f>IF(AND(AT27&lt;&gt;0,AX27&gt;=MAXSSDI),SSDI*MAXSSDI*P27,IF(AT27&lt;&gt;0,SSDI*W27,0))</f>
        <v>0</v>
      </c>
      <c r="BE27" s="461">
        <f>IF(AT27&lt;&gt;0,SSHI*W27,0)</f>
        <v>0</v>
      </c>
      <c r="BF27" s="461">
        <f>IF(AND(AT27&lt;&gt;0,AN27&lt;&gt;"NE"),VLOOKUP(AN27,Retirement_Rates,3,FALSE)*W27,0)</f>
        <v>0</v>
      </c>
      <c r="BG27" s="461">
        <f>IF(AND(AT27&lt;&gt;0,AJ27&lt;&gt;"PF"),Life*W27,0)</f>
        <v>0</v>
      </c>
      <c r="BH27" s="461">
        <f>IF(AND(AT27&lt;&gt;0,AM27="Y"),UI*W27,0)</f>
        <v>0</v>
      </c>
      <c r="BI27" s="461">
        <f>IF(AND(AT27&lt;&gt;0,N27&lt;&gt;"NR"),DHR*W27,0)</f>
        <v>0</v>
      </c>
      <c r="BJ27" s="461">
        <f>IF(AT27&lt;&gt;0,WC*W27,0)</f>
        <v>0</v>
      </c>
      <c r="BK27" s="461">
        <f>IF(OR(AND(AT27&lt;&gt;0,AJ27&lt;&gt;"PF",AN27&lt;&gt;"NE",AG27&lt;&gt;"A"),AND(AL27="E",OR(AT27=1,AT27=3))),Sick*W27,0)</f>
        <v>0</v>
      </c>
      <c r="BL27" s="461">
        <f t="shared" si="5"/>
        <v>0</v>
      </c>
      <c r="BM27" s="461">
        <f t="shared" si="6"/>
        <v>0</v>
      </c>
      <c r="BN27" s="461">
        <f>IF(AND(AT27=1,AK27="E",AU27&gt;=0.75,AW27=1),HealthBY,IF(AND(AT27=1,AK27="E",AU27&gt;=0.75),HealthBY*P27,IF(AND(AT27=1,AK27="E",AU27&gt;=0.5,AW27=1),PTHealthBY,IF(AND(AT27=1,AK27="E",AU27&gt;=0.5),PTHealthBY*P27,0))))</f>
        <v>0</v>
      </c>
      <c r="BO27" s="461">
        <f>IF(AND(AT27=3,AK27="E",AV27&gt;=0.75,AW27=1),HealthBY,IF(AND(AT27=3,AK27="E",AV27&gt;=0.75),HealthBY*P27,IF(AND(AT27=3,AK27="E",AV27&gt;=0.5,AW27=1),PTHealthBY,IF(AND(AT27=3,AK27="E",AV27&gt;=0.5),PTHealthBY*P27,0))))</f>
        <v>0</v>
      </c>
      <c r="BP27" s="461">
        <f>IF(AND(AT27&lt;&gt;0,(AX27+BA27)&gt;=MAXSSDIBY),SSDIBY*MAXSSDIBY*P27,IF(AT27&lt;&gt;0,SSDIBY*W27,0))</f>
        <v>0</v>
      </c>
      <c r="BQ27" s="461">
        <f>IF(AT27&lt;&gt;0,SSHIBY*W27,0)</f>
        <v>0</v>
      </c>
      <c r="BR27" s="461">
        <f>IF(AND(AT27&lt;&gt;0,AN27&lt;&gt;"NE"),VLOOKUP(AN27,Retirement_Rates,4,FALSE)*W27,0)</f>
        <v>0</v>
      </c>
      <c r="BS27" s="461">
        <f>IF(AND(AT27&lt;&gt;0,AJ27&lt;&gt;"PF"),LifeBY*W27,0)</f>
        <v>0</v>
      </c>
      <c r="BT27" s="461">
        <f>IF(AND(AT27&lt;&gt;0,AM27="Y"),UIBY*W27,0)</f>
        <v>0</v>
      </c>
      <c r="BU27" s="461">
        <f>IF(AND(AT27&lt;&gt;0,N27&lt;&gt;"NR"),DHRBY*W27,0)</f>
        <v>0</v>
      </c>
      <c r="BV27" s="461">
        <f>IF(AT27&lt;&gt;0,WCBY*W27,0)</f>
        <v>0</v>
      </c>
      <c r="BW27" s="461">
        <f>IF(OR(AND(AT27&lt;&gt;0,AJ27&lt;&gt;"PF",AN27&lt;&gt;"NE",AG27&lt;&gt;"A"),AND(AL27="E",OR(AT27=1,AT27=3))),SickBY*W27,0)</f>
        <v>0</v>
      </c>
      <c r="BX27" s="461">
        <f t="shared" si="7"/>
        <v>0</v>
      </c>
      <c r="BY27" s="461">
        <f t="shared" si="8"/>
        <v>0</v>
      </c>
      <c r="BZ27" s="461">
        <f t="shared" si="9"/>
        <v>0</v>
      </c>
      <c r="CA27" s="461">
        <f t="shared" si="10"/>
        <v>0</v>
      </c>
      <c r="CB27" s="461">
        <f t="shared" si="11"/>
        <v>0</v>
      </c>
      <c r="CC27" s="461">
        <f>IF(AT27&lt;&gt;0,SSHICHG*Y27,0)</f>
        <v>0</v>
      </c>
      <c r="CD27" s="461">
        <f>IF(AND(AT27&lt;&gt;0,AN27&lt;&gt;"NE"),VLOOKUP(AN27,Retirement_Rates,5,FALSE)*Y27,0)</f>
        <v>0</v>
      </c>
      <c r="CE27" s="461">
        <f>IF(AND(AT27&lt;&gt;0,AJ27&lt;&gt;"PF"),LifeCHG*Y27,0)</f>
        <v>0</v>
      </c>
      <c r="CF27" s="461">
        <f>IF(AND(AT27&lt;&gt;0,AM27="Y"),UICHG*Y27,0)</f>
        <v>0</v>
      </c>
      <c r="CG27" s="461">
        <f>IF(AND(AT27&lt;&gt;0,N27&lt;&gt;"NR"),DHRCHG*Y27,0)</f>
        <v>0</v>
      </c>
      <c r="CH27" s="461">
        <f>IF(AT27&lt;&gt;0,WCCHG*Y27,0)</f>
        <v>0</v>
      </c>
      <c r="CI27" s="461">
        <f>IF(OR(AND(AT27&lt;&gt;0,AJ27&lt;&gt;"PF",AN27&lt;&gt;"NE",AG27&lt;&gt;"A"),AND(AL27="E",OR(AT27=1,AT27=3))),SickCHG*Y27,0)</f>
        <v>0</v>
      </c>
      <c r="CJ27" s="461">
        <f t="shared" si="12"/>
        <v>0</v>
      </c>
      <c r="CK27" s="461" t="str">
        <f t="shared" si="13"/>
        <v/>
      </c>
      <c r="CL27" s="461">
        <f t="shared" si="14"/>
        <v>0</v>
      </c>
      <c r="CM27" s="461">
        <f t="shared" si="15"/>
        <v>0</v>
      </c>
      <c r="CN27" s="461" t="str">
        <f t="shared" si="16"/>
        <v>0001-00</v>
      </c>
    </row>
    <row r="28" spans="1:92" ht="15" thickBot="1" x14ac:dyDescent="0.35">
      <c r="A28" s="376" t="s">
        <v>161</v>
      </c>
      <c r="B28" s="376" t="s">
        <v>162</v>
      </c>
      <c r="C28" s="376" t="s">
        <v>297</v>
      </c>
      <c r="D28" s="376" t="s">
        <v>298</v>
      </c>
      <c r="E28" s="376" t="s">
        <v>165</v>
      </c>
      <c r="F28" s="377" t="s">
        <v>166</v>
      </c>
      <c r="G28" s="376" t="s">
        <v>167</v>
      </c>
      <c r="H28" s="378"/>
      <c r="I28" s="378"/>
      <c r="J28" s="376" t="s">
        <v>182</v>
      </c>
      <c r="K28" s="376" t="s">
        <v>299</v>
      </c>
      <c r="L28" s="376" t="s">
        <v>166</v>
      </c>
      <c r="M28" s="376" t="s">
        <v>192</v>
      </c>
      <c r="N28" s="376" t="s">
        <v>283</v>
      </c>
      <c r="O28" s="379">
        <v>0</v>
      </c>
      <c r="P28" s="459">
        <v>0.9</v>
      </c>
      <c r="Q28" s="459">
        <v>0</v>
      </c>
      <c r="R28" s="380">
        <v>0</v>
      </c>
      <c r="S28" s="459">
        <v>0</v>
      </c>
      <c r="T28" s="380">
        <v>3330</v>
      </c>
      <c r="U28" s="380">
        <v>0</v>
      </c>
      <c r="V28" s="380">
        <v>270.89999999999998</v>
      </c>
      <c r="W28" s="380">
        <v>3330</v>
      </c>
      <c r="X28" s="380">
        <v>271.56</v>
      </c>
      <c r="Y28" s="380">
        <v>3330</v>
      </c>
      <c r="Z28" s="380">
        <v>271.56</v>
      </c>
      <c r="AA28" s="378"/>
      <c r="AB28" s="376" t="s">
        <v>45</v>
      </c>
      <c r="AC28" s="376" t="s">
        <v>45</v>
      </c>
      <c r="AD28" s="378"/>
      <c r="AE28" s="378"/>
      <c r="AF28" s="378"/>
      <c r="AG28" s="378"/>
      <c r="AH28" s="379">
        <v>0</v>
      </c>
      <c r="AI28" s="379">
        <v>0</v>
      </c>
      <c r="AJ28" s="378"/>
      <c r="AK28" s="378"/>
      <c r="AL28" s="376" t="s">
        <v>172</v>
      </c>
      <c r="AM28" s="378"/>
      <c r="AN28" s="378"/>
      <c r="AO28" s="379">
        <v>0</v>
      </c>
      <c r="AP28" s="459">
        <v>0</v>
      </c>
      <c r="AQ28" s="459">
        <v>0</v>
      </c>
      <c r="AR28" s="457"/>
      <c r="AS28" s="461">
        <f t="shared" si="0"/>
        <v>0</v>
      </c>
      <c r="AT28">
        <f t="shared" si="1"/>
        <v>0</v>
      </c>
      <c r="AU28" s="461" t="str">
        <f>IF(AT28=0,"",IF(AND(AT28=1,M28="F",SUMIF(C2:C35,C28,AS2:AS35)&lt;=1),SUMIF(C2:C35,C28,AS2:AS35),IF(AND(AT28=1,M28="F",SUMIF(C2:C35,C28,AS2:AS35)&gt;1),1,"")))</f>
        <v/>
      </c>
      <c r="AV28" s="461" t="str">
        <f>IF(AT28=0,"",IF(AND(AT28=3,M28="F",SUMIF(C2:C35,C28,AS2:AS35)&lt;=1),SUMIF(C2:C35,C28,AS2:AS35),IF(AND(AT28=3,M28="F",SUMIF(C2:C35,C28,AS2:AS35)&gt;1),1,"")))</f>
        <v/>
      </c>
      <c r="AW28" s="461">
        <f>SUMIF(C2:C35,C28,O2:O35)</f>
        <v>0</v>
      </c>
      <c r="AX28" s="461">
        <f>IF(AND(M28="F",AS28&lt;&gt;0),SUMIF(C2:C35,C28,W2:W35),0)</f>
        <v>0</v>
      </c>
      <c r="AY28" s="461" t="str">
        <f t="shared" si="2"/>
        <v/>
      </c>
      <c r="AZ28" s="461" t="str">
        <f t="shared" si="3"/>
        <v/>
      </c>
      <c r="BA28" s="461">
        <f t="shared" si="4"/>
        <v>0</v>
      </c>
      <c r="BB28" s="461">
        <f>IF(AND(AT28=1,AK28="E",AU28&gt;=0.75,AW28=1),Health,IF(AND(AT28=1,AK28="E",AU28&gt;=0.75),Health*P28,IF(AND(AT28=1,AK28="E",AU28&gt;=0.5,AW28=1),PTHealth,IF(AND(AT28=1,AK28="E",AU28&gt;=0.5),PTHealth*P28,0))))</f>
        <v>0</v>
      </c>
      <c r="BC28" s="461">
        <f>IF(AND(AT28=3,AK28="E",AV28&gt;=0.75,AW28=1),Health,IF(AND(AT28=3,AK28="E",AV28&gt;=0.75),Health*P28,IF(AND(AT28=3,AK28="E",AV28&gt;=0.5,AW28=1),PTHealth,IF(AND(AT28=3,AK28="E",AV28&gt;=0.5),PTHealth*P28,0))))</f>
        <v>0</v>
      </c>
      <c r="BD28" s="461">
        <f>IF(AND(AT28&lt;&gt;0,AX28&gt;=MAXSSDI),SSDI*MAXSSDI*P28,IF(AT28&lt;&gt;0,SSDI*W28,0))</f>
        <v>0</v>
      </c>
      <c r="BE28" s="461">
        <f>IF(AT28&lt;&gt;0,SSHI*W28,0)</f>
        <v>0</v>
      </c>
      <c r="BF28" s="461">
        <f>IF(AND(AT28&lt;&gt;0,AN28&lt;&gt;"NE"),VLOOKUP(AN28,Retirement_Rates,3,FALSE)*W28,0)</f>
        <v>0</v>
      </c>
      <c r="BG28" s="461">
        <f>IF(AND(AT28&lt;&gt;0,AJ28&lt;&gt;"PF"),Life*W28,0)</f>
        <v>0</v>
      </c>
      <c r="BH28" s="461">
        <f>IF(AND(AT28&lt;&gt;0,AM28="Y"),UI*W28,0)</f>
        <v>0</v>
      </c>
      <c r="BI28" s="461">
        <f>IF(AND(AT28&lt;&gt;0,N28&lt;&gt;"NR"),DHR*W28,0)</f>
        <v>0</v>
      </c>
      <c r="BJ28" s="461">
        <f>IF(AT28&lt;&gt;0,WC*W28,0)</f>
        <v>0</v>
      </c>
      <c r="BK28" s="461">
        <f>IF(OR(AND(AT28&lt;&gt;0,AJ28&lt;&gt;"PF",AN28&lt;&gt;"NE",AG28&lt;&gt;"A"),AND(AL28="E",OR(AT28=1,AT28=3))),Sick*W28,0)</f>
        <v>0</v>
      </c>
      <c r="BL28" s="461">
        <f t="shared" si="5"/>
        <v>0</v>
      </c>
      <c r="BM28" s="461">
        <f t="shared" si="6"/>
        <v>0</v>
      </c>
      <c r="BN28" s="461">
        <f>IF(AND(AT28=1,AK28="E",AU28&gt;=0.75,AW28=1),HealthBY,IF(AND(AT28=1,AK28="E",AU28&gt;=0.75),HealthBY*P28,IF(AND(AT28=1,AK28="E",AU28&gt;=0.5,AW28=1),PTHealthBY,IF(AND(AT28=1,AK28="E",AU28&gt;=0.5),PTHealthBY*P28,0))))</f>
        <v>0</v>
      </c>
      <c r="BO28" s="461">
        <f>IF(AND(AT28=3,AK28="E",AV28&gt;=0.75,AW28=1),HealthBY,IF(AND(AT28=3,AK28="E",AV28&gt;=0.75),HealthBY*P28,IF(AND(AT28=3,AK28="E",AV28&gt;=0.5,AW28=1),PTHealthBY,IF(AND(AT28=3,AK28="E",AV28&gt;=0.5),PTHealthBY*P28,0))))</f>
        <v>0</v>
      </c>
      <c r="BP28" s="461">
        <f>IF(AND(AT28&lt;&gt;0,(AX28+BA28)&gt;=MAXSSDIBY),SSDIBY*MAXSSDIBY*P28,IF(AT28&lt;&gt;0,SSDIBY*W28,0))</f>
        <v>0</v>
      </c>
      <c r="BQ28" s="461">
        <f>IF(AT28&lt;&gt;0,SSHIBY*W28,0)</f>
        <v>0</v>
      </c>
      <c r="BR28" s="461">
        <f>IF(AND(AT28&lt;&gt;0,AN28&lt;&gt;"NE"),VLOOKUP(AN28,Retirement_Rates,4,FALSE)*W28,0)</f>
        <v>0</v>
      </c>
      <c r="BS28" s="461">
        <f>IF(AND(AT28&lt;&gt;0,AJ28&lt;&gt;"PF"),LifeBY*W28,0)</f>
        <v>0</v>
      </c>
      <c r="BT28" s="461">
        <f>IF(AND(AT28&lt;&gt;0,AM28="Y"),UIBY*W28,0)</f>
        <v>0</v>
      </c>
      <c r="BU28" s="461">
        <f>IF(AND(AT28&lt;&gt;0,N28&lt;&gt;"NR"),DHRBY*W28,0)</f>
        <v>0</v>
      </c>
      <c r="BV28" s="461">
        <f>IF(AT28&lt;&gt;0,WCBY*W28,0)</f>
        <v>0</v>
      </c>
      <c r="BW28" s="461">
        <f>IF(OR(AND(AT28&lt;&gt;0,AJ28&lt;&gt;"PF",AN28&lt;&gt;"NE",AG28&lt;&gt;"A"),AND(AL28="E",OR(AT28=1,AT28=3))),SickBY*W28,0)</f>
        <v>0</v>
      </c>
      <c r="BX28" s="461">
        <f t="shared" si="7"/>
        <v>0</v>
      </c>
      <c r="BY28" s="461">
        <f t="shared" si="8"/>
        <v>0</v>
      </c>
      <c r="BZ28" s="461">
        <f t="shared" si="9"/>
        <v>0</v>
      </c>
      <c r="CA28" s="461">
        <f t="shared" si="10"/>
        <v>0</v>
      </c>
      <c r="CB28" s="461">
        <f t="shared" si="11"/>
        <v>0</v>
      </c>
      <c r="CC28" s="461">
        <f>IF(AT28&lt;&gt;0,SSHICHG*Y28,0)</f>
        <v>0</v>
      </c>
      <c r="CD28" s="461">
        <f>IF(AND(AT28&lt;&gt;0,AN28&lt;&gt;"NE"),VLOOKUP(AN28,Retirement_Rates,5,FALSE)*Y28,0)</f>
        <v>0</v>
      </c>
      <c r="CE28" s="461">
        <f>IF(AND(AT28&lt;&gt;0,AJ28&lt;&gt;"PF"),LifeCHG*Y28,0)</f>
        <v>0</v>
      </c>
      <c r="CF28" s="461">
        <f>IF(AND(AT28&lt;&gt;0,AM28="Y"),UICHG*Y28,0)</f>
        <v>0</v>
      </c>
      <c r="CG28" s="461">
        <f>IF(AND(AT28&lt;&gt;0,N28&lt;&gt;"NR"),DHRCHG*Y28,0)</f>
        <v>0</v>
      </c>
      <c r="CH28" s="461">
        <f>IF(AT28&lt;&gt;0,WCCHG*Y28,0)</f>
        <v>0</v>
      </c>
      <c r="CI28" s="461">
        <f>IF(OR(AND(AT28&lt;&gt;0,AJ28&lt;&gt;"PF",AN28&lt;&gt;"NE",AG28&lt;&gt;"A"),AND(AL28="E",OR(AT28=1,AT28=3))),SickCHG*Y28,0)</f>
        <v>0</v>
      </c>
      <c r="CJ28" s="461">
        <f t="shared" si="12"/>
        <v>0</v>
      </c>
      <c r="CK28" s="461" t="str">
        <f t="shared" si="13"/>
        <v/>
      </c>
      <c r="CL28" s="461">
        <f t="shared" si="14"/>
        <v>3330</v>
      </c>
      <c r="CM28" s="461">
        <f t="shared" si="15"/>
        <v>270.89999999999998</v>
      </c>
      <c r="CN28" s="461" t="str">
        <f t="shared" si="16"/>
        <v>0001-00</v>
      </c>
    </row>
    <row r="29" spans="1:92" ht="15" thickBot="1" x14ac:dyDescent="0.35">
      <c r="A29" s="376" t="s">
        <v>161</v>
      </c>
      <c r="B29" s="376" t="s">
        <v>162</v>
      </c>
      <c r="C29" s="376" t="s">
        <v>180</v>
      </c>
      <c r="D29" s="376" t="s">
        <v>181</v>
      </c>
      <c r="E29" s="376" t="s">
        <v>300</v>
      </c>
      <c r="F29" s="377" t="s">
        <v>166</v>
      </c>
      <c r="G29" s="376" t="s">
        <v>167</v>
      </c>
      <c r="H29" s="378"/>
      <c r="I29" s="378"/>
      <c r="J29" s="376" t="s">
        <v>182</v>
      </c>
      <c r="K29" s="376" t="s">
        <v>183</v>
      </c>
      <c r="L29" s="376" t="s">
        <v>166</v>
      </c>
      <c r="M29" s="376" t="s">
        <v>178</v>
      </c>
      <c r="N29" s="376" t="s">
        <v>171</v>
      </c>
      <c r="O29" s="379">
        <v>0</v>
      </c>
      <c r="P29" s="459">
        <v>0.08</v>
      </c>
      <c r="Q29" s="459">
        <v>0.08</v>
      </c>
      <c r="R29" s="380">
        <v>80</v>
      </c>
      <c r="S29" s="459">
        <v>0.08</v>
      </c>
      <c r="T29" s="380">
        <v>8147.86</v>
      </c>
      <c r="U29" s="380">
        <v>0</v>
      </c>
      <c r="V29" s="380">
        <v>2451.29</v>
      </c>
      <c r="W29" s="380">
        <v>7304.96</v>
      </c>
      <c r="X29" s="380">
        <v>3199.57</v>
      </c>
      <c r="Y29" s="380">
        <v>7304.96</v>
      </c>
      <c r="Z29" s="380">
        <v>3163.04</v>
      </c>
      <c r="AA29" s="378"/>
      <c r="AB29" s="376" t="s">
        <v>45</v>
      </c>
      <c r="AC29" s="376" t="s">
        <v>45</v>
      </c>
      <c r="AD29" s="378"/>
      <c r="AE29" s="378"/>
      <c r="AF29" s="378"/>
      <c r="AG29" s="378"/>
      <c r="AH29" s="379">
        <v>0</v>
      </c>
      <c r="AI29" s="379">
        <v>0</v>
      </c>
      <c r="AJ29" s="378"/>
      <c r="AK29" s="378"/>
      <c r="AL29" s="376" t="s">
        <v>172</v>
      </c>
      <c r="AM29" s="378"/>
      <c r="AN29" s="378"/>
      <c r="AO29" s="379">
        <v>0</v>
      </c>
      <c r="AP29" s="459">
        <v>0</v>
      </c>
      <c r="AQ29" s="459">
        <v>0</v>
      </c>
      <c r="AR29" s="457"/>
      <c r="AS29" s="461">
        <f t="shared" si="0"/>
        <v>0</v>
      </c>
      <c r="AT29">
        <f t="shared" si="1"/>
        <v>0</v>
      </c>
      <c r="AU29" s="461" t="str">
        <f>IF(AT29=0,"",IF(AND(AT29=1,M29="F",SUMIF(C2:C35,C29,AS2:AS35)&lt;=1),SUMIF(C2:C35,C29,AS2:AS35),IF(AND(AT29=1,M29="F",SUMIF(C2:C35,C29,AS2:AS35)&gt;1),1,"")))</f>
        <v/>
      </c>
      <c r="AV29" s="461" t="str">
        <f>IF(AT29=0,"",IF(AND(AT29=3,M29="F",SUMIF(C2:C35,C29,AS2:AS35)&lt;=1),SUMIF(C2:C35,C29,AS2:AS35),IF(AND(AT29=3,M29="F",SUMIF(C2:C35,C29,AS2:AS35)&gt;1),1,"")))</f>
        <v/>
      </c>
      <c r="AW29" s="461">
        <f>SUMIF(C2:C35,C29,O2:O35)</f>
        <v>0</v>
      </c>
      <c r="AX29" s="461">
        <f>IF(AND(M29="F",AS29&lt;&gt;0),SUMIF(C2:C35,C29,W2:W35),0)</f>
        <v>0</v>
      </c>
      <c r="AY29" s="461" t="str">
        <f t="shared" si="2"/>
        <v/>
      </c>
      <c r="AZ29" s="461" t="str">
        <f t="shared" si="3"/>
        <v/>
      </c>
      <c r="BA29" s="461">
        <f t="shared" si="4"/>
        <v>0</v>
      </c>
      <c r="BB29" s="461">
        <f>IF(AND(AT29=1,AK29="E",AU29&gt;=0.75,AW29=1),Health,IF(AND(AT29=1,AK29="E",AU29&gt;=0.75),Health*P29,IF(AND(AT29=1,AK29="E",AU29&gt;=0.5,AW29=1),PTHealth,IF(AND(AT29=1,AK29="E",AU29&gt;=0.5),PTHealth*P29,0))))</f>
        <v>0</v>
      </c>
      <c r="BC29" s="461">
        <f>IF(AND(AT29=3,AK29="E",AV29&gt;=0.75,AW29=1),Health,IF(AND(AT29=3,AK29="E",AV29&gt;=0.75),Health*P29,IF(AND(AT29=3,AK29="E",AV29&gt;=0.5,AW29=1),PTHealth,IF(AND(AT29=3,AK29="E",AV29&gt;=0.5),PTHealth*P29,0))))</f>
        <v>0</v>
      </c>
      <c r="BD29" s="461">
        <f>IF(AND(AT29&lt;&gt;0,AX29&gt;=MAXSSDI),SSDI*MAXSSDI*P29,IF(AT29&lt;&gt;0,SSDI*W29,0))</f>
        <v>0</v>
      </c>
      <c r="BE29" s="461">
        <f>IF(AT29&lt;&gt;0,SSHI*W29,0)</f>
        <v>0</v>
      </c>
      <c r="BF29" s="461">
        <f>IF(AND(AT29&lt;&gt;0,AN29&lt;&gt;"NE"),VLOOKUP(AN29,Retirement_Rates,3,FALSE)*W29,0)</f>
        <v>0</v>
      </c>
      <c r="BG29" s="461">
        <f>IF(AND(AT29&lt;&gt;0,AJ29&lt;&gt;"PF"),Life*W29,0)</f>
        <v>0</v>
      </c>
      <c r="BH29" s="461">
        <f>IF(AND(AT29&lt;&gt;0,AM29="Y"),UI*W29,0)</f>
        <v>0</v>
      </c>
      <c r="BI29" s="461">
        <f>IF(AND(AT29&lt;&gt;0,N29&lt;&gt;"NR"),DHR*W29,0)</f>
        <v>0</v>
      </c>
      <c r="BJ29" s="461">
        <f>IF(AT29&lt;&gt;0,WC*W29,0)</f>
        <v>0</v>
      </c>
      <c r="BK29" s="461">
        <f>IF(OR(AND(AT29&lt;&gt;0,AJ29&lt;&gt;"PF",AN29&lt;&gt;"NE",AG29&lt;&gt;"A"),AND(AL29="E",OR(AT29=1,AT29=3))),Sick*W29,0)</f>
        <v>0</v>
      </c>
      <c r="BL29" s="461">
        <f t="shared" si="5"/>
        <v>0</v>
      </c>
      <c r="BM29" s="461">
        <f t="shared" si="6"/>
        <v>0</v>
      </c>
      <c r="BN29" s="461">
        <f>IF(AND(AT29=1,AK29="E",AU29&gt;=0.75,AW29=1),HealthBY,IF(AND(AT29=1,AK29="E",AU29&gt;=0.75),HealthBY*P29,IF(AND(AT29=1,AK29="E",AU29&gt;=0.5,AW29=1),PTHealthBY,IF(AND(AT29=1,AK29="E",AU29&gt;=0.5),PTHealthBY*P29,0))))</f>
        <v>0</v>
      </c>
      <c r="BO29" s="461">
        <f>IF(AND(AT29=3,AK29="E",AV29&gt;=0.75,AW29=1),HealthBY,IF(AND(AT29=3,AK29="E",AV29&gt;=0.75),HealthBY*P29,IF(AND(AT29=3,AK29="E",AV29&gt;=0.5,AW29=1),PTHealthBY,IF(AND(AT29=3,AK29="E",AV29&gt;=0.5),PTHealthBY*P29,0))))</f>
        <v>0</v>
      </c>
      <c r="BP29" s="461">
        <f>IF(AND(AT29&lt;&gt;0,(AX29+BA29)&gt;=MAXSSDIBY),SSDIBY*MAXSSDIBY*P29,IF(AT29&lt;&gt;0,SSDIBY*W29,0))</f>
        <v>0</v>
      </c>
      <c r="BQ29" s="461">
        <f>IF(AT29&lt;&gt;0,SSHIBY*W29,0)</f>
        <v>0</v>
      </c>
      <c r="BR29" s="461">
        <f>IF(AND(AT29&lt;&gt;0,AN29&lt;&gt;"NE"),VLOOKUP(AN29,Retirement_Rates,4,FALSE)*W29,0)</f>
        <v>0</v>
      </c>
      <c r="BS29" s="461">
        <f>IF(AND(AT29&lt;&gt;0,AJ29&lt;&gt;"PF"),LifeBY*W29,0)</f>
        <v>0</v>
      </c>
      <c r="BT29" s="461">
        <f>IF(AND(AT29&lt;&gt;0,AM29="Y"),UIBY*W29,0)</f>
        <v>0</v>
      </c>
      <c r="BU29" s="461">
        <f>IF(AND(AT29&lt;&gt;0,N29&lt;&gt;"NR"),DHRBY*W29,0)</f>
        <v>0</v>
      </c>
      <c r="BV29" s="461">
        <f>IF(AT29&lt;&gt;0,WCBY*W29,0)</f>
        <v>0</v>
      </c>
      <c r="BW29" s="461">
        <f>IF(OR(AND(AT29&lt;&gt;0,AJ29&lt;&gt;"PF",AN29&lt;&gt;"NE",AG29&lt;&gt;"A"),AND(AL29="E",OR(AT29=1,AT29=3))),SickBY*W29,0)</f>
        <v>0</v>
      </c>
      <c r="BX29" s="461">
        <f t="shared" si="7"/>
        <v>0</v>
      </c>
      <c r="BY29" s="461">
        <f t="shared" si="8"/>
        <v>0</v>
      </c>
      <c r="BZ29" s="461">
        <f t="shared" si="9"/>
        <v>0</v>
      </c>
      <c r="CA29" s="461">
        <f t="shared" si="10"/>
        <v>0</v>
      </c>
      <c r="CB29" s="461">
        <f t="shared" si="11"/>
        <v>0</v>
      </c>
      <c r="CC29" s="461">
        <f>IF(AT29&lt;&gt;0,SSHICHG*Y29,0)</f>
        <v>0</v>
      </c>
      <c r="CD29" s="461">
        <f>IF(AND(AT29&lt;&gt;0,AN29&lt;&gt;"NE"),VLOOKUP(AN29,Retirement_Rates,5,FALSE)*Y29,0)</f>
        <v>0</v>
      </c>
      <c r="CE29" s="461">
        <f>IF(AND(AT29&lt;&gt;0,AJ29&lt;&gt;"PF"),LifeCHG*Y29,0)</f>
        <v>0</v>
      </c>
      <c r="CF29" s="461">
        <f>IF(AND(AT29&lt;&gt;0,AM29="Y"),UICHG*Y29,0)</f>
        <v>0</v>
      </c>
      <c r="CG29" s="461">
        <f>IF(AND(AT29&lt;&gt;0,N29&lt;&gt;"NR"),DHRCHG*Y29,0)</f>
        <v>0</v>
      </c>
      <c r="CH29" s="461">
        <f>IF(AT29&lt;&gt;0,WCCHG*Y29,0)</f>
        <v>0</v>
      </c>
      <c r="CI29" s="461">
        <f>IF(OR(AND(AT29&lt;&gt;0,AJ29&lt;&gt;"PF",AN29&lt;&gt;"NE",AG29&lt;&gt;"A"),AND(AL29="E",OR(AT29=1,AT29=3))),SickCHG*Y29,0)</f>
        <v>0</v>
      </c>
      <c r="CJ29" s="461">
        <f t="shared" si="12"/>
        <v>0</v>
      </c>
      <c r="CK29" s="461" t="str">
        <f t="shared" si="13"/>
        <v/>
      </c>
      <c r="CL29" s="461" t="str">
        <f t="shared" si="14"/>
        <v/>
      </c>
      <c r="CM29" s="461" t="str">
        <f t="shared" si="15"/>
        <v/>
      </c>
      <c r="CN29" s="461" t="str">
        <f t="shared" si="16"/>
        <v>0522-00</v>
      </c>
    </row>
    <row r="30" spans="1:92" ht="15" thickBot="1" x14ac:dyDescent="0.35">
      <c r="A30" s="376" t="s">
        <v>161</v>
      </c>
      <c r="B30" s="376" t="s">
        <v>162</v>
      </c>
      <c r="C30" s="376" t="s">
        <v>203</v>
      </c>
      <c r="D30" s="376" t="s">
        <v>204</v>
      </c>
      <c r="E30" s="376" t="s">
        <v>300</v>
      </c>
      <c r="F30" s="377" t="s">
        <v>166</v>
      </c>
      <c r="G30" s="376" t="s">
        <v>167</v>
      </c>
      <c r="H30" s="378"/>
      <c r="I30" s="378"/>
      <c r="J30" s="376" t="s">
        <v>182</v>
      </c>
      <c r="K30" s="376" t="s">
        <v>205</v>
      </c>
      <c r="L30" s="376" t="s">
        <v>206</v>
      </c>
      <c r="M30" s="376" t="s">
        <v>192</v>
      </c>
      <c r="N30" s="376" t="s">
        <v>179</v>
      </c>
      <c r="O30" s="379">
        <v>1</v>
      </c>
      <c r="P30" s="459">
        <v>0.05</v>
      </c>
      <c r="Q30" s="459">
        <v>0.05</v>
      </c>
      <c r="R30" s="380">
        <v>80</v>
      </c>
      <c r="S30" s="459">
        <v>0.05</v>
      </c>
      <c r="T30" s="380">
        <v>1912.69</v>
      </c>
      <c r="U30" s="380">
        <v>0</v>
      </c>
      <c r="V30" s="380">
        <v>983.02</v>
      </c>
      <c r="W30" s="380">
        <v>1877.2</v>
      </c>
      <c r="X30" s="380">
        <v>1008.9</v>
      </c>
      <c r="Y30" s="380">
        <v>1877.2</v>
      </c>
      <c r="Z30" s="380">
        <v>996.51</v>
      </c>
      <c r="AA30" s="376" t="s">
        <v>207</v>
      </c>
      <c r="AB30" s="376" t="s">
        <v>208</v>
      </c>
      <c r="AC30" s="376" t="s">
        <v>209</v>
      </c>
      <c r="AD30" s="376" t="s">
        <v>196</v>
      </c>
      <c r="AE30" s="376" t="s">
        <v>205</v>
      </c>
      <c r="AF30" s="376" t="s">
        <v>210</v>
      </c>
      <c r="AG30" s="376" t="s">
        <v>198</v>
      </c>
      <c r="AH30" s="381">
        <v>18.05</v>
      </c>
      <c r="AI30" s="381">
        <v>7927.2</v>
      </c>
      <c r="AJ30" s="376" t="s">
        <v>199</v>
      </c>
      <c r="AK30" s="376" t="s">
        <v>200</v>
      </c>
      <c r="AL30" s="376" t="s">
        <v>172</v>
      </c>
      <c r="AM30" s="376" t="s">
        <v>201</v>
      </c>
      <c r="AN30" s="376" t="s">
        <v>68</v>
      </c>
      <c r="AO30" s="379">
        <v>80</v>
      </c>
      <c r="AP30" s="459">
        <v>1</v>
      </c>
      <c r="AQ30" s="459">
        <v>0.05</v>
      </c>
      <c r="AR30" s="458" t="s">
        <v>202</v>
      </c>
      <c r="AS30" s="461">
        <f t="shared" si="0"/>
        <v>0.05</v>
      </c>
      <c r="AT30">
        <f t="shared" si="1"/>
        <v>1</v>
      </c>
      <c r="AU30" s="461">
        <f>IF(AT30=0,"",IF(AND(AT30=1,M30="F",SUMIF(C2:C35,C30,AS2:AS35)&lt;=1),SUMIF(C2:C35,C30,AS2:AS35),IF(AND(AT30=1,M30="F",SUMIF(C2:C35,C30,AS2:AS35)&gt;1),1,"")))</f>
        <v>1</v>
      </c>
      <c r="AV30" s="461" t="str">
        <f>IF(AT30=0,"",IF(AND(AT30=3,M30="F",SUMIF(C2:C35,C30,AS2:AS35)&lt;=1),SUMIF(C2:C35,C30,AS2:AS35),IF(AND(AT30=3,M30="F",SUMIF(C2:C35,C30,AS2:AS35)&gt;1),1,"")))</f>
        <v/>
      </c>
      <c r="AW30" s="461">
        <f>SUMIF(C2:C35,C30,O2:O35)</f>
        <v>2</v>
      </c>
      <c r="AX30" s="461">
        <f>IF(AND(M30="F",AS30&lt;&gt;0),SUMIF(C2:C35,C30,W2:W35),0)</f>
        <v>37544</v>
      </c>
      <c r="AY30" s="461">
        <f t="shared" si="2"/>
        <v>1877.2</v>
      </c>
      <c r="AZ30" s="461" t="str">
        <f t="shared" si="3"/>
        <v/>
      </c>
      <c r="BA30" s="461">
        <f t="shared" si="4"/>
        <v>0</v>
      </c>
      <c r="BB30" s="461">
        <f>IF(AND(AT30=1,AK30="E",AU30&gt;=0.75,AW30=1),Health,IF(AND(AT30=1,AK30="E",AU30&gt;=0.75),Health*P30,IF(AND(AT30=1,AK30="E",AU30&gt;=0.5,AW30=1),PTHealth,IF(AND(AT30=1,AK30="E",AU30&gt;=0.5),PTHealth*P30,0))))</f>
        <v>582.5</v>
      </c>
      <c r="BC30" s="461">
        <f>IF(AND(AT30=3,AK30="E",AV30&gt;=0.75,AW30=1),Health,IF(AND(AT30=3,AK30="E",AV30&gt;=0.75),Health*P30,IF(AND(AT30=3,AK30="E",AV30&gt;=0.5,AW30=1),PTHealth,IF(AND(AT30=3,AK30="E",AV30&gt;=0.5),PTHealth*P30,0))))</f>
        <v>0</v>
      </c>
      <c r="BD30" s="461">
        <f>IF(AND(AT30&lt;&gt;0,AX30&gt;=MAXSSDI),SSDI*MAXSSDI*P30,IF(AT30&lt;&gt;0,SSDI*W30,0))</f>
        <v>116.38640000000001</v>
      </c>
      <c r="BE30" s="461">
        <f>IF(AT30&lt;&gt;0,SSHI*W30,0)</f>
        <v>27.219400000000004</v>
      </c>
      <c r="BF30" s="461">
        <f>IF(AND(AT30&lt;&gt;0,AN30&lt;&gt;"NE"),VLOOKUP(AN30,Retirement_Rates,3,FALSE)*W30,0)</f>
        <v>224.13768000000002</v>
      </c>
      <c r="BG30" s="461">
        <f>IF(AND(AT30&lt;&gt;0,AJ30&lt;&gt;"PF"),Life*W30,0)</f>
        <v>13.534612000000001</v>
      </c>
      <c r="BH30" s="461">
        <f>IF(AND(AT30&lt;&gt;0,AM30="Y"),UI*W30,0)</f>
        <v>9.1982800000000005</v>
      </c>
      <c r="BI30" s="461">
        <f>IF(AND(AT30&lt;&gt;0,N30&lt;&gt;"NR"),DHR*W30,0)</f>
        <v>10.399687999999999</v>
      </c>
      <c r="BJ30" s="461">
        <f>IF(AT30&lt;&gt;0,WC*W30,0)</f>
        <v>25.529920000000001</v>
      </c>
      <c r="BK30" s="461">
        <f>IF(OR(AND(AT30&lt;&gt;0,AJ30&lt;&gt;"PF",AN30&lt;&gt;"NE",AG30&lt;&gt;"A"),AND(AL30="E",OR(AT30=1,AT30=3))),Sick*W30,0)</f>
        <v>0</v>
      </c>
      <c r="BL30" s="461">
        <f t="shared" si="5"/>
        <v>426.40598000000006</v>
      </c>
      <c r="BM30" s="461">
        <f t="shared" si="6"/>
        <v>0</v>
      </c>
      <c r="BN30" s="461">
        <f>IF(AND(AT30=1,AK30="E",AU30&gt;=0.75,AW30=1),HealthBY,IF(AND(AT30=1,AK30="E",AU30&gt;=0.75),HealthBY*P30,IF(AND(AT30=1,AK30="E",AU30&gt;=0.5,AW30=1),PTHealthBY,IF(AND(AT30=1,AK30="E",AU30&gt;=0.5),PTHealthBY*P30,0))))</f>
        <v>582.5</v>
      </c>
      <c r="BO30" s="461">
        <f>IF(AND(AT30=3,AK30="E",AV30&gt;=0.75,AW30=1),HealthBY,IF(AND(AT30=3,AK30="E",AV30&gt;=0.75),HealthBY*P30,IF(AND(AT30=3,AK30="E",AV30&gt;=0.5,AW30=1),PTHealthBY,IF(AND(AT30=3,AK30="E",AV30&gt;=0.5),PTHealthBY*P30,0))))</f>
        <v>0</v>
      </c>
      <c r="BP30" s="461">
        <f>IF(AND(AT30&lt;&gt;0,(AX30+BA30)&gt;=MAXSSDIBY),SSDIBY*MAXSSDIBY*P30,IF(AT30&lt;&gt;0,SSDIBY*W30,0))</f>
        <v>116.38640000000001</v>
      </c>
      <c r="BQ30" s="461">
        <f>IF(AT30&lt;&gt;0,SSHIBY*W30,0)</f>
        <v>27.219400000000004</v>
      </c>
      <c r="BR30" s="461">
        <f>IF(AND(AT30&lt;&gt;0,AN30&lt;&gt;"NE"),VLOOKUP(AN30,Retirement_Rates,4,FALSE)*W30,0)</f>
        <v>224.13768000000002</v>
      </c>
      <c r="BS30" s="461">
        <f>IF(AND(AT30&lt;&gt;0,AJ30&lt;&gt;"PF"),LifeBY*W30,0)</f>
        <v>13.534612000000001</v>
      </c>
      <c r="BT30" s="461">
        <f>IF(AND(AT30&lt;&gt;0,AM30="Y"),UIBY*W30,0)</f>
        <v>0</v>
      </c>
      <c r="BU30" s="461">
        <f>IF(AND(AT30&lt;&gt;0,N30&lt;&gt;"NR"),DHRBY*W30,0)</f>
        <v>10.399687999999999</v>
      </c>
      <c r="BV30" s="461">
        <f>IF(AT30&lt;&gt;0,WCBY*W30,0)</f>
        <v>22.338680000000004</v>
      </c>
      <c r="BW30" s="461">
        <f>IF(OR(AND(AT30&lt;&gt;0,AJ30&lt;&gt;"PF",AN30&lt;&gt;"NE",AG30&lt;&gt;"A"),AND(AL30="E",OR(AT30=1,AT30=3))),SickBY*W30,0)</f>
        <v>0</v>
      </c>
      <c r="BX30" s="461">
        <f t="shared" si="7"/>
        <v>414.01646000000005</v>
      </c>
      <c r="BY30" s="461">
        <f t="shared" si="8"/>
        <v>0</v>
      </c>
      <c r="BZ30" s="461">
        <f t="shared" si="9"/>
        <v>0</v>
      </c>
      <c r="CA30" s="461">
        <f t="shared" si="10"/>
        <v>0</v>
      </c>
      <c r="CB30" s="461">
        <f t="shared" si="11"/>
        <v>0</v>
      </c>
      <c r="CC30" s="461">
        <f>IF(AT30&lt;&gt;0,SSHICHG*Y30,0)</f>
        <v>0</v>
      </c>
      <c r="CD30" s="461">
        <f>IF(AND(AT30&lt;&gt;0,AN30&lt;&gt;"NE"),VLOOKUP(AN30,Retirement_Rates,5,FALSE)*Y30,0)</f>
        <v>0</v>
      </c>
      <c r="CE30" s="461">
        <f>IF(AND(AT30&lt;&gt;0,AJ30&lt;&gt;"PF"),LifeCHG*Y30,0)</f>
        <v>0</v>
      </c>
      <c r="CF30" s="461">
        <f>IF(AND(AT30&lt;&gt;0,AM30="Y"),UICHG*Y30,0)</f>
        <v>-9.1982800000000005</v>
      </c>
      <c r="CG30" s="461">
        <f>IF(AND(AT30&lt;&gt;0,N30&lt;&gt;"NR"),DHRCHG*Y30,0)</f>
        <v>0</v>
      </c>
      <c r="CH30" s="461">
        <f>IF(AT30&lt;&gt;0,WCCHG*Y30,0)</f>
        <v>-3.191239999999997</v>
      </c>
      <c r="CI30" s="461">
        <f>IF(OR(AND(AT30&lt;&gt;0,AJ30&lt;&gt;"PF",AN30&lt;&gt;"NE",AG30&lt;&gt;"A"),AND(AL30="E",OR(AT30=1,AT30=3))),SickCHG*Y30,0)</f>
        <v>0</v>
      </c>
      <c r="CJ30" s="461">
        <f t="shared" si="12"/>
        <v>-12.389519999999997</v>
      </c>
      <c r="CK30" s="461" t="str">
        <f t="shared" si="13"/>
        <v/>
      </c>
      <c r="CL30" s="461" t="str">
        <f t="shared" si="14"/>
        <v/>
      </c>
      <c r="CM30" s="461" t="str">
        <f t="shared" si="15"/>
        <v/>
      </c>
      <c r="CN30" s="461" t="str">
        <f t="shared" si="16"/>
        <v>0522-00</v>
      </c>
    </row>
    <row r="31" spans="1:92" ht="15" thickBot="1" x14ac:dyDescent="0.35">
      <c r="A31" s="376" t="s">
        <v>161</v>
      </c>
      <c r="B31" s="376" t="s">
        <v>162</v>
      </c>
      <c r="C31" s="376" t="s">
        <v>211</v>
      </c>
      <c r="D31" s="376" t="s">
        <v>212</v>
      </c>
      <c r="E31" s="376" t="s">
        <v>300</v>
      </c>
      <c r="F31" s="377" t="s">
        <v>166</v>
      </c>
      <c r="G31" s="376" t="s">
        <v>167</v>
      </c>
      <c r="H31" s="378"/>
      <c r="I31" s="378"/>
      <c r="J31" s="376" t="s">
        <v>182</v>
      </c>
      <c r="K31" s="376" t="s">
        <v>213</v>
      </c>
      <c r="L31" s="376" t="s">
        <v>196</v>
      </c>
      <c r="M31" s="376" t="s">
        <v>192</v>
      </c>
      <c r="N31" s="376" t="s">
        <v>179</v>
      </c>
      <c r="O31" s="379">
        <v>1</v>
      </c>
      <c r="P31" s="459">
        <v>0.22</v>
      </c>
      <c r="Q31" s="459">
        <v>0.22</v>
      </c>
      <c r="R31" s="380">
        <v>80</v>
      </c>
      <c r="S31" s="459">
        <v>0.22</v>
      </c>
      <c r="T31" s="380">
        <v>11058.28</v>
      </c>
      <c r="U31" s="380">
        <v>0</v>
      </c>
      <c r="V31" s="380">
        <v>5063</v>
      </c>
      <c r="W31" s="380">
        <v>11755.74</v>
      </c>
      <c r="X31" s="380">
        <v>5233.3100000000004</v>
      </c>
      <c r="Y31" s="380">
        <v>11755.74</v>
      </c>
      <c r="Z31" s="380">
        <v>5155.72</v>
      </c>
      <c r="AA31" s="376" t="s">
        <v>214</v>
      </c>
      <c r="AB31" s="376" t="s">
        <v>215</v>
      </c>
      <c r="AC31" s="376" t="s">
        <v>216</v>
      </c>
      <c r="AD31" s="376" t="s">
        <v>217</v>
      </c>
      <c r="AE31" s="376" t="s">
        <v>213</v>
      </c>
      <c r="AF31" s="376" t="s">
        <v>218</v>
      </c>
      <c r="AG31" s="376" t="s">
        <v>198</v>
      </c>
      <c r="AH31" s="381">
        <v>25.69</v>
      </c>
      <c r="AI31" s="379">
        <v>21046</v>
      </c>
      <c r="AJ31" s="376" t="s">
        <v>199</v>
      </c>
      <c r="AK31" s="376" t="s">
        <v>200</v>
      </c>
      <c r="AL31" s="376" t="s">
        <v>172</v>
      </c>
      <c r="AM31" s="376" t="s">
        <v>201</v>
      </c>
      <c r="AN31" s="376" t="s">
        <v>68</v>
      </c>
      <c r="AO31" s="379">
        <v>80</v>
      </c>
      <c r="AP31" s="459">
        <v>1</v>
      </c>
      <c r="AQ31" s="459">
        <v>0.22</v>
      </c>
      <c r="AR31" s="458" t="s">
        <v>202</v>
      </c>
      <c r="AS31" s="461">
        <f t="shared" si="0"/>
        <v>0.22</v>
      </c>
      <c r="AT31">
        <f t="shared" si="1"/>
        <v>1</v>
      </c>
      <c r="AU31" s="461">
        <f>IF(AT31=0,"",IF(AND(AT31=1,M31="F",SUMIF(C2:C35,C31,AS2:AS35)&lt;=1),SUMIF(C2:C35,C31,AS2:AS35),IF(AND(AT31=1,M31="F",SUMIF(C2:C35,C31,AS2:AS35)&gt;1),1,"")))</f>
        <v>1</v>
      </c>
      <c r="AV31" s="461" t="str">
        <f>IF(AT31=0,"",IF(AND(AT31=3,M31="F",SUMIF(C2:C35,C31,AS2:AS35)&lt;=1),SUMIF(C2:C35,C31,AS2:AS35),IF(AND(AT31=3,M31="F",SUMIF(C2:C35,C31,AS2:AS35)&gt;1),1,"")))</f>
        <v/>
      </c>
      <c r="AW31" s="461">
        <f>SUMIF(C2:C35,C31,O2:O35)</f>
        <v>2</v>
      </c>
      <c r="AX31" s="461">
        <f>IF(AND(M31="F",AS31&lt;&gt;0),SUMIF(C2:C35,C31,W2:W35),0)</f>
        <v>53435.189999999995</v>
      </c>
      <c r="AY31" s="461">
        <f t="shared" si="2"/>
        <v>11755.74</v>
      </c>
      <c r="AZ31" s="461" t="str">
        <f t="shared" si="3"/>
        <v/>
      </c>
      <c r="BA31" s="461">
        <f t="shared" si="4"/>
        <v>0</v>
      </c>
      <c r="BB31" s="461">
        <f>IF(AND(AT31=1,AK31="E",AU31&gt;=0.75,AW31=1),Health,IF(AND(AT31=1,AK31="E",AU31&gt;=0.75),Health*P31,IF(AND(AT31=1,AK31="E",AU31&gt;=0.5,AW31=1),PTHealth,IF(AND(AT31=1,AK31="E",AU31&gt;=0.5),PTHealth*P31,0))))</f>
        <v>2563</v>
      </c>
      <c r="BC31" s="461">
        <f>IF(AND(AT31=3,AK31="E",AV31&gt;=0.75,AW31=1),Health,IF(AND(AT31=3,AK31="E",AV31&gt;=0.75),Health*P31,IF(AND(AT31=3,AK31="E",AV31&gt;=0.5,AW31=1),PTHealth,IF(AND(AT31=3,AK31="E",AV31&gt;=0.5),PTHealth*P31,0))))</f>
        <v>0</v>
      </c>
      <c r="BD31" s="461">
        <f>IF(AND(AT31&lt;&gt;0,AX31&gt;=MAXSSDI),SSDI*MAXSSDI*P31,IF(AT31&lt;&gt;0,SSDI*W31,0))</f>
        <v>728.85587999999996</v>
      </c>
      <c r="BE31" s="461">
        <f>IF(AT31&lt;&gt;0,SSHI*W31,0)</f>
        <v>170.45823000000001</v>
      </c>
      <c r="BF31" s="461">
        <f>IF(AND(AT31&lt;&gt;0,AN31&lt;&gt;"NE"),VLOOKUP(AN31,Retirement_Rates,3,FALSE)*W31,0)</f>
        <v>1403.635356</v>
      </c>
      <c r="BG31" s="461">
        <f>IF(AND(AT31&lt;&gt;0,AJ31&lt;&gt;"PF"),Life*W31,0)</f>
        <v>84.758885399999997</v>
      </c>
      <c r="BH31" s="461">
        <f>IF(AND(AT31&lt;&gt;0,AM31="Y"),UI*W31,0)</f>
        <v>57.603125999999996</v>
      </c>
      <c r="BI31" s="461">
        <f>IF(AND(AT31&lt;&gt;0,N31&lt;&gt;"NR"),DHR*W31,0)</f>
        <v>65.126799599999998</v>
      </c>
      <c r="BJ31" s="461">
        <f>IF(AT31&lt;&gt;0,WC*W31,0)</f>
        <v>159.87806399999999</v>
      </c>
      <c r="BK31" s="461">
        <f>IF(OR(AND(AT31&lt;&gt;0,AJ31&lt;&gt;"PF",AN31&lt;&gt;"NE",AG31&lt;&gt;"A"),AND(AL31="E",OR(AT31=1,AT31=3))),Sick*W31,0)</f>
        <v>0</v>
      </c>
      <c r="BL31" s="461">
        <f t="shared" si="5"/>
        <v>2670.3163410000002</v>
      </c>
      <c r="BM31" s="461">
        <f t="shared" si="6"/>
        <v>0</v>
      </c>
      <c r="BN31" s="461">
        <f>IF(AND(AT31=1,AK31="E",AU31&gt;=0.75,AW31=1),HealthBY,IF(AND(AT31=1,AK31="E",AU31&gt;=0.75),HealthBY*P31,IF(AND(AT31=1,AK31="E",AU31&gt;=0.5,AW31=1),PTHealthBY,IF(AND(AT31=1,AK31="E",AU31&gt;=0.5),PTHealthBY*P31,0))))</f>
        <v>2563</v>
      </c>
      <c r="BO31" s="461">
        <f>IF(AND(AT31=3,AK31="E",AV31&gt;=0.75,AW31=1),HealthBY,IF(AND(AT31=3,AK31="E",AV31&gt;=0.75),HealthBY*P31,IF(AND(AT31=3,AK31="E",AV31&gt;=0.5,AW31=1),PTHealthBY,IF(AND(AT31=3,AK31="E",AV31&gt;=0.5),PTHealthBY*P31,0))))</f>
        <v>0</v>
      </c>
      <c r="BP31" s="461">
        <f>IF(AND(AT31&lt;&gt;0,(AX31+BA31)&gt;=MAXSSDIBY),SSDIBY*MAXSSDIBY*P31,IF(AT31&lt;&gt;0,SSDIBY*W31,0))</f>
        <v>728.85587999999996</v>
      </c>
      <c r="BQ31" s="461">
        <f>IF(AT31&lt;&gt;0,SSHIBY*W31,0)</f>
        <v>170.45823000000001</v>
      </c>
      <c r="BR31" s="461">
        <f>IF(AND(AT31&lt;&gt;0,AN31&lt;&gt;"NE"),VLOOKUP(AN31,Retirement_Rates,4,FALSE)*W31,0)</f>
        <v>1403.635356</v>
      </c>
      <c r="BS31" s="461">
        <f>IF(AND(AT31&lt;&gt;0,AJ31&lt;&gt;"PF"),LifeBY*W31,0)</f>
        <v>84.758885399999997</v>
      </c>
      <c r="BT31" s="461">
        <f>IF(AND(AT31&lt;&gt;0,AM31="Y"),UIBY*W31,0)</f>
        <v>0</v>
      </c>
      <c r="BU31" s="461">
        <f>IF(AND(AT31&lt;&gt;0,N31&lt;&gt;"NR"),DHRBY*W31,0)</f>
        <v>65.126799599999998</v>
      </c>
      <c r="BV31" s="461">
        <f>IF(AT31&lt;&gt;0,WCBY*W31,0)</f>
        <v>139.893306</v>
      </c>
      <c r="BW31" s="461">
        <f>IF(OR(AND(AT31&lt;&gt;0,AJ31&lt;&gt;"PF",AN31&lt;&gt;"NE",AG31&lt;&gt;"A"),AND(AL31="E",OR(AT31=1,AT31=3))),SickBY*W31,0)</f>
        <v>0</v>
      </c>
      <c r="BX31" s="461">
        <f t="shared" si="7"/>
        <v>2592.7284570000002</v>
      </c>
      <c r="BY31" s="461">
        <f t="shared" si="8"/>
        <v>0</v>
      </c>
      <c r="BZ31" s="461">
        <f t="shared" si="9"/>
        <v>0</v>
      </c>
      <c r="CA31" s="461">
        <f t="shared" si="10"/>
        <v>0</v>
      </c>
      <c r="CB31" s="461">
        <f t="shared" si="11"/>
        <v>0</v>
      </c>
      <c r="CC31" s="461">
        <f>IF(AT31&lt;&gt;0,SSHICHG*Y31,0)</f>
        <v>0</v>
      </c>
      <c r="CD31" s="461">
        <f>IF(AND(AT31&lt;&gt;0,AN31&lt;&gt;"NE"),VLOOKUP(AN31,Retirement_Rates,5,FALSE)*Y31,0)</f>
        <v>0</v>
      </c>
      <c r="CE31" s="461">
        <f>IF(AND(AT31&lt;&gt;0,AJ31&lt;&gt;"PF"),LifeCHG*Y31,0)</f>
        <v>0</v>
      </c>
      <c r="CF31" s="461">
        <f>IF(AND(AT31&lt;&gt;0,AM31="Y"),UICHG*Y31,0)</f>
        <v>-57.603125999999996</v>
      </c>
      <c r="CG31" s="461">
        <f>IF(AND(AT31&lt;&gt;0,N31&lt;&gt;"NR"),DHRCHG*Y31,0)</f>
        <v>0</v>
      </c>
      <c r="CH31" s="461">
        <f>IF(AT31&lt;&gt;0,WCCHG*Y31,0)</f>
        <v>-19.984757999999982</v>
      </c>
      <c r="CI31" s="461">
        <f>IF(OR(AND(AT31&lt;&gt;0,AJ31&lt;&gt;"PF",AN31&lt;&gt;"NE",AG31&lt;&gt;"A"),AND(AL31="E",OR(AT31=1,AT31=3))),SickCHG*Y31,0)</f>
        <v>0</v>
      </c>
      <c r="CJ31" s="461">
        <f t="shared" si="12"/>
        <v>-77.587883999999974</v>
      </c>
      <c r="CK31" s="461" t="str">
        <f t="shared" si="13"/>
        <v/>
      </c>
      <c r="CL31" s="461" t="str">
        <f t="shared" si="14"/>
        <v/>
      </c>
      <c r="CM31" s="461" t="str">
        <f t="shared" si="15"/>
        <v/>
      </c>
      <c r="CN31" s="461" t="str">
        <f t="shared" si="16"/>
        <v>0522-00</v>
      </c>
    </row>
    <row r="32" spans="1:92" ht="15" thickBot="1" x14ac:dyDescent="0.35">
      <c r="A32" s="376" t="s">
        <v>161</v>
      </c>
      <c r="B32" s="376" t="s">
        <v>162</v>
      </c>
      <c r="C32" s="376" t="s">
        <v>301</v>
      </c>
      <c r="D32" s="376" t="s">
        <v>302</v>
      </c>
      <c r="E32" s="376" t="s">
        <v>300</v>
      </c>
      <c r="F32" s="377" t="s">
        <v>166</v>
      </c>
      <c r="G32" s="376" t="s">
        <v>167</v>
      </c>
      <c r="H32" s="378"/>
      <c r="I32" s="378"/>
      <c r="J32" s="376" t="s">
        <v>168</v>
      </c>
      <c r="K32" s="376" t="s">
        <v>303</v>
      </c>
      <c r="L32" s="376" t="s">
        <v>196</v>
      </c>
      <c r="M32" s="376" t="s">
        <v>192</v>
      </c>
      <c r="N32" s="376" t="s">
        <v>179</v>
      </c>
      <c r="O32" s="379">
        <v>1</v>
      </c>
      <c r="P32" s="459">
        <v>1</v>
      </c>
      <c r="Q32" s="459">
        <v>1</v>
      </c>
      <c r="R32" s="380">
        <v>80</v>
      </c>
      <c r="S32" s="459">
        <v>1</v>
      </c>
      <c r="T32" s="380">
        <v>61376</v>
      </c>
      <c r="U32" s="380">
        <v>0</v>
      </c>
      <c r="V32" s="380">
        <v>24471.52</v>
      </c>
      <c r="W32" s="380">
        <v>63065.599999999999</v>
      </c>
      <c r="X32" s="380">
        <v>25975.33</v>
      </c>
      <c r="Y32" s="380">
        <v>63065.599999999999</v>
      </c>
      <c r="Z32" s="380">
        <v>25559.1</v>
      </c>
      <c r="AA32" s="376" t="s">
        <v>304</v>
      </c>
      <c r="AB32" s="376" t="s">
        <v>305</v>
      </c>
      <c r="AC32" s="376" t="s">
        <v>306</v>
      </c>
      <c r="AD32" s="376" t="s">
        <v>307</v>
      </c>
      <c r="AE32" s="376" t="s">
        <v>303</v>
      </c>
      <c r="AF32" s="376" t="s">
        <v>218</v>
      </c>
      <c r="AG32" s="376" t="s">
        <v>198</v>
      </c>
      <c r="AH32" s="381">
        <v>30.32</v>
      </c>
      <c r="AI32" s="381">
        <v>65532.6</v>
      </c>
      <c r="AJ32" s="376" t="s">
        <v>199</v>
      </c>
      <c r="AK32" s="376" t="s">
        <v>200</v>
      </c>
      <c r="AL32" s="376" t="s">
        <v>172</v>
      </c>
      <c r="AM32" s="376" t="s">
        <v>201</v>
      </c>
      <c r="AN32" s="376" t="s">
        <v>68</v>
      </c>
      <c r="AO32" s="379">
        <v>80</v>
      </c>
      <c r="AP32" s="459">
        <v>1</v>
      </c>
      <c r="AQ32" s="459">
        <v>1</v>
      </c>
      <c r="AR32" s="458" t="s">
        <v>202</v>
      </c>
      <c r="AS32" s="461">
        <f t="shared" si="0"/>
        <v>1</v>
      </c>
      <c r="AT32">
        <f t="shared" si="1"/>
        <v>1</v>
      </c>
      <c r="AU32" s="461">
        <f>IF(AT32=0,"",IF(AND(AT32=1,M32="F",SUMIF(C2:C35,C32,AS2:AS35)&lt;=1),SUMIF(C2:C35,C32,AS2:AS35),IF(AND(AT32=1,M32="F",SUMIF(C2:C35,C32,AS2:AS35)&gt;1),1,"")))</f>
        <v>1</v>
      </c>
      <c r="AV32" s="461" t="str">
        <f>IF(AT32=0,"",IF(AND(AT32=3,M32="F",SUMIF(C2:C35,C32,AS2:AS35)&lt;=1),SUMIF(C2:C35,C32,AS2:AS35),IF(AND(AT32=3,M32="F",SUMIF(C2:C35,C32,AS2:AS35)&gt;1),1,"")))</f>
        <v/>
      </c>
      <c r="AW32" s="461">
        <f>SUMIF(C2:C35,C32,O2:O35)</f>
        <v>1</v>
      </c>
      <c r="AX32" s="461">
        <f>IF(AND(M32="F",AS32&lt;&gt;0),SUMIF(C2:C35,C32,W2:W35),0)</f>
        <v>63065.599999999999</v>
      </c>
      <c r="AY32" s="461">
        <f t="shared" si="2"/>
        <v>63065.599999999999</v>
      </c>
      <c r="AZ32" s="461" t="str">
        <f t="shared" si="3"/>
        <v/>
      </c>
      <c r="BA32" s="461">
        <f t="shared" si="4"/>
        <v>0</v>
      </c>
      <c r="BB32" s="461">
        <f>IF(AND(AT32=1,AK32="E",AU32&gt;=0.75,AW32=1),Health,IF(AND(AT32=1,AK32="E",AU32&gt;=0.75),Health*P32,IF(AND(AT32=1,AK32="E",AU32&gt;=0.5,AW32=1),PTHealth,IF(AND(AT32=1,AK32="E",AU32&gt;=0.5),PTHealth*P32,0))))</f>
        <v>11650</v>
      </c>
      <c r="BC32" s="461">
        <f>IF(AND(AT32=3,AK32="E",AV32&gt;=0.75,AW32=1),Health,IF(AND(AT32=3,AK32="E",AV32&gt;=0.75),Health*P32,IF(AND(AT32=3,AK32="E",AV32&gt;=0.5,AW32=1),PTHealth,IF(AND(AT32=3,AK32="E",AV32&gt;=0.5),PTHealth*P32,0))))</f>
        <v>0</v>
      </c>
      <c r="BD32" s="461">
        <f>IF(AND(AT32&lt;&gt;0,AX32&gt;=MAXSSDI),SSDI*MAXSSDI*P32,IF(AT32&lt;&gt;0,SSDI*W32,0))</f>
        <v>3910.0672</v>
      </c>
      <c r="BE32" s="461">
        <f>IF(AT32&lt;&gt;0,SSHI*W32,0)</f>
        <v>914.45119999999997</v>
      </c>
      <c r="BF32" s="461">
        <f>IF(AND(AT32&lt;&gt;0,AN32&lt;&gt;"NE"),VLOOKUP(AN32,Retirement_Rates,3,FALSE)*W32,0)</f>
        <v>7530.0326400000004</v>
      </c>
      <c r="BG32" s="461">
        <f>IF(AND(AT32&lt;&gt;0,AJ32&lt;&gt;"PF"),Life*W32,0)</f>
        <v>454.70297599999998</v>
      </c>
      <c r="BH32" s="461">
        <f>IF(AND(AT32&lt;&gt;0,AM32="Y"),UI*W32,0)</f>
        <v>309.02143999999998</v>
      </c>
      <c r="BI32" s="461">
        <f>IF(AND(AT32&lt;&gt;0,N32&lt;&gt;"NR"),DHR*W32,0)</f>
        <v>349.38342399999999</v>
      </c>
      <c r="BJ32" s="461">
        <f>IF(AT32&lt;&gt;0,WC*W32,0)</f>
        <v>857.69215999999994</v>
      </c>
      <c r="BK32" s="461">
        <f>IF(OR(AND(AT32&lt;&gt;0,AJ32&lt;&gt;"PF",AN32&lt;&gt;"NE",AG32&lt;&gt;"A"),AND(AL32="E",OR(AT32=1,AT32=3))),Sick*W32,0)</f>
        <v>0</v>
      </c>
      <c r="BL32" s="461">
        <f t="shared" si="5"/>
        <v>14325.351040000001</v>
      </c>
      <c r="BM32" s="461">
        <f t="shared" si="6"/>
        <v>0</v>
      </c>
      <c r="BN32" s="461">
        <f>IF(AND(AT32=1,AK32="E",AU32&gt;=0.75,AW32=1),HealthBY,IF(AND(AT32=1,AK32="E",AU32&gt;=0.75),HealthBY*P32,IF(AND(AT32=1,AK32="E",AU32&gt;=0.5,AW32=1),PTHealthBY,IF(AND(AT32=1,AK32="E",AU32&gt;=0.5),PTHealthBY*P32,0))))</f>
        <v>11650</v>
      </c>
      <c r="BO32" s="461">
        <f>IF(AND(AT32=3,AK32="E",AV32&gt;=0.75,AW32=1),HealthBY,IF(AND(AT32=3,AK32="E",AV32&gt;=0.75),HealthBY*P32,IF(AND(AT32=3,AK32="E",AV32&gt;=0.5,AW32=1),PTHealthBY,IF(AND(AT32=3,AK32="E",AV32&gt;=0.5),PTHealthBY*P32,0))))</f>
        <v>0</v>
      </c>
      <c r="BP32" s="461">
        <f>IF(AND(AT32&lt;&gt;0,(AX32+BA32)&gt;=MAXSSDIBY),SSDIBY*MAXSSDIBY*P32,IF(AT32&lt;&gt;0,SSDIBY*W32,0))</f>
        <v>3910.0672</v>
      </c>
      <c r="BQ32" s="461">
        <f>IF(AT32&lt;&gt;0,SSHIBY*W32,0)</f>
        <v>914.45119999999997</v>
      </c>
      <c r="BR32" s="461">
        <f>IF(AND(AT32&lt;&gt;0,AN32&lt;&gt;"NE"),VLOOKUP(AN32,Retirement_Rates,4,FALSE)*W32,0)</f>
        <v>7530.0326400000004</v>
      </c>
      <c r="BS32" s="461">
        <f>IF(AND(AT32&lt;&gt;0,AJ32&lt;&gt;"PF"),LifeBY*W32,0)</f>
        <v>454.70297599999998</v>
      </c>
      <c r="BT32" s="461">
        <f>IF(AND(AT32&lt;&gt;0,AM32="Y"),UIBY*W32,0)</f>
        <v>0</v>
      </c>
      <c r="BU32" s="461">
        <f>IF(AND(AT32&lt;&gt;0,N32&lt;&gt;"NR"),DHRBY*W32,0)</f>
        <v>349.38342399999999</v>
      </c>
      <c r="BV32" s="461">
        <f>IF(AT32&lt;&gt;0,WCBY*W32,0)</f>
        <v>750.48063999999999</v>
      </c>
      <c r="BW32" s="461">
        <f>IF(OR(AND(AT32&lt;&gt;0,AJ32&lt;&gt;"PF",AN32&lt;&gt;"NE",AG32&lt;&gt;"A"),AND(AL32="E",OR(AT32=1,AT32=3))),SickBY*W32,0)</f>
        <v>0</v>
      </c>
      <c r="BX32" s="461">
        <f t="shared" si="7"/>
        <v>13909.11808</v>
      </c>
      <c r="BY32" s="461">
        <f t="shared" si="8"/>
        <v>0</v>
      </c>
      <c r="BZ32" s="461">
        <f t="shared" si="9"/>
        <v>0</v>
      </c>
      <c r="CA32" s="461">
        <f t="shared" si="10"/>
        <v>0</v>
      </c>
      <c r="CB32" s="461">
        <f t="shared" si="11"/>
        <v>0</v>
      </c>
      <c r="CC32" s="461">
        <f>IF(AT32&lt;&gt;0,SSHICHG*Y32,0)</f>
        <v>0</v>
      </c>
      <c r="CD32" s="461">
        <f>IF(AND(AT32&lt;&gt;0,AN32&lt;&gt;"NE"),VLOOKUP(AN32,Retirement_Rates,5,FALSE)*Y32,0)</f>
        <v>0</v>
      </c>
      <c r="CE32" s="461">
        <f>IF(AND(AT32&lt;&gt;0,AJ32&lt;&gt;"PF"),LifeCHG*Y32,0)</f>
        <v>0</v>
      </c>
      <c r="CF32" s="461">
        <f>IF(AND(AT32&lt;&gt;0,AM32="Y"),UICHG*Y32,0)</f>
        <v>-309.02143999999998</v>
      </c>
      <c r="CG32" s="461">
        <f>IF(AND(AT32&lt;&gt;0,N32&lt;&gt;"NR"),DHRCHG*Y32,0)</f>
        <v>0</v>
      </c>
      <c r="CH32" s="461">
        <f>IF(AT32&lt;&gt;0,WCCHG*Y32,0)</f>
        <v>-107.21151999999989</v>
      </c>
      <c r="CI32" s="461">
        <f>IF(OR(AND(AT32&lt;&gt;0,AJ32&lt;&gt;"PF",AN32&lt;&gt;"NE",AG32&lt;&gt;"A"),AND(AL32="E",OR(AT32=1,AT32=3))),SickCHG*Y32,0)</f>
        <v>0</v>
      </c>
      <c r="CJ32" s="461">
        <f t="shared" si="12"/>
        <v>-416.23295999999988</v>
      </c>
      <c r="CK32" s="461" t="str">
        <f t="shared" si="13"/>
        <v/>
      </c>
      <c r="CL32" s="461" t="str">
        <f t="shared" si="14"/>
        <v/>
      </c>
      <c r="CM32" s="461" t="str">
        <f t="shared" si="15"/>
        <v/>
      </c>
      <c r="CN32" s="461" t="str">
        <f t="shared" si="16"/>
        <v>0522-00</v>
      </c>
    </row>
    <row r="33" spans="1:92" ht="15" thickBot="1" x14ac:dyDescent="0.35">
      <c r="A33" s="376" t="s">
        <v>161</v>
      </c>
      <c r="B33" s="376" t="s">
        <v>162</v>
      </c>
      <c r="C33" s="376" t="s">
        <v>253</v>
      </c>
      <c r="D33" s="376" t="s">
        <v>254</v>
      </c>
      <c r="E33" s="376" t="s">
        <v>300</v>
      </c>
      <c r="F33" s="377" t="s">
        <v>166</v>
      </c>
      <c r="G33" s="376" t="s">
        <v>167</v>
      </c>
      <c r="H33" s="378"/>
      <c r="I33" s="378"/>
      <c r="J33" s="376" t="s">
        <v>182</v>
      </c>
      <c r="K33" s="376" t="s">
        <v>255</v>
      </c>
      <c r="L33" s="376" t="s">
        <v>256</v>
      </c>
      <c r="M33" s="376" t="s">
        <v>192</v>
      </c>
      <c r="N33" s="376" t="s">
        <v>179</v>
      </c>
      <c r="O33" s="379">
        <v>1</v>
      </c>
      <c r="P33" s="459">
        <v>0.9</v>
      </c>
      <c r="Q33" s="459">
        <v>0.9</v>
      </c>
      <c r="R33" s="380">
        <v>80</v>
      </c>
      <c r="S33" s="459">
        <v>0.9</v>
      </c>
      <c r="T33" s="380">
        <v>31779.360000000001</v>
      </c>
      <c r="U33" s="380">
        <v>0</v>
      </c>
      <c r="V33" s="380">
        <v>16321.31</v>
      </c>
      <c r="W33" s="380">
        <v>38525.760000000002</v>
      </c>
      <c r="X33" s="380">
        <v>19236.09</v>
      </c>
      <c r="Y33" s="380">
        <v>38525.760000000002</v>
      </c>
      <c r="Z33" s="380">
        <v>18981.82</v>
      </c>
      <c r="AA33" s="376" t="s">
        <v>257</v>
      </c>
      <c r="AB33" s="376" t="s">
        <v>236</v>
      </c>
      <c r="AC33" s="376" t="s">
        <v>258</v>
      </c>
      <c r="AD33" s="376" t="s">
        <v>259</v>
      </c>
      <c r="AE33" s="376" t="s">
        <v>255</v>
      </c>
      <c r="AF33" s="376" t="s">
        <v>260</v>
      </c>
      <c r="AG33" s="376" t="s">
        <v>198</v>
      </c>
      <c r="AH33" s="381">
        <v>20.58</v>
      </c>
      <c r="AI33" s="379">
        <v>1443</v>
      </c>
      <c r="AJ33" s="376" t="s">
        <v>199</v>
      </c>
      <c r="AK33" s="376" t="s">
        <v>200</v>
      </c>
      <c r="AL33" s="376" t="s">
        <v>172</v>
      </c>
      <c r="AM33" s="376" t="s">
        <v>201</v>
      </c>
      <c r="AN33" s="376" t="s">
        <v>68</v>
      </c>
      <c r="AO33" s="379">
        <v>80</v>
      </c>
      <c r="AP33" s="459">
        <v>1</v>
      </c>
      <c r="AQ33" s="459">
        <v>0.9</v>
      </c>
      <c r="AR33" s="458" t="s">
        <v>202</v>
      </c>
      <c r="AS33" s="461">
        <f t="shared" si="0"/>
        <v>0.9</v>
      </c>
      <c r="AT33">
        <f t="shared" si="1"/>
        <v>1</v>
      </c>
      <c r="AU33" s="461">
        <f>IF(AT33=0,"",IF(AND(AT33=1,M33="F",SUMIF(C2:C35,C33,AS2:AS35)&lt;=1),SUMIF(C2:C35,C33,AS2:AS35),IF(AND(AT33=1,M33="F",SUMIF(C2:C35,C33,AS2:AS35)&gt;1),1,"")))</f>
        <v>1</v>
      </c>
      <c r="AV33" s="461" t="str">
        <f>IF(AT33=0,"",IF(AND(AT33=3,M33="F",SUMIF(C2:C35,C33,AS2:AS35)&lt;=1),SUMIF(C2:C35,C33,AS2:AS35),IF(AND(AT33=3,M33="F",SUMIF(C2:C35,C33,AS2:AS35)&gt;1),1,"")))</f>
        <v/>
      </c>
      <c r="AW33" s="461">
        <f>SUMIF(C2:C35,C33,O2:O35)</f>
        <v>2</v>
      </c>
      <c r="AX33" s="461">
        <f>IF(AND(M33="F",AS33&lt;&gt;0),SUMIF(C2:C35,C33,W2:W35),0)</f>
        <v>42806.400000000001</v>
      </c>
      <c r="AY33" s="461">
        <f t="shared" si="2"/>
        <v>38525.760000000002</v>
      </c>
      <c r="AZ33" s="461" t="str">
        <f t="shared" si="3"/>
        <v/>
      </c>
      <c r="BA33" s="461">
        <f t="shared" si="4"/>
        <v>0</v>
      </c>
      <c r="BB33" s="461">
        <f>IF(AND(AT33=1,AK33="E",AU33&gt;=0.75,AW33=1),Health,IF(AND(AT33=1,AK33="E",AU33&gt;=0.75),Health*P33,IF(AND(AT33=1,AK33="E",AU33&gt;=0.5,AW33=1),PTHealth,IF(AND(AT33=1,AK33="E",AU33&gt;=0.5),PTHealth*P33,0))))</f>
        <v>10485</v>
      </c>
      <c r="BC33" s="461">
        <f>IF(AND(AT33=3,AK33="E",AV33&gt;=0.75,AW33=1),Health,IF(AND(AT33=3,AK33="E",AV33&gt;=0.75),Health*P33,IF(AND(AT33=3,AK33="E",AV33&gt;=0.5,AW33=1),PTHealth,IF(AND(AT33=3,AK33="E",AV33&gt;=0.5),PTHealth*P33,0))))</f>
        <v>0</v>
      </c>
      <c r="BD33" s="461">
        <f>IF(AND(AT33&lt;&gt;0,AX33&gt;=MAXSSDI),SSDI*MAXSSDI*P33,IF(AT33&lt;&gt;0,SSDI*W33,0))</f>
        <v>2388.5971199999999</v>
      </c>
      <c r="BE33" s="461">
        <f>IF(AT33&lt;&gt;0,SSHI*W33,0)</f>
        <v>558.6235200000001</v>
      </c>
      <c r="BF33" s="461">
        <f>IF(AND(AT33&lt;&gt;0,AN33&lt;&gt;"NE"),VLOOKUP(AN33,Retirement_Rates,3,FALSE)*W33,0)</f>
        <v>4599.9757440000003</v>
      </c>
      <c r="BG33" s="461">
        <f>IF(AND(AT33&lt;&gt;0,AJ33&lt;&gt;"PF"),Life*W33,0)</f>
        <v>277.77072960000004</v>
      </c>
      <c r="BH33" s="461">
        <f>IF(AND(AT33&lt;&gt;0,AM33="Y"),UI*W33,0)</f>
        <v>188.77622400000001</v>
      </c>
      <c r="BI33" s="461">
        <f>IF(AND(AT33&lt;&gt;0,N33&lt;&gt;"NR"),DHR*W33,0)</f>
        <v>213.43271039999999</v>
      </c>
      <c r="BJ33" s="461">
        <f>IF(AT33&lt;&gt;0,WC*W33,0)</f>
        <v>523.95033599999999</v>
      </c>
      <c r="BK33" s="461">
        <f>IF(OR(AND(AT33&lt;&gt;0,AJ33&lt;&gt;"PF",AN33&lt;&gt;"NE",AG33&lt;&gt;"A"),AND(AL33="E",OR(AT33=1,AT33=3))),Sick*W33,0)</f>
        <v>0</v>
      </c>
      <c r="BL33" s="461">
        <f t="shared" si="5"/>
        <v>8751.1263840000011</v>
      </c>
      <c r="BM33" s="461">
        <f t="shared" si="6"/>
        <v>0</v>
      </c>
      <c r="BN33" s="461">
        <f>IF(AND(AT33=1,AK33="E",AU33&gt;=0.75,AW33=1),HealthBY,IF(AND(AT33=1,AK33="E",AU33&gt;=0.75),HealthBY*P33,IF(AND(AT33=1,AK33="E",AU33&gt;=0.5,AW33=1),PTHealthBY,IF(AND(AT33=1,AK33="E",AU33&gt;=0.5),PTHealthBY*P33,0))))</f>
        <v>10485</v>
      </c>
      <c r="BO33" s="461">
        <f>IF(AND(AT33=3,AK33="E",AV33&gt;=0.75,AW33=1),HealthBY,IF(AND(AT33=3,AK33="E",AV33&gt;=0.75),HealthBY*P33,IF(AND(AT33=3,AK33="E",AV33&gt;=0.5,AW33=1),PTHealthBY,IF(AND(AT33=3,AK33="E",AV33&gt;=0.5),PTHealthBY*P33,0))))</f>
        <v>0</v>
      </c>
      <c r="BP33" s="461">
        <f>IF(AND(AT33&lt;&gt;0,(AX33+BA33)&gt;=MAXSSDIBY),SSDIBY*MAXSSDIBY*P33,IF(AT33&lt;&gt;0,SSDIBY*W33,0))</f>
        <v>2388.5971199999999</v>
      </c>
      <c r="BQ33" s="461">
        <f>IF(AT33&lt;&gt;0,SSHIBY*W33,0)</f>
        <v>558.6235200000001</v>
      </c>
      <c r="BR33" s="461">
        <f>IF(AND(AT33&lt;&gt;0,AN33&lt;&gt;"NE"),VLOOKUP(AN33,Retirement_Rates,4,FALSE)*W33,0)</f>
        <v>4599.9757440000003</v>
      </c>
      <c r="BS33" s="461">
        <f>IF(AND(AT33&lt;&gt;0,AJ33&lt;&gt;"PF"),LifeBY*W33,0)</f>
        <v>277.77072960000004</v>
      </c>
      <c r="BT33" s="461">
        <f>IF(AND(AT33&lt;&gt;0,AM33="Y"),UIBY*W33,0)</f>
        <v>0</v>
      </c>
      <c r="BU33" s="461">
        <f>IF(AND(AT33&lt;&gt;0,N33&lt;&gt;"NR"),DHRBY*W33,0)</f>
        <v>213.43271039999999</v>
      </c>
      <c r="BV33" s="461">
        <f>IF(AT33&lt;&gt;0,WCBY*W33,0)</f>
        <v>458.45654400000006</v>
      </c>
      <c r="BW33" s="461">
        <f>IF(OR(AND(AT33&lt;&gt;0,AJ33&lt;&gt;"PF",AN33&lt;&gt;"NE",AG33&lt;&gt;"A"),AND(AL33="E",OR(AT33=1,AT33=3))),SickBY*W33,0)</f>
        <v>0</v>
      </c>
      <c r="BX33" s="461">
        <f t="shared" si="7"/>
        <v>8496.8563680000007</v>
      </c>
      <c r="BY33" s="461">
        <f t="shared" si="8"/>
        <v>0</v>
      </c>
      <c r="BZ33" s="461">
        <f t="shared" si="9"/>
        <v>0</v>
      </c>
      <c r="CA33" s="461">
        <f t="shared" si="10"/>
        <v>0</v>
      </c>
      <c r="CB33" s="461">
        <f t="shared" si="11"/>
        <v>0</v>
      </c>
      <c r="CC33" s="461">
        <f>IF(AT33&lt;&gt;0,SSHICHG*Y33,0)</f>
        <v>0</v>
      </c>
      <c r="CD33" s="461">
        <f>IF(AND(AT33&lt;&gt;0,AN33&lt;&gt;"NE"),VLOOKUP(AN33,Retirement_Rates,5,FALSE)*Y33,0)</f>
        <v>0</v>
      </c>
      <c r="CE33" s="461">
        <f>IF(AND(AT33&lt;&gt;0,AJ33&lt;&gt;"PF"),LifeCHG*Y33,0)</f>
        <v>0</v>
      </c>
      <c r="CF33" s="461">
        <f>IF(AND(AT33&lt;&gt;0,AM33="Y"),UICHG*Y33,0)</f>
        <v>-188.77622400000001</v>
      </c>
      <c r="CG33" s="461">
        <f>IF(AND(AT33&lt;&gt;0,N33&lt;&gt;"NR"),DHRCHG*Y33,0)</f>
        <v>0</v>
      </c>
      <c r="CH33" s="461">
        <f>IF(AT33&lt;&gt;0,WCCHG*Y33,0)</f>
        <v>-65.493791999999942</v>
      </c>
      <c r="CI33" s="461">
        <f>IF(OR(AND(AT33&lt;&gt;0,AJ33&lt;&gt;"PF",AN33&lt;&gt;"NE",AG33&lt;&gt;"A"),AND(AL33="E",OR(AT33=1,AT33=3))),SickCHG*Y33,0)</f>
        <v>0</v>
      </c>
      <c r="CJ33" s="461">
        <f t="shared" si="12"/>
        <v>-254.27001599999994</v>
      </c>
      <c r="CK33" s="461" t="str">
        <f t="shared" si="13"/>
        <v/>
      </c>
      <c r="CL33" s="461" t="str">
        <f t="shared" si="14"/>
        <v/>
      </c>
      <c r="CM33" s="461" t="str">
        <f t="shared" si="15"/>
        <v/>
      </c>
      <c r="CN33" s="461" t="str">
        <f t="shared" si="16"/>
        <v>0522-00</v>
      </c>
    </row>
    <row r="34" spans="1:92" ht="15" thickBot="1" x14ac:dyDescent="0.35">
      <c r="A34" s="376" t="s">
        <v>161</v>
      </c>
      <c r="B34" s="376" t="s">
        <v>162</v>
      </c>
      <c r="C34" s="376" t="s">
        <v>308</v>
      </c>
      <c r="D34" s="376" t="s">
        <v>204</v>
      </c>
      <c r="E34" s="376" t="s">
        <v>300</v>
      </c>
      <c r="F34" s="377" t="s">
        <v>166</v>
      </c>
      <c r="G34" s="376" t="s">
        <v>167</v>
      </c>
      <c r="H34" s="378"/>
      <c r="I34" s="378"/>
      <c r="J34" s="376" t="s">
        <v>168</v>
      </c>
      <c r="K34" s="376" t="s">
        <v>205</v>
      </c>
      <c r="L34" s="376" t="s">
        <v>206</v>
      </c>
      <c r="M34" s="376" t="s">
        <v>178</v>
      </c>
      <c r="N34" s="376" t="s">
        <v>283</v>
      </c>
      <c r="O34" s="379">
        <v>0</v>
      </c>
      <c r="P34" s="459">
        <v>1</v>
      </c>
      <c r="Q34" s="459">
        <v>0</v>
      </c>
      <c r="R34" s="380">
        <v>0</v>
      </c>
      <c r="S34" s="459">
        <v>0</v>
      </c>
      <c r="T34" s="380">
        <v>0</v>
      </c>
      <c r="U34" s="380">
        <v>0</v>
      </c>
      <c r="V34" s="380">
        <v>0</v>
      </c>
      <c r="W34" s="380">
        <v>0</v>
      </c>
      <c r="X34" s="380">
        <v>0</v>
      </c>
      <c r="Y34" s="380">
        <v>0</v>
      </c>
      <c r="Z34" s="380">
        <v>0</v>
      </c>
      <c r="AA34" s="378"/>
      <c r="AB34" s="376" t="s">
        <v>45</v>
      </c>
      <c r="AC34" s="376" t="s">
        <v>45</v>
      </c>
      <c r="AD34" s="378"/>
      <c r="AE34" s="378"/>
      <c r="AF34" s="378"/>
      <c r="AG34" s="378"/>
      <c r="AH34" s="379">
        <v>0</v>
      </c>
      <c r="AI34" s="379">
        <v>0</v>
      </c>
      <c r="AJ34" s="378"/>
      <c r="AK34" s="378"/>
      <c r="AL34" s="376" t="s">
        <v>172</v>
      </c>
      <c r="AM34" s="378"/>
      <c r="AN34" s="378"/>
      <c r="AO34" s="379">
        <v>0</v>
      </c>
      <c r="AP34" s="459">
        <v>0</v>
      </c>
      <c r="AQ34" s="459">
        <v>0</v>
      </c>
      <c r="AR34" s="457"/>
      <c r="AS34" s="461">
        <f t="shared" si="0"/>
        <v>0</v>
      </c>
      <c r="AT34">
        <f t="shared" si="1"/>
        <v>0</v>
      </c>
      <c r="AU34" s="461" t="str">
        <f>IF(AT34=0,"",IF(AND(AT34=1,M34="F",SUMIF(C2:C35,C34,AS2:AS35)&lt;=1),SUMIF(C2:C35,C34,AS2:AS35),IF(AND(AT34=1,M34="F",SUMIF(C2:C35,C34,AS2:AS35)&gt;1),1,"")))</f>
        <v/>
      </c>
      <c r="AV34" s="461" t="str">
        <f>IF(AT34=0,"",IF(AND(AT34=3,M34="F",SUMIF(C2:C35,C34,AS2:AS35)&lt;=1),SUMIF(C2:C35,C34,AS2:AS35),IF(AND(AT34=3,M34="F",SUMIF(C2:C35,C34,AS2:AS35)&gt;1),1,"")))</f>
        <v/>
      </c>
      <c r="AW34" s="461">
        <f>SUMIF(C2:C35,C34,O2:O35)</f>
        <v>0</v>
      </c>
      <c r="AX34" s="461">
        <f>IF(AND(M34="F",AS34&lt;&gt;0),SUMIF(C2:C35,C34,W2:W35),0)</f>
        <v>0</v>
      </c>
      <c r="AY34" s="461" t="str">
        <f t="shared" si="2"/>
        <v/>
      </c>
      <c r="AZ34" s="461" t="str">
        <f t="shared" si="3"/>
        <v/>
      </c>
      <c r="BA34" s="461">
        <f t="shared" si="4"/>
        <v>0</v>
      </c>
      <c r="BB34" s="461">
        <f>IF(AND(AT34=1,AK34="E",AU34&gt;=0.75,AW34=1),Health,IF(AND(AT34=1,AK34="E",AU34&gt;=0.75),Health*P34,IF(AND(AT34=1,AK34="E",AU34&gt;=0.5,AW34=1),PTHealth,IF(AND(AT34=1,AK34="E",AU34&gt;=0.5),PTHealth*P34,0))))</f>
        <v>0</v>
      </c>
      <c r="BC34" s="461">
        <f>IF(AND(AT34=3,AK34="E",AV34&gt;=0.75,AW34=1),Health,IF(AND(AT34=3,AK34="E",AV34&gt;=0.75),Health*P34,IF(AND(AT34=3,AK34="E",AV34&gt;=0.5,AW34=1),PTHealth,IF(AND(AT34=3,AK34="E",AV34&gt;=0.5),PTHealth*P34,0))))</f>
        <v>0</v>
      </c>
      <c r="BD34" s="461">
        <f>IF(AND(AT34&lt;&gt;0,AX34&gt;=MAXSSDI),SSDI*MAXSSDI*P34,IF(AT34&lt;&gt;0,SSDI*W34,0))</f>
        <v>0</v>
      </c>
      <c r="BE34" s="461">
        <f>IF(AT34&lt;&gt;0,SSHI*W34,0)</f>
        <v>0</v>
      </c>
      <c r="BF34" s="461">
        <f>IF(AND(AT34&lt;&gt;0,AN34&lt;&gt;"NE"),VLOOKUP(AN34,Retirement_Rates,3,FALSE)*W34,0)</f>
        <v>0</v>
      </c>
      <c r="BG34" s="461">
        <f>IF(AND(AT34&lt;&gt;0,AJ34&lt;&gt;"PF"),Life*W34,0)</f>
        <v>0</v>
      </c>
      <c r="BH34" s="461">
        <f>IF(AND(AT34&lt;&gt;0,AM34="Y"),UI*W34,0)</f>
        <v>0</v>
      </c>
      <c r="BI34" s="461">
        <f>IF(AND(AT34&lt;&gt;0,N34&lt;&gt;"NR"),DHR*W34,0)</f>
        <v>0</v>
      </c>
      <c r="BJ34" s="461">
        <f>IF(AT34&lt;&gt;0,WC*W34,0)</f>
        <v>0</v>
      </c>
      <c r="BK34" s="461">
        <f>IF(OR(AND(AT34&lt;&gt;0,AJ34&lt;&gt;"PF",AN34&lt;&gt;"NE",AG34&lt;&gt;"A"),AND(AL34="E",OR(AT34=1,AT34=3))),Sick*W34,0)</f>
        <v>0</v>
      </c>
      <c r="BL34" s="461">
        <f t="shared" si="5"/>
        <v>0</v>
      </c>
      <c r="BM34" s="461">
        <f t="shared" si="6"/>
        <v>0</v>
      </c>
      <c r="BN34" s="461">
        <f>IF(AND(AT34=1,AK34="E",AU34&gt;=0.75,AW34=1),HealthBY,IF(AND(AT34=1,AK34="E",AU34&gt;=0.75),HealthBY*P34,IF(AND(AT34=1,AK34="E",AU34&gt;=0.5,AW34=1),PTHealthBY,IF(AND(AT34=1,AK34="E",AU34&gt;=0.5),PTHealthBY*P34,0))))</f>
        <v>0</v>
      </c>
      <c r="BO34" s="461">
        <f>IF(AND(AT34=3,AK34="E",AV34&gt;=0.75,AW34=1),HealthBY,IF(AND(AT34=3,AK34="E",AV34&gt;=0.75),HealthBY*P34,IF(AND(AT34=3,AK34="E",AV34&gt;=0.5,AW34=1),PTHealthBY,IF(AND(AT34=3,AK34="E",AV34&gt;=0.5),PTHealthBY*P34,0))))</f>
        <v>0</v>
      </c>
      <c r="BP34" s="461">
        <f>IF(AND(AT34&lt;&gt;0,(AX34+BA34)&gt;=MAXSSDIBY),SSDIBY*MAXSSDIBY*P34,IF(AT34&lt;&gt;0,SSDIBY*W34,0))</f>
        <v>0</v>
      </c>
      <c r="BQ34" s="461">
        <f>IF(AT34&lt;&gt;0,SSHIBY*W34,0)</f>
        <v>0</v>
      </c>
      <c r="BR34" s="461">
        <f>IF(AND(AT34&lt;&gt;0,AN34&lt;&gt;"NE"),VLOOKUP(AN34,Retirement_Rates,4,FALSE)*W34,0)</f>
        <v>0</v>
      </c>
      <c r="BS34" s="461">
        <f>IF(AND(AT34&lt;&gt;0,AJ34&lt;&gt;"PF"),LifeBY*W34,0)</f>
        <v>0</v>
      </c>
      <c r="BT34" s="461">
        <f>IF(AND(AT34&lt;&gt;0,AM34="Y"),UIBY*W34,0)</f>
        <v>0</v>
      </c>
      <c r="BU34" s="461">
        <f>IF(AND(AT34&lt;&gt;0,N34&lt;&gt;"NR"),DHRBY*W34,0)</f>
        <v>0</v>
      </c>
      <c r="BV34" s="461">
        <f>IF(AT34&lt;&gt;0,WCBY*W34,0)</f>
        <v>0</v>
      </c>
      <c r="BW34" s="461">
        <f>IF(OR(AND(AT34&lt;&gt;0,AJ34&lt;&gt;"PF",AN34&lt;&gt;"NE",AG34&lt;&gt;"A"),AND(AL34="E",OR(AT34=1,AT34=3))),SickBY*W34,0)</f>
        <v>0</v>
      </c>
      <c r="BX34" s="461">
        <f t="shared" si="7"/>
        <v>0</v>
      </c>
      <c r="BY34" s="461">
        <f t="shared" si="8"/>
        <v>0</v>
      </c>
      <c r="BZ34" s="461">
        <f t="shared" si="9"/>
        <v>0</v>
      </c>
      <c r="CA34" s="461">
        <f t="shared" si="10"/>
        <v>0</v>
      </c>
      <c r="CB34" s="461">
        <f t="shared" si="11"/>
        <v>0</v>
      </c>
      <c r="CC34" s="461">
        <f>IF(AT34&lt;&gt;0,SSHICHG*Y34,0)</f>
        <v>0</v>
      </c>
      <c r="CD34" s="461">
        <f>IF(AND(AT34&lt;&gt;0,AN34&lt;&gt;"NE"),VLOOKUP(AN34,Retirement_Rates,5,FALSE)*Y34,0)</f>
        <v>0</v>
      </c>
      <c r="CE34" s="461">
        <f>IF(AND(AT34&lt;&gt;0,AJ34&lt;&gt;"PF"),LifeCHG*Y34,0)</f>
        <v>0</v>
      </c>
      <c r="CF34" s="461">
        <f>IF(AND(AT34&lt;&gt;0,AM34="Y"),UICHG*Y34,0)</f>
        <v>0</v>
      </c>
      <c r="CG34" s="461">
        <f>IF(AND(AT34&lt;&gt;0,N34&lt;&gt;"NR"),DHRCHG*Y34,0)</f>
        <v>0</v>
      </c>
      <c r="CH34" s="461">
        <f>IF(AT34&lt;&gt;0,WCCHG*Y34,0)</f>
        <v>0</v>
      </c>
      <c r="CI34" s="461">
        <f>IF(OR(AND(AT34&lt;&gt;0,AJ34&lt;&gt;"PF",AN34&lt;&gt;"NE",AG34&lt;&gt;"A"),AND(AL34="E",OR(AT34=1,AT34=3))),SickCHG*Y34,0)</f>
        <v>0</v>
      </c>
      <c r="CJ34" s="461">
        <f t="shared" si="12"/>
        <v>0</v>
      </c>
      <c r="CK34" s="461" t="str">
        <f t="shared" si="13"/>
        <v/>
      </c>
      <c r="CL34" s="461">
        <f t="shared" si="14"/>
        <v>0</v>
      </c>
      <c r="CM34" s="461">
        <f t="shared" si="15"/>
        <v>0</v>
      </c>
      <c r="CN34" s="461" t="str">
        <f t="shared" si="16"/>
        <v>0522-00</v>
      </c>
    </row>
    <row r="35" spans="1:92" ht="15" thickBot="1" x14ac:dyDescent="0.35">
      <c r="A35" s="376" t="s">
        <v>161</v>
      </c>
      <c r="B35" s="376" t="s">
        <v>162</v>
      </c>
      <c r="C35" s="376" t="s">
        <v>297</v>
      </c>
      <c r="D35" s="376" t="s">
        <v>298</v>
      </c>
      <c r="E35" s="376" t="s">
        <v>300</v>
      </c>
      <c r="F35" s="377" t="s">
        <v>166</v>
      </c>
      <c r="G35" s="376" t="s">
        <v>167</v>
      </c>
      <c r="H35" s="378"/>
      <c r="I35" s="378"/>
      <c r="J35" s="376" t="s">
        <v>182</v>
      </c>
      <c r="K35" s="376" t="s">
        <v>299</v>
      </c>
      <c r="L35" s="376" t="s">
        <v>166</v>
      </c>
      <c r="M35" s="376" t="s">
        <v>192</v>
      </c>
      <c r="N35" s="376" t="s">
        <v>283</v>
      </c>
      <c r="O35" s="379">
        <v>0</v>
      </c>
      <c r="P35" s="459">
        <v>0.1</v>
      </c>
      <c r="Q35" s="459">
        <v>0</v>
      </c>
      <c r="R35" s="380">
        <v>0</v>
      </c>
      <c r="S35" s="459">
        <v>0</v>
      </c>
      <c r="T35" s="380">
        <v>370</v>
      </c>
      <c r="U35" s="380">
        <v>0</v>
      </c>
      <c r="V35" s="380">
        <v>30.84</v>
      </c>
      <c r="W35" s="380">
        <v>370</v>
      </c>
      <c r="X35" s="380">
        <v>30.17</v>
      </c>
      <c r="Y35" s="380">
        <v>370</v>
      </c>
      <c r="Z35" s="380">
        <v>30.17</v>
      </c>
      <c r="AA35" s="378"/>
      <c r="AB35" s="376" t="s">
        <v>45</v>
      </c>
      <c r="AC35" s="376" t="s">
        <v>45</v>
      </c>
      <c r="AD35" s="378"/>
      <c r="AE35" s="378"/>
      <c r="AF35" s="378"/>
      <c r="AG35" s="378"/>
      <c r="AH35" s="379">
        <v>0</v>
      </c>
      <c r="AI35" s="379">
        <v>0</v>
      </c>
      <c r="AJ35" s="378"/>
      <c r="AK35" s="378"/>
      <c r="AL35" s="376" t="s">
        <v>172</v>
      </c>
      <c r="AM35" s="378"/>
      <c r="AN35" s="378"/>
      <c r="AO35" s="379">
        <v>0</v>
      </c>
      <c r="AP35" s="459">
        <v>0</v>
      </c>
      <c r="AQ35" s="459">
        <v>0</v>
      </c>
      <c r="AR35" s="457"/>
      <c r="AS35" s="461">
        <f t="shared" si="0"/>
        <v>0</v>
      </c>
      <c r="AT35">
        <f t="shared" si="1"/>
        <v>0</v>
      </c>
      <c r="AU35" s="461" t="str">
        <f>IF(AT35=0,"",IF(AND(AT35=1,M35="F",SUMIF(C2:C35,C35,AS2:AS35)&lt;=1),SUMIF(C2:C35,C35,AS2:AS35),IF(AND(AT35=1,M35="F",SUMIF(C2:C35,C35,AS2:AS35)&gt;1),1,"")))</f>
        <v/>
      </c>
      <c r="AV35" s="461" t="str">
        <f>IF(AT35=0,"",IF(AND(AT35=3,M35="F",SUMIF(C2:C35,C35,AS2:AS35)&lt;=1),SUMIF(C2:C35,C35,AS2:AS35),IF(AND(AT35=3,M35="F",SUMIF(C2:C35,C35,AS2:AS35)&gt;1),1,"")))</f>
        <v/>
      </c>
      <c r="AW35" s="461">
        <f>SUMIF(C2:C35,C35,O2:O35)</f>
        <v>0</v>
      </c>
      <c r="AX35" s="461">
        <f>IF(AND(M35="F",AS35&lt;&gt;0),SUMIF(C2:C35,C35,W2:W35),0)</f>
        <v>0</v>
      </c>
      <c r="AY35" s="461" t="str">
        <f t="shared" si="2"/>
        <v/>
      </c>
      <c r="AZ35" s="461" t="str">
        <f t="shared" si="3"/>
        <v/>
      </c>
      <c r="BA35" s="461">
        <f t="shared" si="4"/>
        <v>0</v>
      </c>
      <c r="BB35" s="461">
        <f>IF(AND(AT35=1,AK35="E",AU35&gt;=0.75,AW35=1),Health,IF(AND(AT35=1,AK35="E",AU35&gt;=0.75),Health*P35,IF(AND(AT35=1,AK35="E",AU35&gt;=0.5,AW35=1),PTHealth,IF(AND(AT35=1,AK35="E",AU35&gt;=0.5),PTHealth*P35,0))))</f>
        <v>0</v>
      </c>
      <c r="BC35" s="461">
        <f>IF(AND(AT35=3,AK35="E",AV35&gt;=0.75,AW35=1),Health,IF(AND(AT35=3,AK35="E",AV35&gt;=0.75),Health*P35,IF(AND(AT35=3,AK35="E",AV35&gt;=0.5,AW35=1),PTHealth,IF(AND(AT35=3,AK35="E",AV35&gt;=0.5),PTHealth*P35,0))))</f>
        <v>0</v>
      </c>
      <c r="BD35" s="461">
        <f>IF(AND(AT35&lt;&gt;0,AX35&gt;=MAXSSDI),SSDI*MAXSSDI*P35,IF(AT35&lt;&gt;0,SSDI*W35,0))</f>
        <v>0</v>
      </c>
      <c r="BE35" s="461">
        <f>IF(AT35&lt;&gt;0,SSHI*W35,0)</f>
        <v>0</v>
      </c>
      <c r="BF35" s="461">
        <f>IF(AND(AT35&lt;&gt;0,AN35&lt;&gt;"NE"),VLOOKUP(AN35,Retirement_Rates,3,FALSE)*W35,0)</f>
        <v>0</v>
      </c>
      <c r="BG35" s="461">
        <f>IF(AND(AT35&lt;&gt;0,AJ35&lt;&gt;"PF"),Life*W35,0)</f>
        <v>0</v>
      </c>
      <c r="BH35" s="461">
        <f>IF(AND(AT35&lt;&gt;0,AM35="Y"),UI*W35,0)</f>
        <v>0</v>
      </c>
      <c r="BI35" s="461">
        <f>IF(AND(AT35&lt;&gt;0,N35&lt;&gt;"NR"),DHR*W35,0)</f>
        <v>0</v>
      </c>
      <c r="BJ35" s="461">
        <f>IF(AT35&lt;&gt;0,WC*W35,0)</f>
        <v>0</v>
      </c>
      <c r="BK35" s="461">
        <f>IF(OR(AND(AT35&lt;&gt;0,AJ35&lt;&gt;"PF",AN35&lt;&gt;"NE",AG35&lt;&gt;"A"),AND(AL35="E",OR(AT35=1,AT35=3))),Sick*W35,0)</f>
        <v>0</v>
      </c>
      <c r="BL35" s="461">
        <f t="shared" si="5"/>
        <v>0</v>
      </c>
      <c r="BM35" s="461">
        <f t="shared" si="6"/>
        <v>0</v>
      </c>
      <c r="BN35" s="461">
        <f>IF(AND(AT35=1,AK35="E",AU35&gt;=0.75,AW35=1),HealthBY,IF(AND(AT35=1,AK35="E",AU35&gt;=0.75),HealthBY*P35,IF(AND(AT35=1,AK35="E",AU35&gt;=0.5,AW35=1),PTHealthBY,IF(AND(AT35=1,AK35="E",AU35&gt;=0.5),PTHealthBY*P35,0))))</f>
        <v>0</v>
      </c>
      <c r="BO35" s="461">
        <f>IF(AND(AT35=3,AK35="E",AV35&gt;=0.75,AW35=1),HealthBY,IF(AND(AT35=3,AK35="E",AV35&gt;=0.75),HealthBY*P35,IF(AND(AT35=3,AK35="E",AV35&gt;=0.5,AW35=1),PTHealthBY,IF(AND(AT35=3,AK35="E",AV35&gt;=0.5),PTHealthBY*P35,0))))</f>
        <v>0</v>
      </c>
      <c r="BP35" s="461">
        <f>IF(AND(AT35&lt;&gt;0,(AX35+BA35)&gt;=MAXSSDIBY),SSDIBY*MAXSSDIBY*P35,IF(AT35&lt;&gt;0,SSDIBY*W35,0))</f>
        <v>0</v>
      </c>
      <c r="BQ35" s="461">
        <f>IF(AT35&lt;&gt;0,SSHIBY*W35,0)</f>
        <v>0</v>
      </c>
      <c r="BR35" s="461">
        <f>IF(AND(AT35&lt;&gt;0,AN35&lt;&gt;"NE"),VLOOKUP(AN35,Retirement_Rates,4,FALSE)*W35,0)</f>
        <v>0</v>
      </c>
      <c r="BS35" s="461">
        <f>IF(AND(AT35&lt;&gt;0,AJ35&lt;&gt;"PF"),LifeBY*W35,0)</f>
        <v>0</v>
      </c>
      <c r="BT35" s="461">
        <f>IF(AND(AT35&lt;&gt;0,AM35="Y"),UIBY*W35,0)</f>
        <v>0</v>
      </c>
      <c r="BU35" s="461">
        <f>IF(AND(AT35&lt;&gt;0,N35&lt;&gt;"NR"),DHRBY*W35,0)</f>
        <v>0</v>
      </c>
      <c r="BV35" s="461">
        <f>IF(AT35&lt;&gt;0,WCBY*W35,0)</f>
        <v>0</v>
      </c>
      <c r="BW35" s="461">
        <f>IF(OR(AND(AT35&lt;&gt;0,AJ35&lt;&gt;"PF",AN35&lt;&gt;"NE",AG35&lt;&gt;"A"),AND(AL35="E",OR(AT35=1,AT35=3))),SickBY*W35,0)</f>
        <v>0</v>
      </c>
      <c r="BX35" s="461">
        <f t="shared" si="7"/>
        <v>0</v>
      </c>
      <c r="BY35" s="461">
        <f t="shared" si="8"/>
        <v>0</v>
      </c>
      <c r="BZ35" s="461">
        <f t="shared" si="9"/>
        <v>0</v>
      </c>
      <c r="CA35" s="461">
        <f t="shared" si="10"/>
        <v>0</v>
      </c>
      <c r="CB35" s="461">
        <f t="shared" si="11"/>
        <v>0</v>
      </c>
      <c r="CC35" s="461">
        <f>IF(AT35&lt;&gt;0,SSHICHG*Y35,0)</f>
        <v>0</v>
      </c>
      <c r="CD35" s="461">
        <f>IF(AND(AT35&lt;&gt;0,AN35&lt;&gt;"NE"),VLOOKUP(AN35,Retirement_Rates,5,FALSE)*Y35,0)</f>
        <v>0</v>
      </c>
      <c r="CE35" s="461">
        <f>IF(AND(AT35&lt;&gt;0,AJ35&lt;&gt;"PF"),LifeCHG*Y35,0)</f>
        <v>0</v>
      </c>
      <c r="CF35" s="461">
        <f>IF(AND(AT35&lt;&gt;0,AM35="Y"),UICHG*Y35,0)</f>
        <v>0</v>
      </c>
      <c r="CG35" s="461">
        <f>IF(AND(AT35&lt;&gt;0,N35&lt;&gt;"NR"),DHRCHG*Y35,0)</f>
        <v>0</v>
      </c>
      <c r="CH35" s="461">
        <f>IF(AT35&lt;&gt;0,WCCHG*Y35,0)</f>
        <v>0</v>
      </c>
      <c r="CI35" s="461">
        <f>IF(OR(AND(AT35&lt;&gt;0,AJ35&lt;&gt;"PF",AN35&lt;&gt;"NE",AG35&lt;&gt;"A"),AND(AL35="E",OR(AT35=1,AT35=3))),SickCHG*Y35,0)</f>
        <v>0</v>
      </c>
      <c r="CJ35" s="461">
        <f t="shared" si="12"/>
        <v>0</v>
      </c>
      <c r="CK35" s="461" t="str">
        <f t="shared" si="13"/>
        <v/>
      </c>
      <c r="CL35" s="461">
        <f t="shared" si="14"/>
        <v>370</v>
      </c>
      <c r="CM35" s="461">
        <f t="shared" si="15"/>
        <v>30.84</v>
      </c>
      <c r="CN35" s="461" t="str">
        <f t="shared" si="16"/>
        <v>0522-00</v>
      </c>
    </row>
    <row r="37" spans="1:92" ht="21" x14ac:dyDescent="0.4">
      <c r="AQ37" s="251" t="s">
        <v>371</v>
      </c>
    </row>
    <row r="38" spans="1:92" ht="15" thickBot="1" x14ac:dyDescent="0.35">
      <c r="AR38" t="s">
        <v>357</v>
      </c>
      <c r="AS38" s="461">
        <f>SUMIFS(AS2:AS35,G2:G35,"SWCC",E2:E35,"0001",F2:F35,"00",AT2:AT35,1)</f>
        <v>12.3925</v>
      </c>
      <c r="AT38" s="461">
        <f>SUMIFS(AS2:AS35,G2:G35,"SWCC",E2:E35,"0001",F2:F35,"00",AT2:AT35,3)</f>
        <v>0</v>
      </c>
      <c r="AU38" s="461">
        <f>SUMIFS(AU2:AU35,G2:G35,"SWCC",E2:E35,"0001",F2:F35,"00")</f>
        <v>13.5625</v>
      </c>
      <c r="AV38" s="461">
        <f>SUMIFS(AV2:AV35,G2:G35,"SWCC",E2:E35,"0001",F2:F35,"00")</f>
        <v>0</v>
      </c>
      <c r="AW38" s="461">
        <f>SUMIFS(AW2:AW35,G2:G35,"SWCC",E2:E35,"0001",F2:F35,"00")</f>
        <v>17</v>
      </c>
      <c r="AX38" s="461">
        <f>SUMIFS(AX2:AX35,G2:G35,"SWCC",E2:E35,"0001",F2:F35,"00")</f>
        <v>729271.28999999992</v>
      </c>
      <c r="AY38" s="461">
        <f>SUMIFS(AY2:AY35,G2:G35,"SWCC",E2:E35,"0001",F2:F35,"00")</f>
        <v>677112.59000000008</v>
      </c>
      <c r="AZ38" s="461">
        <f>SUMIFS(AZ2:AZ35,G2:G35,"SWCC",E2:E35,"0001",F2:F35,"00")</f>
        <v>0</v>
      </c>
      <c r="BA38" s="461">
        <f>SUMIFS(BA2:BA35,G2:G35,"SWCC",E2:E35,"0001",F2:F35,"00")</f>
        <v>0</v>
      </c>
      <c r="BB38" s="461">
        <f>SUMIFS(BB2:BB35,G2:G35,"SWCC",E2:E35,"0001",F2:F35,"00")</f>
        <v>147139.5</v>
      </c>
      <c r="BC38" s="461">
        <f>SUMIFS(BC2:BC35,G2:G35,"SWCC",E2:E35,"0001",F2:F35,"00")</f>
        <v>0</v>
      </c>
      <c r="BD38" s="461">
        <f>SUMIFS(BD2:BD35,G2:G35,"SWCC",E2:E35,"0001",F2:F35,"00")</f>
        <v>41980.980579999996</v>
      </c>
      <c r="BE38" s="461">
        <f>SUMIFS(BE2:BE35,G2:G35,"SWCC",E2:E35,"0001",F2:F35,"00")</f>
        <v>9818.1325549999983</v>
      </c>
      <c r="BF38" s="461">
        <f>SUMIFS(BF2:BF35,G2:G35,"SWCC",E2:E35,"0001",F2:F35,"00")</f>
        <v>80847.243246000013</v>
      </c>
      <c r="BG38" s="461">
        <f>SUMIFS(BG2:BG35,G2:G35,"SWCC",E2:E35,"0001",F2:F35,"00")</f>
        <v>4881.9817739</v>
      </c>
      <c r="BH38" s="461">
        <f>SUMIFS(BH2:BH35,G2:G35,"SWCC",E2:E35,"0001",F2:F35,"00")</f>
        <v>3317.8516909999994</v>
      </c>
      <c r="BI38" s="461">
        <f>SUMIFS(BI2:BI35,G2:G35,"SWCC",E2:E35,"0001",F2:F35,"00")</f>
        <v>3751.2037485999995</v>
      </c>
      <c r="BJ38" s="461">
        <f>SUMIFS(BJ2:BJ35,G2:G35,"SWCC",E2:E35,"0001",F2:F35,"00")</f>
        <v>9208.7312239999992</v>
      </c>
      <c r="BK38" s="461">
        <f>SUMIFS(BK2:BK35,G2:G35,"SWCC",E2:E35,"0001",F2:F35,"00")</f>
        <v>0</v>
      </c>
      <c r="BL38" s="461">
        <f>SUMIFS(BL2:BL35,G2:G35,"SWCC",E2:E35,"0001",F2:F35,"00")</f>
        <v>153806.12481850001</v>
      </c>
      <c r="BM38" s="461">
        <f>SUMIFS(BM2:BM35,G2:G35,"SWCC",E2:E35,"0001",F2:F35,"00")</f>
        <v>0</v>
      </c>
      <c r="BN38" s="461">
        <f>SUMIFS(BN2:BN35,G2:G35,"SWCC",E2:E35,"0001",F2:F35,"00")</f>
        <v>147139.5</v>
      </c>
      <c r="BO38" s="461">
        <f>SUMIFS(BO2:BO35,G2:G35,"SWCC",E2:E35,"0001",F2:F35,"00")</f>
        <v>0</v>
      </c>
      <c r="BP38" s="461">
        <f>SUMIFS(BP2:BP35,G2:G35,"SWCC",E2:E35,"0001",F2:F35,"00")</f>
        <v>41980.980579999996</v>
      </c>
      <c r="BQ38" s="461">
        <f>SUMIFS(BQ2:BQ35,G2:G35,"SWCC",E2:E35,"0001",F2:F35,"00")</f>
        <v>9818.1325549999983</v>
      </c>
      <c r="BR38" s="461">
        <f>SUMIFS(BR2:BR35,G2:G35,"SWCC",E2:E35,"0001",F2:F35,"00")</f>
        <v>80847.243246000013</v>
      </c>
      <c r="BS38" s="461">
        <f>SUMIFS(BS2:BS35,G2:G35,"SWCC",E2:E35,"0001",F2:F35,"00")</f>
        <v>4881.9817739</v>
      </c>
      <c r="BT38" s="461">
        <f>SUMIFS(BT2:BT35,G2:G35,"SWCC",E2:E35,"0001",F2:F35,"00")</f>
        <v>0</v>
      </c>
      <c r="BU38" s="461">
        <f>SUMIFS(BU2:BU35,G2:G35,"SWCC",E2:E35,"0001",F2:F35,"00")</f>
        <v>3751.2037485999995</v>
      </c>
      <c r="BV38" s="461">
        <f>SUMIFS(BV2:BV35,G2:G35,"SWCC",E2:E35,"0001",F2:F35,"00")</f>
        <v>8057.6398209999998</v>
      </c>
      <c r="BW38" s="461">
        <f>SUMIFS(BW2:BW35,G2:G35,"SWCC",E2:E35,"0001",F2:F35,"00")</f>
        <v>0</v>
      </c>
      <c r="BX38" s="461">
        <f>SUMIFS(BX2:BX35,G2:G35,"SWCC",E2:E35,"0001",F2:F35,"00")</f>
        <v>149337.1817245</v>
      </c>
      <c r="BY38" s="461">
        <f>SUMIFS(BY2:BY35,G2:G35,"SWCC",E2:E35,"0001",F2:F35,"00")</f>
        <v>0</v>
      </c>
      <c r="BZ38" s="461">
        <f>SUMIFS(BZ2:BZ35,G2:G35,"SWCC",E2:E35,"0001",F2:F35,"00")</f>
        <v>0</v>
      </c>
      <c r="CA38" s="461">
        <f>SUMIFS(CA2:CA35,G2:G35,"SWCC",E2:E35,"0001",F2:F35,"00")</f>
        <v>0</v>
      </c>
      <c r="CB38" s="461">
        <f>SUMIFS(CB2:CB35,G2:G35,"SWCC",E2:E35,"0001",F2:F35,"00")</f>
        <v>0</v>
      </c>
      <c r="CC38" s="461">
        <f>SUMIFS(CC2:CC35,G2:G35,"SWCC",E2:E35,"0001",F2:F35,"00")</f>
        <v>0</v>
      </c>
      <c r="CD38" s="461">
        <f>SUMIFS(CD2:CD35,G2:G35,"SWCC",E2:E35,"0001",F2:F35,"00")</f>
        <v>0</v>
      </c>
      <c r="CE38" s="461">
        <f>SUMIFS(CE2:CE35,G2:G35,"SWCC",E2:E35,"0001",F2:F35,"00")</f>
        <v>0</v>
      </c>
      <c r="CF38" s="461">
        <f>SUMIFS(CF2:CF35,G2:G35,"SWCC",E2:E35,"0001",F2:F35,"00")</f>
        <v>-3317.8516909999994</v>
      </c>
      <c r="CG38" s="461">
        <f>SUMIFS(CG2:CG35,G2:G35,"SWCC",E2:E35,"0001",F2:F35,"00")</f>
        <v>0</v>
      </c>
      <c r="CH38" s="461">
        <f>SUMIFS(CH2:CH35,G2:G35,"SWCC",E2:E35,"0001",F2:F35,"00")</f>
        <v>-1151.091402999999</v>
      </c>
      <c r="CI38" s="461">
        <f>SUMIFS(CI2:CI35,G2:G35,"SWCC",E2:E35,"0001",F2:F35,"00")</f>
        <v>0</v>
      </c>
      <c r="CJ38" s="461">
        <f>SUMIFS(CJ2:CJ35,G2:G35,"SWCC",E2:E35,"0001",F2:F35,"00")</f>
        <v>-4468.9430939999984</v>
      </c>
      <c r="CK38" s="461">
        <f>SUMIFS(CK2:CK35,G2:G35,"SWCC",E2:E35,"0001",F2:F35,"00")</f>
        <v>0</v>
      </c>
      <c r="CL38" s="461">
        <f>SUMIFS(CL2:CL35,G2:G35,"SWCC",E2:E35,"0001",F2:F35,"00")</f>
        <v>5724</v>
      </c>
      <c r="CM38" s="461">
        <f>SUMIFS(CM2:CM35,G2:G35,"SWCC",E2:E35,"0001",F2:F35,"00")</f>
        <v>467.59999999999997</v>
      </c>
    </row>
    <row r="39" spans="1:92" ht="18" x14ac:dyDescent="0.35">
      <c r="AQ39" s="467" t="s">
        <v>358</v>
      </c>
      <c r="AS39" s="468">
        <f>SUM(AS38:AS38)</f>
        <v>12.3925</v>
      </c>
      <c r="AT39" s="468">
        <f>SUM(AT38:AT38)</f>
        <v>0</v>
      </c>
      <c r="AU39" s="468">
        <f>SUM(AU38:AU38)</f>
        <v>13.5625</v>
      </c>
      <c r="AV39" s="468">
        <f>SUM(AV38:AV38)</f>
        <v>0</v>
      </c>
      <c r="AW39" s="468">
        <f>SUM(AW38:AW38)</f>
        <v>17</v>
      </c>
      <c r="AX39" s="468">
        <f>SUM(AX38:AX38)</f>
        <v>729271.28999999992</v>
      </c>
      <c r="AY39" s="468">
        <f>SUM(AY38:AY38)</f>
        <v>677112.59000000008</v>
      </c>
      <c r="AZ39" s="468">
        <f>SUM(AZ38:AZ38)</f>
        <v>0</v>
      </c>
      <c r="BA39" s="468">
        <f>SUM(BA38:BA38)</f>
        <v>0</v>
      </c>
      <c r="BB39" s="468">
        <f>SUM(BB38:BB38)</f>
        <v>147139.5</v>
      </c>
      <c r="BC39" s="468">
        <f>SUM(BC38:BC38)</f>
        <v>0</v>
      </c>
      <c r="BD39" s="468">
        <f>SUM(BD38:BD38)</f>
        <v>41980.980579999996</v>
      </c>
      <c r="BE39" s="468">
        <f>SUM(BE38:BE38)</f>
        <v>9818.1325549999983</v>
      </c>
      <c r="BF39" s="468">
        <f>SUM(BF38:BF38)</f>
        <v>80847.243246000013</v>
      </c>
      <c r="BG39" s="468">
        <f>SUM(BG38:BG38)</f>
        <v>4881.9817739</v>
      </c>
      <c r="BH39" s="468">
        <f>SUM(BH38:BH38)</f>
        <v>3317.8516909999994</v>
      </c>
      <c r="BI39" s="468">
        <f>SUM(BI38:BI38)</f>
        <v>3751.2037485999995</v>
      </c>
      <c r="BJ39" s="468">
        <f>SUM(BJ38:BJ38)</f>
        <v>9208.7312239999992</v>
      </c>
      <c r="BK39" s="468">
        <f>SUM(BK38:BK38)</f>
        <v>0</v>
      </c>
      <c r="BL39" s="468">
        <f>SUM(BL38:BL38)</f>
        <v>153806.12481850001</v>
      </c>
      <c r="BM39" s="468">
        <f>SUM(BM38:BM38)</f>
        <v>0</v>
      </c>
      <c r="BN39" s="468">
        <f>SUM(BN38:BN38)</f>
        <v>147139.5</v>
      </c>
      <c r="BO39" s="468">
        <f>SUM(BO38:BO38)</f>
        <v>0</v>
      </c>
      <c r="BP39" s="468">
        <f>SUM(BP38:BP38)</f>
        <v>41980.980579999996</v>
      </c>
      <c r="BQ39" s="468">
        <f>SUM(BQ38:BQ38)</f>
        <v>9818.1325549999983</v>
      </c>
      <c r="BR39" s="468">
        <f>SUM(BR38:BR38)</f>
        <v>80847.243246000013</v>
      </c>
      <c r="BS39" s="468">
        <f>SUM(BS38:BS38)</f>
        <v>4881.9817739</v>
      </c>
      <c r="BT39" s="468">
        <f>SUM(BT38:BT38)</f>
        <v>0</v>
      </c>
      <c r="BU39" s="468">
        <f>SUM(BU38:BU38)</f>
        <v>3751.2037485999995</v>
      </c>
      <c r="BV39" s="468">
        <f>SUM(BV38:BV38)</f>
        <v>8057.6398209999998</v>
      </c>
      <c r="BW39" s="468">
        <f>SUM(BW38:BW38)</f>
        <v>0</v>
      </c>
      <c r="BX39" s="468">
        <f>SUM(BX38:BX38)</f>
        <v>149337.1817245</v>
      </c>
      <c r="BY39" s="468">
        <f>SUM(BY38:BY38)</f>
        <v>0</v>
      </c>
      <c r="BZ39" s="468">
        <f>SUM(BZ38:BZ38)</f>
        <v>0</v>
      </c>
      <c r="CA39" s="468">
        <f>SUM(CA38:CA38)</f>
        <v>0</v>
      </c>
      <c r="CB39" s="468">
        <f>SUM(CB38:CB38)</f>
        <v>0</v>
      </c>
      <c r="CC39" s="468">
        <f>SUM(CC38:CC38)</f>
        <v>0</v>
      </c>
      <c r="CD39" s="468">
        <f>SUM(CD38:CD38)</f>
        <v>0</v>
      </c>
      <c r="CE39" s="468">
        <f>SUM(CE38:CE38)</f>
        <v>0</v>
      </c>
      <c r="CF39" s="468">
        <f>SUM(CF38:CF38)</f>
        <v>-3317.8516909999994</v>
      </c>
      <c r="CG39" s="468">
        <f>SUM(CG38:CG38)</f>
        <v>0</v>
      </c>
      <c r="CH39" s="468">
        <f>SUM(CH38:CH38)</f>
        <v>-1151.091402999999</v>
      </c>
      <c r="CI39" s="468">
        <f>SUM(CI38:CI38)</f>
        <v>0</v>
      </c>
      <c r="CJ39" s="468">
        <f>SUM(CJ38:CJ38)</f>
        <v>-4468.9430939999984</v>
      </c>
      <c r="CK39" s="468">
        <f>SUM(CK38:CK38)</f>
        <v>0</v>
      </c>
      <c r="CL39" s="468">
        <f>SUM(CL38:CL38)</f>
        <v>5724</v>
      </c>
      <c r="CM39" s="468">
        <f>SUM(CM38:CM38)</f>
        <v>467.59999999999997</v>
      </c>
    </row>
    <row r="40" spans="1:92" ht="15" thickBot="1" x14ac:dyDescent="0.35">
      <c r="AR40" t="s">
        <v>365</v>
      </c>
      <c r="AS40" s="461">
        <f>SUMIFS(AS2:AS35,G2:G35,"SWCC",E2:E35,"0522",F2:F35,"00",AT2:AT35,1)</f>
        <v>2.17</v>
      </c>
      <c r="AT40" s="461">
        <f>SUMIFS(AS2:AS35,G2:G35,"SWCC",E2:E35,"0522",F2:F35,"00",AT2:AT35,3)</f>
        <v>0</v>
      </c>
      <c r="AU40" s="461">
        <f>SUMIFS(AU2:AU35,G2:G35,"SWCC",E2:E35,"0522",F2:F35,"00")</f>
        <v>4</v>
      </c>
      <c r="AV40" s="461">
        <f>SUMIFS(AV2:AV35,G2:G35,"SWCC",E2:E35,"0522",F2:F35,"00")</f>
        <v>0</v>
      </c>
      <c r="AW40" s="461">
        <f>SUMIFS(AW2:AW35,G2:G35,"SWCC",E2:E35,"0522",F2:F35,"00")</f>
        <v>7</v>
      </c>
      <c r="AX40" s="461">
        <f>SUMIFS(AX2:AX35,G2:G35,"SWCC",E2:E35,"0522",F2:F35,"00")</f>
        <v>196851.19</v>
      </c>
      <c r="AY40" s="461">
        <f>SUMIFS(AY2:AY35,G2:G35,"SWCC",E2:E35,"0522",F2:F35,"00")</f>
        <v>115224.29999999999</v>
      </c>
      <c r="AZ40" s="461">
        <f>SUMIFS(AZ2:AZ35,G2:G35,"SWCC",E2:E35,"0522",F2:F35,"00")</f>
        <v>0</v>
      </c>
      <c r="BA40" s="461">
        <f>SUMIFS(BA2:BA35,G2:G35,"SWCC",E2:E35,"0522",F2:F35,"00")</f>
        <v>0</v>
      </c>
      <c r="BB40" s="461">
        <f>SUMIFS(BB2:BB35,G2:G35,"SWCC",E2:E35,"0522",F2:F35,"00")</f>
        <v>25280.5</v>
      </c>
      <c r="BC40" s="461">
        <f>SUMIFS(BC2:BC35,G2:G35,"SWCC",E2:E35,"0522",F2:F35,"00")</f>
        <v>0</v>
      </c>
      <c r="BD40" s="461">
        <f>SUMIFS(BD2:BD35,G2:G35,"SWCC",E2:E35,"0522",F2:F35,"00")</f>
        <v>7143.9066000000003</v>
      </c>
      <c r="BE40" s="461">
        <f>SUMIFS(BE2:BE35,G2:G35,"SWCC",E2:E35,"0522",F2:F35,"00")</f>
        <v>1670.7523500000002</v>
      </c>
      <c r="BF40" s="461">
        <f>SUMIFS(BF2:BF35,G2:G35,"SWCC",E2:E35,"0522",F2:F35,"00")</f>
        <v>13757.781419999999</v>
      </c>
      <c r="BG40" s="461">
        <f>SUMIFS(BG2:BG35,G2:G35,"SWCC",E2:E35,"0522",F2:F35,"00")</f>
        <v>830.76720300000011</v>
      </c>
      <c r="BH40" s="461">
        <f>SUMIFS(BH2:BH35,G2:G35,"SWCC",E2:E35,"0522",F2:F35,"00")</f>
        <v>564.59906999999998</v>
      </c>
      <c r="BI40" s="461">
        <f>SUMIFS(BI2:BI35,G2:G35,"SWCC",E2:E35,"0522",F2:F35,"00")</f>
        <v>638.34262200000001</v>
      </c>
      <c r="BJ40" s="461">
        <f>SUMIFS(BJ2:BJ35,G2:G35,"SWCC",E2:E35,"0522",F2:F35,"00")</f>
        <v>1567.0504799999999</v>
      </c>
      <c r="BK40" s="461">
        <f>SUMIFS(BK2:BK35,G2:G35,"SWCC",E2:E35,"0522",F2:F35,"00")</f>
        <v>0</v>
      </c>
      <c r="BL40" s="461">
        <f>SUMIFS(BL2:BL35,G2:G35,"SWCC",E2:E35,"0522",F2:F35,"00")</f>
        <v>26173.199745000005</v>
      </c>
      <c r="BM40" s="461">
        <f>SUMIFS(BM2:BM35,G2:G35,"SWCC",E2:E35,"0522",F2:F35,"00")</f>
        <v>0</v>
      </c>
      <c r="BN40" s="461">
        <f>SUMIFS(BN2:BN35,G2:G35,"SWCC",E2:E35,"0522",F2:F35,"00")</f>
        <v>25280.5</v>
      </c>
      <c r="BO40" s="461">
        <f>SUMIFS(BO2:BO35,G2:G35,"SWCC",E2:E35,"0522",F2:F35,"00")</f>
        <v>0</v>
      </c>
      <c r="BP40" s="461">
        <f>SUMIFS(BP2:BP35,G2:G35,"SWCC",E2:E35,"0522",F2:F35,"00")</f>
        <v>7143.9066000000003</v>
      </c>
      <c r="BQ40" s="461">
        <f>SUMIFS(BQ2:BQ35,G2:G35,"SWCC",E2:E35,"0522",F2:F35,"00")</f>
        <v>1670.7523500000002</v>
      </c>
      <c r="BR40" s="461">
        <f>SUMIFS(BR2:BR35,G2:G35,"SWCC",E2:E35,"0522",F2:F35,"00")</f>
        <v>13757.781419999999</v>
      </c>
      <c r="BS40" s="461">
        <f>SUMIFS(BS2:BS35,G2:G35,"SWCC",E2:E35,"0522",F2:F35,"00")</f>
        <v>830.76720300000011</v>
      </c>
      <c r="BT40" s="461">
        <f>SUMIFS(BT2:BT35,G2:G35,"SWCC",E2:E35,"0522",F2:F35,"00")</f>
        <v>0</v>
      </c>
      <c r="BU40" s="461">
        <f>SUMIFS(BU2:BU35,G2:G35,"SWCC",E2:E35,"0522",F2:F35,"00")</f>
        <v>638.34262200000001</v>
      </c>
      <c r="BV40" s="461">
        <f>SUMIFS(BV2:BV35,G2:G35,"SWCC",E2:E35,"0522",F2:F35,"00")</f>
        <v>1371.1691700000001</v>
      </c>
      <c r="BW40" s="461">
        <f>SUMIFS(BW2:BW35,G2:G35,"SWCC",E2:E35,"0522",F2:F35,"00")</f>
        <v>0</v>
      </c>
      <c r="BX40" s="461">
        <f>SUMIFS(BX2:BX35,G2:G35,"SWCC",E2:E35,"0522",F2:F35,"00")</f>
        <v>25412.719365000001</v>
      </c>
      <c r="BY40" s="461">
        <f>SUMIFS(BY2:BY35,G2:G35,"SWCC",E2:E35,"0522",F2:F35,"00")</f>
        <v>0</v>
      </c>
      <c r="BZ40" s="461">
        <f>SUMIFS(BZ2:BZ35,G2:G35,"SWCC",E2:E35,"0522",F2:F35,"00")</f>
        <v>0</v>
      </c>
      <c r="CA40" s="461">
        <f>SUMIFS(CA2:CA35,G2:G35,"SWCC",E2:E35,"0522",F2:F35,"00")</f>
        <v>0</v>
      </c>
      <c r="CB40" s="461">
        <f>SUMIFS(CB2:CB35,G2:G35,"SWCC",E2:E35,"0522",F2:F35,"00")</f>
        <v>0</v>
      </c>
      <c r="CC40" s="461">
        <f>SUMIFS(CC2:CC35,G2:G35,"SWCC",E2:E35,"0522",F2:F35,"00")</f>
        <v>0</v>
      </c>
      <c r="CD40" s="461">
        <f>SUMIFS(CD2:CD35,G2:G35,"SWCC",E2:E35,"0522",F2:F35,"00")</f>
        <v>0</v>
      </c>
      <c r="CE40" s="461">
        <f>SUMIFS(CE2:CE35,G2:G35,"SWCC",E2:E35,"0522",F2:F35,"00")</f>
        <v>0</v>
      </c>
      <c r="CF40" s="461">
        <f>SUMIFS(CF2:CF35,G2:G35,"SWCC",E2:E35,"0522",F2:F35,"00")</f>
        <v>-564.59906999999998</v>
      </c>
      <c r="CG40" s="461">
        <f>SUMIFS(CG2:CG35,G2:G35,"SWCC",E2:E35,"0522",F2:F35,"00")</f>
        <v>0</v>
      </c>
      <c r="CH40" s="461">
        <f>SUMIFS(CH2:CH35,G2:G35,"SWCC",E2:E35,"0522",F2:F35,"00")</f>
        <v>-195.88130999999981</v>
      </c>
      <c r="CI40" s="461">
        <f>SUMIFS(CI2:CI35,G2:G35,"SWCC",E2:E35,"0522",F2:F35,"00")</f>
        <v>0</v>
      </c>
      <c r="CJ40" s="461">
        <f>SUMIFS(CJ2:CJ35,G2:G35,"SWCC",E2:E35,"0522",F2:F35,"00")</f>
        <v>-760.48037999999974</v>
      </c>
      <c r="CK40" s="461">
        <f>SUMIFS(CK2:CK35,G2:G35,"SWCC",E2:E35,"0522",F2:F35,"00")</f>
        <v>0</v>
      </c>
      <c r="CL40" s="461">
        <f>SUMIFS(CL2:CL35,G2:G35,"SWCC",E2:E35,"0522",F2:F35,"00")</f>
        <v>370</v>
      </c>
      <c r="CM40" s="461">
        <f>SUMIFS(CM2:CM35,G2:G35,"SWCC",E2:E35,"0522",F2:F35,"00")</f>
        <v>30.84</v>
      </c>
    </row>
    <row r="41" spans="1:92" ht="18" x14ac:dyDescent="0.35">
      <c r="AQ41" s="467" t="s">
        <v>366</v>
      </c>
      <c r="AS41" s="468">
        <f>SUM(AS40:AS40)</f>
        <v>2.17</v>
      </c>
      <c r="AT41" s="468">
        <f>SUM(AT40:AT40)</f>
        <v>0</v>
      </c>
      <c r="AU41" s="468">
        <f>SUM(AU40:AU40)</f>
        <v>4</v>
      </c>
      <c r="AV41" s="468">
        <f>SUM(AV40:AV40)</f>
        <v>0</v>
      </c>
      <c r="AW41" s="468">
        <f>SUM(AW40:AW40)</f>
        <v>7</v>
      </c>
      <c r="AX41" s="468">
        <f>SUM(AX40:AX40)</f>
        <v>196851.19</v>
      </c>
      <c r="AY41" s="468">
        <f>SUM(AY40:AY40)</f>
        <v>115224.29999999999</v>
      </c>
      <c r="AZ41" s="468">
        <f>SUM(AZ40:AZ40)</f>
        <v>0</v>
      </c>
      <c r="BA41" s="468">
        <f>SUM(BA40:BA40)</f>
        <v>0</v>
      </c>
      <c r="BB41" s="468">
        <f>SUM(BB40:BB40)</f>
        <v>25280.5</v>
      </c>
      <c r="BC41" s="468">
        <f>SUM(BC40:BC40)</f>
        <v>0</v>
      </c>
      <c r="BD41" s="468">
        <f>SUM(BD40:BD40)</f>
        <v>7143.9066000000003</v>
      </c>
      <c r="BE41" s="468">
        <f>SUM(BE40:BE40)</f>
        <v>1670.7523500000002</v>
      </c>
      <c r="BF41" s="468">
        <f>SUM(BF40:BF40)</f>
        <v>13757.781419999999</v>
      </c>
      <c r="BG41" s="468">
        <f>SUM(BG40:BG40)</f>
        <v>830.76720300000011</v>
      </c>
      <c r="BH41" s="468">
        <f>SUM(BH40:BH40)</f>
        <v>564.59906999999998</v>
      </c>
      <c r="BI41" s="468">
        <f>SUM(BI40:BI40)</f>
        <v>638.34262200000001</v>
      </c>
      <c r="BJ41" s="468">
        <f>SUM(BJ40:BJ40)</f>
        <v>1567.0504799999999</v>
      </c>
      <c r="BK41" s="468">
        <f>SUM(BK40:BK40)</f>
        <v>0</v>
      </c>
      <c r="BL41" s="468">
        <f>SUM(BL40:BL40)</f>
        <v>26173.199745000005</v>
      </c>
      <c r="BM41" s="468">
        <f>SUM(BM40:BM40)</f>
        <v>0</v>
      </c>
      <c r="BN41" s="468">
        <f>SUM(BN40:BN40)</f>
        <v>25280.5</v>
      </c>
      <c r="BO41" s="468">
        <f>SUM(BO40:BO40)</f>
        <v>0</v>
      </c>
      <c r="BP41" s="468">
        <f>SUM(BP40:BP40)</f>
        <v>7143.9066000000003</v>
      </c>
      <c r="BQ41" s="468">
        <f>SUM(BQ40:BQ40)</f>
        <v>1670.7523500000002</v>
      </c>
      <c r="BR41" s="468">
        <f>SUM(BR40:BR40)</f>
        <v>13757.781419999999</v>
      </c>
      <c r="BS41" s="468">
        <f>SUM(BS40:BS40)</f>
        <v>830.76720300000011</v>
      </c>
      <c r="BT41" s="468">
        <f>SUM(BT40:BT40)</f>
        <v>0</v>
      </c>
      <c r="BU41" s="468">
        <f>SUM(BU40:BU40)</f>
        <v>638.34262200000001</v>
      </c>
      <c r="BV41" s="468">
        <f>SUM(BV40:BV40)</f>
        <v>1371.1691700000001</v>
      </c>
      <c r="BW41" s="468">
        <f>SUM(BW40:BW40)</f>
        <v>0</v>
      </c>
      <c r="BX41" s="468">
        <f>SUM(BX40:BX40)</f>
        <v>25412.719365000001</v>
      </c>
      <c r="BY41" s="468">
        <f>SUM(BY40:BY40)</f>
        <v>0</v>
      </c>
      <c r="BZ41" s="468">
        <f>SUM(BZ40:BZ40)</f>
        <v>0</v>
      </c>
      <c r="CA41" s="468">
        <f>SUM(CA40:CA40)</f>
        <v>0</v>
      </c>
      <c r="CB41" s="468">
        <f>SUM(CB40:CB40)</f>
        <v>0</v>
      </c>
      <c r="CC41" s="468">
        <f>SUM(CC40:CC40)</f>
        <v>0</v>
      </c>
      <c r="CD41" s="468">
        <f>SUM(CD40:CD40)</f>
        <v>0</v>
      </c>
      <c r="CE41" s="468">
        <f>SUM(CE40:CE40)</f>
        <v>0</v>
      </c>
      <c r="CF41" s="468">
        <f>SUM(CF40:CF40)</f>
        <v>-564.59906999999998</v>
      </c>
      <c r="CG41" s="468">
        <f>SUM(CG40:CG40)</f>
        <v>0</v>
      </c>
      <c r="CH41" s="468">
        <f>SUM(CH40:CH40)</f>
        <v>-195.88130999999981</v>
      </c>
      <c r="CI41" s="468">
        <f>SUM(CI40:CI40)</f>
        <v>0</v>
      </c>
      <c r="CJ41" s="468">
        <f>SUM(CJ40:CJ40)</f>
        <v>-760.48037999999974</v>
      </c>
      <c r="CK41" s="468">
        <f>SUM(CK40:CK40)</f>
        <v>0</v>
      </c>
      <c r="CL41" s="468">
        <f>SUM(CL40:CL40)</f>
        <v>370</v>
      </c>
      <c r="CM41" s="468">
        <f>SUM(CM40:CM40)</f>
        <v>30.84</v>
      </c>
    </row>
    <row r="42" spans="1:92" x14ac:dyDescent="0.3">
      <c r="BB42" s="461"/>
      <c r="BC42" s="461"/>
      <c r="BD42" s="461"/>
      <c r="BE42" s="461"/>
      <c r="BF42" s="461"/>
      <c r="BG42" s="461"/>
      <c r="BH42" s="461"/>
      <c r="BI42" s="461"/>
      <c r="BJ42" s="461"/>
      <c r="BK42" s="461"/>
      <c r="BL42" s="461"/>
      <c r="BM42" s="461"/>
      <c r="BN42" s="461"/>
      <c r="BO42" s="461"/>
      <c r="BP42" s="461"/>
      <c r="BQ42" s="461"/>
      <c r="BR42" s="461"/>
      <c r="BS42" s="461"/>
      <c r="BT42" s="461"/>
      <c r="BU42" s="461"/>
      <c r="BV42" s="461"/>
      <c r="BW42" s="461"/>
      <c r="BX42" s="461"/>
      <c r="BY42" s="461"/>
      <c r="BZ42" s="461"/>
      <c r="CA42" s="461"/>
      <c r="CB42" s="461"/>
      <c r="CC42" s="461"/>
      <c r="CD42" s="461"/>
      <c r="CE42" s="461"/>
      <c r="CF42" s="461"/>
      <c r="CG42" s="461"/>
      <c r="CH42" s="461"/>
      <c r="CI42" s="461"/>
      <c r="CJ42" s="461"/>
      <c r="CK42" s="461"/>
      <c r="CL42" s="461"/>
      <c r="CM42" s="461"/>
    </row>
    <row r="43" spans="1:92" ht="21" x14ac:dyDescent="0.4">
      <c r="AO43" s="251" t="s">
        <v>97</v>
      </c>
      <c r="AP43" s="251"/>
      <c r="AQ43" s="251"/>
    </row>
    <row r="45" spans="1:92" ht="21" x14ac:dyDescent="0.4">
      <c r="AO45" s="252"/>
      <c r="AP45" s="252"/>
      <c r="AQ45" s="252"/>
    </row>
    <row r="46" spans="1:92" ht="15.6" x14ac:dyDescent="0.3">
      <c r="AS46" s="373" t="s">
        <v>83</v>
      </c>
      <c r="AT46" s="454" t="s">
        <v>374</v>
      </c>
      <c r="AU46" s="454"/>
      <c r="AV46" s="455" t="s">
        <v>372</v>
      </c>
      <c r="AW46" s="454" t="s">
        <v>375</v>
      </c>
      <c r="AX46" s="454"/>
      <c r="AY46" s="455" t="s">
        <v>373</v>
      </c>
      <c r="AZ46" s="454" t="s">
        <v>376</v>
      </c>
      <c r="BA46" s="454"/>
    </row>
    <row r="47" spans="1:92" ht="15.6" x14ac:dyDescent="0.3">
      <c r="AS47" s="249"/>
      <c r="AT47" s="373" t="s">
        <v>94</v>
      </c>
      <c r="AU47" s="372" t="s">
        <v>96</v>
      </c>
      <c r="AV47" s="456"/>
      <c r="AW47" s="373" t="s">
        <v>98</v>
      </c>
      <c r="AX47" s="372" t="s">
        <v>95</v>
      </c>
      <c r="AY47" s="456"/>
      <c r="AZ47" s="373" t="s">
        <v>98</v>
      </c>
      <c r="BA47" s="372" t="s">
        <v>95</v>
      </c>
    </row>
    <row r="48" spans="1:92" x14ac:dyDescent="0.3">
      <c r="AO48" s="466" t="s">
        <v>377</v>
      </c>
    </row>
    <row r="49" spans="41:107" x14ac:dyDescent="0.3">
      <c r="AQ49" t="s">
        <v>362</v>
      </c>
      <c r="AS49" s="461">
        <f>SUM(SUMIFS(AS2:AS35,CN2:CN35,AQ49,E2:E35,"0001",F2:F35,"00",AT2:AT35,{1,3}))</f>
        <v>12.3925</v>
      </c>
      <c r="AT49" s="461">
        <f>SUMPRODUCT(--(CN2:CN35=AQ49),--(N2:N35&lt;&gt;"NG"),--(AG2:AG35&lt;&gt;"D"),--(AR2:AR35&lt;&gt;6),--(AR2:AR35&lt;&gt;36),--(AR2:AR35&lt;&gt;56),T2:T35)+SUMPRODUCT(--(CN2:CN35=AQ49),--(N2:N35&lt;&gt;"NG"),--(AG2:AG35&lt;&gt;"D"),--(AR2:AR35&lt;&gt;6),--(AR2:AR35&lt;&gt;36),--(AR2:AR35&lt;&gt;56),U2:U35)</f>
        <v>764650.74</v>
      </c>
      <c r="AU49" s="461">
        <f>SUMPRODUCT(--(CN2:CN35=AQ49),--(N2:N35&lt;&gt;"NG"),--(AG2:AG35&lt;&gt;"D"),--(AR2:AR35&lt;&gt;6),--(AR2:AR35&lt;&gt;36),--(AR2:AR35&lt;&gt;56),V2:V35)</f>
        <v>320969.68000000005</v>
      </c>
      <c r="AV49" s="461">
        <f>SUMPRODUCT(--(CN2:CN35=AQ49),AY2:AY35)+SUMPRODUCT(--(CN2:CN35=AQ49),AZ2:AZ35)</f>
        <v>677112.59000000008</v>
      </c>
      <c r="AW49" s="461">
        <f>SUMPRODUCT(--(CN2:CN35=AQ49),BB2:BB35)+SUMPRODUCT(--(CN2:CN35=AQ49),BC2:BC35)</f>
        <v>147139.5</v>
      </c>
      <c r="AX49" s="461">
        <f>SUMPRODUCT(--(CN2:CN35=AQ49),BL2:BL35)+SUMPRODUCT(--(CN2:CN35=AQ49),BM2:BM35)</f>
        <v>153806.12481850001</v>
      </c>
      <c r="AY49" s="461">
        <f>SUMPRODUCT(--(CN2:CN35=AQ49),AY2:AY35)+SUMPRODUCT(--(CN2:CN35=AQ49),AZ2:AZ35)+SUMPRODUCT(--(CN2:CN35=AQ49),BA2:BA35)</f>
        <v>677112.59000000008</v>
      </c>
      <c r="AZ49" s="461">
        <f>SUMPRODUCT(--(CN2:CN35=AQ49),BN2:BN35)+SUMPRODUCT(--(CN2:CN35=AQ49),BO2:BO35)</f>
        <v>147139.5</v>
      </c>
      <c r="BA49" s="461">
        <f>SUMPRODUCT(--(CN2:CN35=AQ49),BX2:BX35)+SUMPRODUCT(--(CN2:CN35=AQ49),BY2:BY35)</f>
        <v>149337.1817245</v>
      </c>
    </row>
    <row r="50" spans="41:107" x14ac:dyDescent="0.3">
      <c r="AP50" t="s">
        <v>378</v>
      </c>
      <c r="AS50" s="472">
        <f>SUM(AS49:AS49)</f>
        <v>12.3925</v>
      </c>
      <c r="AT50" s="472">
        <f>SUM(AT49:AT49)</f>
        <v>764650.74</v>
      </c>
      <c r="AU50" s="472">
        <f>SUM(AU49:AU49)</f>
        <v>320969.68000000005</v>
      </c>
      <c r="AV50" s="472">
        <f>SUM(AV49:AV49)</f>
        <v>677112.59000000008</v>
      </c>
      <c r="AW50" s="472">
        <f>SUM(AW49:AW49)</f>
        <v>147139.5</v>
      </c>
      <c r="AX50" s="472">
        <f>SUM(AX49:AX49)</f>
        <v>153806.12481850001</v>
      </c>
      <c r="AY50" s="472">
        <f>SUM(AY49:AY49)</f>
        <v>677112.59000000008</v>
      </c>
      <c r="AZ50" s="472">
        <f>SUM(AZ49:AZ49)</f>
        <v>147139.5</v>
      </c>
      <c r="BA50" s="472">
        <f>SUM(BA49:BA49)</f>
        <v>149337.1817245</v>
      </c>
    </row>
    <row r="51" spans="41:107" x14ac:dyDescent="0.3">
      <c r="AQ51" t="s">
        <v>368</v>
      </c>
      <c r="AS51" s="461">
        <f>SUM(SUMIFS(AS2:AS35,CN2:CN35,AQ51,E2:E35,"0522",F2:F35,"00",AT2:AT35,{1,3}))</f>
        <v>2.17</v>
      </c>
      <c r="AT51" s="461">
        <f>SUMPRODUCT(--(CN2:CN35=AQ51),--(N2:N35&lt;&gt;"NG"),--(AG2:AG35&lt;&gt;"D"),--(AR2:AR35&lt;&gt;6),--(AR2:AR35&lt;&gt;36),--(AR2:AR35&lt;&gt;56),T2:T35)+SUMPRODUCT(--(CN2:CN35=AQ51),--(N2:N35&lt;&gt;"NG"),--(AG2:AG35&lt;&gt;"D"),--(AR2:AR35&lt;&gt;6),--(AR2:AR35&lt;&gt;36),--(AR2:AR35&lt;&gt;56),U2:U35)</f>
        <v>114274.19</v>
      </c>
      <c r="AU51" s="461">
        <f>SUMPRODUCT(--(CN2:CN35=AQ51),--(N2:N35&lt;&gt;"NG"),--(AG2:AG35&lt;&gt;"D"),--(AR2:AR35&lt;&gt;6),--(AR2:AR35&lt;&gt;36),--(AR2:AR35&lt;&gt;56),V2:V35)</f>
        <v>49290.14</v>
      </c>
      <c r="AV51" s="461">
        <f>SUMPRODUCT(--(CN2:CN35=AQ51),AY2:AY35)+SUMPRODUCT(--(CN2:CN35=AQ51),AZ2:AZ35)</f>
        <v>115224.29999999999</v>
      </c>
      <c r="AW51" s="461">
        <f>SUMPRODUCT(--(CN2:CN35=AQ51),BB2:BB35)+SUMPRODUCT(--(CN2:CN35=AQ51),BC2:BC35)</f>
        <v>25280.5</v>
      </c>
      <c r="AX51" s="461">
        <f>SUMPRODUCT(--(CN2:CN35=AQ51),BL2:BL35)+SUMPRODUCT(--(CN2:CN35=AQ51),BM2:BM35)</f>
        <v>26173.199745000005</v>
      </c>
      <c r="AY51" s="461">
        <f>SUMPRODUCT(--(CN2:CN35=AQ51),AY2:AY35)+SUMPRODUCT(--(CN2:CN35=AQ51),AZ2:AZ35)+SUMPRODUCT(--(CN2:CN35=AQ51),BA2:BA35)</f>
        <v>115224.29999999999</v>
      </c>
      <c r="AZ51" s="461">
        <f>SUMPRODUCT(--(CN2:CN35=AQ51),BN2:BN35)+SUMPRODUCT(--(CN2:CN35=AQ51),BO2:BO35)</f>
        <v>25280.5</v>
      </c>
      <c r="BA51" s="461">
        <f>SUMPRODUCT(--(CN2:CN35=AQ51),BX2:BX35)+SUMPRODUCT(--(CN2:CN35=AQ51),BY2:BY35)</f>
        <v>25412.719365000001</v>
      </c>
    </row>
    <row r="52" spans="41:107" x14ac:dyDescent="0.3">
      <c r="AP52" t="s">
        <v>379</v>
      </c>
      <c r="AS52" s="472">
        <f>SUM(AS51:AS51)</f>
        <v>2.17</v>
      </c>
      <c r="AT52" s="472">
        <f>SUM(AT51:AT51)</f>
        <v>114274.19</v>
      </c>
      <c r="AU52" s="472">
        <f>SUM(AU51:AU51)</f>
        <v>49290.14</v>
      </c>
      <c r="AV52" s="472">
        <f>SUM(AV51:AV51)</f>
        <v>115224.29999999999</v>
      </c>
      <c r="AW52" s="472">
        <f>SUM(AW51:AW51)</f>
        <v>25280.5</v>
      </c>
      <c r="AX52" s="472">
        <f>SUM(AX51:AX51)</f>
        <v>26173.199745000005</v>
      </c>
      <c r="AY52" s="472">
        <f>SUM(AY51:AY51)</f>
        <v>115224.29999999999</v>
      </c>
      <c r="AZ52" s="472">
        <f>SUM(AZ51:AZ51)</f>
        <v>25280.5</v>
      </c>
      <c r="BA52" s="472">
        <f>SUM(BA51:BA51)</f>
        <v>25412.719365000001</v>
      </c>
    </row>
    <row r="53" spans="41:107" x14ac:dyDescent="0.3">
      <c r="AS53" s="461"/>
      <c r="AT53" s="461"/>
      <c r="AU53" s="461"/>
      <c r="AV53" s="461"/>
      <c r="AW53" s="461"/>
      <c r="AX53" s="461"/>
      <c r="AY53" s="461"/>
      <c r="AZ53" s="461"/>
      <c r="BA53" s="461"/>
    </row>
    <row r="54" spans="41:107" x14ac:dyDescent="0.3">
      <c r="AO54" s="470" t="s">
        <v>380</v>
      </c>
      <c r="AS54" s="473">
        <f>SUM(AS50,AS52)</f>
        <v>14.5625</v>
      </c>
      <c r="AT54" s="473">
        <f>SUM(AT50,AT52)</f>
        <v>878924.92999999993</v>
      </c>
      <c r="AU54" s="473">
        <f>SUM(AU50,AU52)</f>
        <v>370259.82000000007</v>
      </c>
      <c r="AV54" s="473">
        <f>SUM(AV50,AV52)</f>
        <v>792336.89000000013</v>
      </c>
      <c r="AW54" s="473">
        <f>SUM(AW50,AW52)</f>
        <v>172420</v>
      </c>
      <c r="AX54" s="473">
        <f>SUM(AX50,AX52)</f>
        <v>179979.32456350001</v>
      </c>
      <c r="AY54" s="473">
        <f>SUM(AY50,AY52)</f>
        <v>792336.89000000013</v>
      </c>
      <c r="AZ54" s="473">
        <f>SUM(AZ50,AZ52)</f>
        <v>172420</v>
      </c>
      <c r="BA54" s="473">
        <f>SUM(BA50,BA52)</f>
        <v>174749.9010895</v>
      </c>
    </row>
    <row r="55" spans="41:107" x14ac:dyDescent="0.3">
      <c r="AS55" s="461"/>
      <c r="AT55" s="461"/>
      <c r="AU55" s="461"/>
      <c r="AV55" s="461"/>
      <c r="AW55" s="461"/>
      <c r="AX55" s="461"/>
      <c r="AY55" s="461"/>
      <c r="AZ55" s="461"/>
      <c r="BA55" s="461"/>
    </row>
    <row r="56" spans="41:107" x14ac:dyDescent="0.3">
      <c r="AO56" s="466" t="s">
        <v>381</v>
      </c>
      <c r="AS56" s="461"/>
      <c r="AT56" s="461"/>
      <c r="AU56" s="461"/>
      <c r="AV56" s="461"/>
      <c r="AW56" s="461"/>
      <c r="AX56" s="461"/>
      <c r="AY56" s="461"/>
      <c r="AZ56" s="461"/>
      <c r="BA56" s="461"/>
    </row>
    <row r="57" spans="41:107" x14ac:dyDescent="0.3">
      <c r="AQ57" t="s">
        <v>362</v>
      </c>
      <c r="AS57" s="461"/>
      <c r="AT57" s="461">
        <f>SUMIF(CN2:CN35,AQ57,CL2:CL35)</f>
        <v>5724</v>
      </c>
      <c r="AU57" s="461">
        <f>SUMIF(CN2:CN35,AQ57,CM2:CM35)</f>
        <v>467.59999999999997</v>
      </c>
      <c r="AV57" s="461">
        <f>SUMIF(CN2:CN35,AQ57,CL2:CL35)</f>
        <v>5724</v>
      </c>
      <c r="AW57" s="461">
        <v>0</v>
      </c>
      <c r="AX57" s="461">
        <f>SUMIF(CN2:CN35,AQ57,CM2:CM35)</f>
        <v>467.59999999999997</v>
      </c>
      <c r="AY57" s="461">
        <f>SUMIF(CN2:CN35,AQ57,CL2:CL35)</f>
        <v>5724</v>
      </c>
      <c r="AZ57" s="461">
        <v>0</v>
      </c>
      <c r="BA57" s="461">
        <f>SUMIF(CN2:CN35,AQ57,CM2:CM35)</f>
        <v>467.59999999999997</v>
      </c>
    </row>
    <row r="58" spans="41:107" x14ac:dyDescent="0.3">
      <c r="AP58" t="s">
        <v>378</v>
      </c>
      <c r="AS58" s="472"/>
      <c r="AT58" s="472">
        <f>SUM(AT57:AT57)</f>
        <v>5724</v>
      </c>
      <c r="AU58" s="472">
        <f>SUM(AU57:AU57)</f>
        <v>467.59999999999997</v>
      </c>
      <c r="AV58" s="472">
        <f>SUM(AV57:AV57)</f>
        <v>5724</v>
      </c>
      <c r="AW58" s="472">
        <f>SUM(AW57:AW57)</f>
        <v>0</v>
      </c>
      <c r="AX58" s="472">
        <f>SUM(AX57:AX57)</f>
        <v>467.59999999999997</v>
      </c>
      <c r="AY58" s="472">
        <f>SUM(AY57:AY57)</f>
        <v>5724</v>
      </c>
      <c r="AZ58" s="472">
        <f>SUM(AZ57:AZ57)</f>
        <v>0</v>
      </c>
      <c r="BA58" s="472">
        <f>SUM(BA57:BA57)</f>
        <v>467.59999999999997</v>
      </c>
    </row>
    <row r="59" spans="41:107" x14ac:dyDescent="0.3">
      <c r="AQ59" t="s">
        <v>368</v>
      </c>
      <c r="AS59" s="461"/>
      <c r="AT59" s="461">
        <f>SUMIF(CN2:CN35,AQ59,CL2:CL35)</f>
        <v>370</v>
      </c>
      <c r="AU59" s="461">
        <f>SUMIF(CN2:CN35,AQ59,CM2:CM35)</f>
        <v>30.84</v>
      </c>
      <c r="AV59" s="461">
        <f>SUMIF(CN2:CN35,AQ59,CL2:CL35)</f>
        <v>370</v>
      </c>
      <c r="AW59" s="461">
        <v>0</v>
      </c>
      <c r="AX59" s="461">
        <f>SUMIF(CN2:CN35,AQ59,CM2:CM35)</f>
        <v>30.84</v>
      </c>
      <c r="AY59" s="461">
        <f>SUMIF(CN2:CN35,AQ59,CL2:CL35)</f>
        <v>370</v>
      </c>
      <c r="AZ59" s="461">
        <v>0</v>
      </c>
      <c r="BA59" s="461">
        <f>SUMIF(CN2:CN35,AQ59,CM2:CM35)</f>
        <v>30.84</v>
      </c>
    </row>
    <row r="60" spans="41:107" x14ac:dyDescent="0.3">
      <c r="AP60" t="s">
        <v>379</v>
      </c>
      <c r="AS60" s="472"/>
      <c r="AT60" s="472">
        <f>SUM(AT59:AT59)</f>
        <v>370</v>
      </c>
      <c r="AU60" s="472">
        <f>SUM(AU59:AU59)</f>
        <v>30.84</v>
      </c>
      <c r="AV60" s="472">
        <f>SUM(AV59:AV59)</f>
        <v>370</v>
      </c>
      <c r="AW60" s="472">
        <f>SUM(AW59:AW59)</f>
        <v>0</v>
      </c>
      <c r="AX60" s="472">
        <f>SUM(AX59:AX59)</f>
        <v>30.84</v>
      </c>
      <c r="AY60" s="472">
        <f>SUM(AY59:AY59)</f>
        <v>370</v>
      </c>
      <c r="AZ60" s="472">
        <f>SUM(AZ59:AZ59)</f>
        <v>0</v>
      </c>
      <c r="BA60" s="472">
        <f>SUM(BA59:BA59)</f>
        <v>30.84</v>
      </c>
    </row>
    <row r="61" spans="41:107" x14ac:dyDescent="0.3">
      <c r="AS61" s="461"/>
      <c r="AT61" s="461"/>
      <c r="AU61" s="461"/>
      <c r="AV61" s="461"/>
      <c r="AW61" s="461"/>
      <c r="AX61" s="461"/>
      <c r="AY61" s="461"/>
      <c r="AZ61" s="461"/>
      <c r="BA61" s="461"/>
    </row>
    <row r="62" spans="41:107" x14ac:dyDescent="0.3">
      <c r="AO62" s="470" t="s">
        <v>382</v>
      </c>
      <c r="AS62" s="473">
        <f>SUM(AS58,AS60)</f>
        <v>0</v>
      </c>
      <c r="AT62" s="473">
        <f>SUM(AT58,AT60)</f>
        <v>6094</v>
      </c>
      <c r="AU62" s="473">
        <f>SUM(AU58,AU60)</f>
        <v>498.43999999999994</v>
      </c>
      <c r="AV62" s="473">
        <f>SUM(AV58,AV60)</f>
        <v>6094</v>
      </c>
      <c r="AW62" s="473">
        <f>SUM(AW58,AW60)</f>
        <v>0</v>
      </c>
      <c r="AX62" s="473">
        <f>SUM(AX58,AX60)</f>
        <v>498.43999999999994</v>
      </c>
      <c r="AY62" s="473">
        <f>SUM(AY58,AY60)</f>
        <v>6094</v>
      </c>
      <c r="AZ62" s="473">
        <f>SUM(AZ58,AZ60)</f>
        <v>0</v>
      </c>
      <c r="BA62" s="473">
        <f>SUM(BA58,BA60)</f>
        <v>498.43999999999994</v>
      </c>
      <c r="CU62" s="466"/>
      <c r="DC62" s="466"/>
    </row>
    <row r="63" spans="41:107" x14ac:dyDescent="0.3">
      <c r="AS63" s="461"/>
      <c r="AT63" s="461"/>
      <c r="AU63" s="461"/>
      <c r="AV63" s="461"/>
      <c r="AW63" s="461"/>
      <c r="AX63" s="461"/>
      <c r="AY63" s="461"/>
      <c r="AZ63" s="461"/>
      <c r="BA63" s="461"/>
    </row>
    <row r="64" spans="41:107" x14ac:dyDescent="0.3">
      <c r="AO64" s="471" t="s">
        <v>383</v>
      </c>
      <c r="AS64" s="474">
        <f>SUM(AS54,AS62)</f>
        <v>14.5625</v>
      </c>
      <c r="AT64" s="475">
        <f>SUM(AT54,AT62)</f>
        <v>885018.92999999993</v>
      </c>
      <c r="AU64" s="475">
        <f>SUM(AU54,AU62)</f>
        <v>370758.26000000007</v>
      </c>
      <c r="AV64" s="475">
        <f>SUM(AV54,AV62)</f>
        <v>798430.89000000013</v>
      </c>
      <c r="AW64" s="475">
        <f>SUM(AW54,AW62)</f>
        <v>172420</v>
      </c>
      <c r="AX64" s="475">
        <f>SUM(AX54,AX62)</f>
        <v>180477.76456350001</v>
      </c>
      <c r="AY64" s="475">
        <f>SUM(AY54,AY62)</f>
        <v>798430.89000000013</v>
      </c>
      <c r="AZ64" s="475">
        <f>SUM(AZ54,AZ62)</f>
        <v>172420</v>
      </c>
      <c r="BA64" s="475">
        <f>SUM(BA54,BA62)</f>
        <v>175248.3410895</v>
      </c>
    </row>
  </sheetData>
  <mergeCells count="5">
    <mergeCell ref="AT46:AU46"/>
    <mergeCell ref="AV46:AV47"/>
    <mergeCell ref="AW46:AX46"/>
    <mergeCell ref="AY46:AY47"/>
    <mergeCell ref="AZ46:BA46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A1:O40"/>
  <sheetViews>
    <sheetView topLeftCell="A19" zoomScaleNormal="100" workbookViewId="0">
      <selection activeCell="C39" sqref="C39"/>
    </sheetView>
  </sheetViews>
  <sheetFormatPr defaultColWidth="9.109375" defaultRowHeight="19.2" x14ac:dyDescent="0.35"/>
  <cols>
    <col min="1" max="1" width="4" style="1" customWidth="1"/>
    <col min="2" max="2" width="42" style="1" bestFit="1" customWidth="1"/>
    <col min="3" max="3" width="20.33203125" style="1" customWidth="1"/>
    <col min="4" max="4" width="21.44140625" style="1" bestFit="1" customWidth="1"/>
    <col min="5" max="5" width="20.5546875" style="1" customWidth="1"/>
    <col min="6" max="6" width="14.33203125" style="1" bestFit="1" customWidth="1"/>
    <col min="7" max="7" width="12" style="1" bestFit="1" customWidth="1"/>
    <col min="8" max="8" width="15" style="1" bestFit="1" customWidth="1"/>
    <col min="9" max="10" width="9.109375" style="1"/>
    <col min="11" max="11" width="9.88671875" style="1" bestFit="1" customWidth="1"/>
    <col min="12" max="12" width="16.44140625" style="1" bestFit="1" customWidth="1"/>
    <col min="13" max="14" width="15.88671875" style="1" bestFit="1" customWidth="1"/>
    <col min="15" max="15" width="16.44140625" style="1" bestFit="1" customWidth="1"/>
    <col min="16" max="16384" width="9.109375" style="1"/>
  </cols>
  <sheetData>
    <row r="1" spans="1:15" x14ac:dyDescent="0.35">
      <c r="A1" s="382"/>
      <c r="B1" s="382"/>
      <c r="C1" s="382"/>
      <c r="D1" s="382"/>
      <c r="E1" s="382"/>
    </row>
    <row r="2" spans="1:15" ht="28.5" customHeight="1" x14ac:dyDescent="0.35">
      <c r="A2" s="2" t="s">
        <v>10</v>
      </c>
      <c r="B2" s="2"/>
      <c r="C2" s="2"/>
      <c r="D2" s="2"/>
      <c r="E2" s="2"/>
    </row>
    <row r="3" spans="1:15" x14ac:dyDescent="0.35">
      <c r="A3" s="3"/>
      <c r="B3" s="3"/>
      <c r="C3" s="4" t="s">
        <v>0</v>
      </c>
      <c r="D3" s="4" t="s">
        <v>1</v>
      </c>
      <c r="E3" s="3"/>
    </row>
    <row r="4" spans="1:15" ht="37.799999999999997" x14ac:dyDescent="0.35">
      <c r="A4" s="3"/>
      <c r="B4" s="225"/>
      <c r="C4" s="5">
        <f>D4-1</f>
        <v>2022</v>
      </c>
      <c r="D4" s="6">
        <f>FiscalYear</f>
        <v>2023</v>
      </c>
      <c r="E4" s="7" t="str">
        <f>"DIFFERENCE "&amp;D4&amp;" - "&amp;C4</f>
        <v>DIFFERENCE 2023 - 2022</v>
      </c>
      <c r="F4" s="247" t="str">
        <f>"MAX "&amp;C4</f>
        <v>MAX 2022</v>
      </c>
      <c r="G4" s="247" t="str">
        <f>"MAX "&amp;D4</f>
        <v>MAX 2023</v>
      </c>
    </row>
    <row r="5" spans="1:15" x14ac:dyDescent="0.35">
      <c r="A5" s="3"/>
      <c r="B5" s="130" t="s">
        <v>2</v>
      </c>
      <c r="C5" s="226">
        <v>6.2E-2</v>
      </c>
      <c r="D5" s="226">
        <v>6.2E-2</v>
      </c>
      <c r="E5" s="313">
        <f>D5-C5</f>
        <v>0</v>
      </c>
      <c r="F5" s="248">
        <v>137700</v>
      </c>
      <c r="G5" s="248">
        <v>142800</v>
      </c>
    </row>
    <row r="6" spans="1:15" x14ac:dyDescent="0.35">
      <c r="A6" s="3"/>
      <c r="B6" s="130" t="s">
        <v>3</v>
      </c>
      <c r="C6" s="226">
        <v>1.4500000000000001E-2</v>
      </c>
      <c r="D6" s="226">
        <v>1.4500000000000001E-2</v>
      </c>
      <c r="E6" s="313">
        <f t="shared" ref="E6:E15" si="0">D6-C6</f>
        <v>0</v>
      </c>
    </row>
    <row r="7" spans="1:15" x14ac:dyDescent="0.35">
      <c r="A7" s="3"/>
      <c r="B7" s="130" t="s">
        <v>4</v>
      </c>
      <c r="C7" s="226">
        <v>4.8999999999999998E-3</v>
      </c>
      <c r="D7" s="226">
        <v>0</v>
      </c>
      <c r="E7" s="313">
        <f t="shared" si="0"/>
        <v>-4.8999999999999998E-3</v>
      </c>
    </row>
    <row r="8" spans="1:15" x14ac:dyDescent="0.35">
      <c r="A8" s="3"/>
      <c r="B8" s="130" t="s">
        <v>5</v>
      </c>
      <c r="C8" s="235">
        <v>1.3599999999999999E-2</v>
      </c>
      <c r="D8" s="234">
        <v>1.1900000000000001E-2</v>
      </c>
      <c r="E8" s="314">
        <f t="shared" si="0"/>
        <v>-1.6999999999999984E-3</v>
      </c>
    </row>
    <row r="9" spans="1:15" x14ac:dyDescent="0.35">
      <c r="A9" s="3"/>
      <c r="B9" s="130" t="s">
        <v>6</v>
      </c>
      <c r="C9" s="226">
        <v>7.2100000000000003E-3</v>
      </c>
      <c r="D9" s="226">
        <v>7.2100000000000003E-3</v>
      </c>
      <c r="E9" s="313">
        <f t="shared" si="0"/>
        <v>0</v>
      </c>
    </row>
    <row r="10" spans="1:15" x14ac:dyDescent="0.35">
      <c r="A10" s="3"/>
      <c r="B10" s="130" t="s">
        <v>7</v>
      </c>
      <c r="C10" s="226">
        <v>0</v>
      </c>
      <c r="D10" s="226">
        <v>0</v>
      </c>
      <c r="E10" s="313">
        <f t="shared" si="0"/>
        <v>0</v>
      </c>
    </row>
    <row r="11" spans="1:15" x14ac:dyDescent="0.35">
      <c r="A11" s="3"/>
      <c r="B11" s="130" t="s">
        <v>8</v>
      </c>
      <c r="C11" s="348">
        <v>5.5399999999999998E-3</v>
      </c>
      <c r="D11" s="348">
        <v>5.5399999999999998E-3</v>
      </c>
      <c r="E11" s="313">
        <f t="shared" si="0"/>
        <v>0</v>
      </c>
    </row>
    <row r="12" spans="1:15" x14ac:dyDescent="0.35">
      <c r="A12" s="3"/>
      <c r="B12" s="233" t="s">
        <v>11</v>
      </c>
      <c r="C12" s="234">
        <f>SUM(C5:C11)</f>
        <v>0.10775</v>
      </c>
      <c r="D12" s="234">
        <f>SUM(D5:D11)</f>
        <v>0.10115</v>
      </c>
      <c r="E12" s="315">
        <f>D12-C12</f>
        <v>-6.5999999999999948E-3</v>
      </c>
      <c r="M12" s="320"/>
    </row>
    <row r="13" spans="1:15" x14ac:dyDescent="0.35">
      <c r="A13" s="3"/>
      <c r="B13" s="231" t="s">
        <v>9</v>
      </c>
      <c r="C13" s="226">
        <f>SUM(C5:C8)</f>
        <v>9.5000000000000001E-2</v>
      </c>
      <c r="D13" s="226">
        <f>SUM(D5:D8)</f>
        <v>8.8400000000000006E-2</v>
      </c>
      <c r="E13" s="313">
        <f t="shared" si="0"/>
        <v>-6.5999999999999948E-3</v>
      </c>
      <c r="F13" s="8"/>
    </row>
    <row r="14" spans="1:15" x14ac:dyDescent="0.35">
      <c r="A14" s="230"/>
      <c r="B14" s="232" t="s">
        <v>102</v>
      </c>
      <c r="C14" s="226">
        <f>SUM(C5:C6,C8:C9)</f>
        <v>9.7309999999999994E-2</v>
      </c>
      <c r="D14" s="226">
        <f>SUM(D5:D6,D8:D9)</f>
        <v>9.5610000000000001E-2</v>
      </c>
      <c r="E14" s="313">
        <f>D14-C14</f>
        <v>-1.6999999999999932E-3</v>
      </c>
      <c r="M14" s="320"/>
    </row>
    <row r="15" spans="1:15" x14ac:dyDescent="0.35">
      <c r="A15" s="3"/>
      <c r="B15" s="231" t="s">
        <v>12</v>
      </c>
      <c r="C15" s="228">
        <v>11650</v>
      </c>
      <c r="D15" s="228">
        <v>11650</v>
      </c>
      <c r="E15" s="311">
        <f t="shared" si="0"/>
        <v>0</v>
      </c>
      <c r="L15" s="8"/>
      <c r="O15" s="9"/>
    </row>
    <row r="16" spans="1:15" x14ac:dyDescent="0.35">
      <c r="A16" s="3"/>
      <c r="B16" s="231" t="s">
        <v>82</v>
      </c>
      <c r="C16" s="229">
        <v>9320</v>
      </c>
      <c r="D16" s="229">
        <v>9320</v>
      </c>
      <c r="E16" s="312">
        <f>PTHealthBY-PTHealth</f>
        <v>0</v>
      </c>
      <c r="H16" s="319"/>
      <c r="L16" s="8"/>
      <c r="O16" s="9"/>
    </row>
    <row r="17" spans="1:11" x14ac:dyDescent="0.35">
      <c r="B17" s="130"/>
      <c r="D17" s="1" t="s">
        <v>45</v>
      </c>
      <c r="K17" s="319"/>
    </row>
    <row r="18" spans="1:11" ht="12" customHeight="1" x14ac:dyDescent="0.35">
      <c r="C18" s="1" t="s">
        <v>45</v>
      </c>
    </row>
    <row r="19" spans="1:11" ht="37.799999999999997" x14ac:dyDescent="0.35">
      <c r="B19" s="10" t="s">
        <v>81</v>
      </c>
      <c r="C19" s="227">
        <f>C4</f>
        <v>2022</v>
      </c>
      <c r="D19" s="227">
        <f>BudgetYear</f>
        <v>2023</v>
      </c>
      <c r="E19" s="11" t="str">
        <f>E4</f>
        <v>DIFFERENCE 2023 - 2022</v>
      </c>
    </row>
    <row r="20" spans="1:11" x14ac:dyDescent="0.35">
      <c r="A20" s="1" t="s">
        <v>68</v>
      </c>
      <c r="B20" s="216" t="s">
        <v>75</v>
      </c>
      <c r="C20" s="362">
        <v>0.11940000000000001</v>
      </c>
      <c r="D20" s="362">
        <v>0.11940000000000001</v>
      </c>
      <c r="E20" s="363">
        <f>D20-C20</f>
        <v>0</v>
      </c>
    </row>
    <row r="21" spans="1:11" x14ac:dyDescent="0.35">
      <c r="A21" s="1" t="s">
        <v>70</v>
      </c>
      <c r="B21" s="1" t="s">
        <v>76</v>
      </c>
      <c r="C21" s="362">
        <v>0.12280000000000001</v>
      </c>
      <c r="D21" s="362">
        <v>0.12280000000000001</v>
      </c>
      <c r="E21" s="363">
        <f t="shared" ref="E21" si="1">D21-C21</f>
        <v>0</v>
      </c>
    </row>
    <row r="22" spans="1:11" x14ac:dyDescent="0.35">
      <c r="A22" s="1" t="s">
        <v>71</v>
      </c>
      <c r="B22" s="1" t="s">
        <v>77</v>
      </c>
      <c r="C22" s="362">
        <v>0.11940000000000001</v>
      </c>
      <c r="D22" s="362">
        <v>0.11940000000000001</v>
      </c>
      <c r="E22" s="363">
        <f>D22-C22</f>
        <v>0</v>
      </c>
    </row>
    <row r="23" spans="1:11" hidden="1" x14ac:dyDescent="0.35">
      <c r="A23" s="1" t="s">
        <v>72</v>
      </c>
      <c r="B23" s="1" t="s">
        <v>78</v>
      </c>
      <c r="C23" s="362">
        <v>0</v>
      </c>
      <c r="D23" s="362">
        <v>0</v>
      </c>
      <c r="E23" s="363">
        <v>0</v>
      </c>
    </row>
    <row r="24" spans="1:11" x14ac:dyDescent="0.35">
      <c r="A24" s="1" t="s">
        <v>69</v>
      </c>
      <c r="B24" s="1" t="s">
        <v>79</v>
      </c>
      <c r="C24" s="362">
        <v>0.62529999999999997</v>
      </c>
      <c r="D24" s="362">
        <v>0.62529999999999997</v>
      </c>
      <c r="E24" s="363">
        <f>D24-C24</f>
        <v>0</v>
      </c>
    </row>
    <row r="25" spans="1:11" x14ac:dyDescent="0.35">
      <c r="A25" s="1" t="s">
        <v>74</v>
      </c>
      <c r="B25" s="1" t="s">
        <v>80</v>
      </c>
      <c r="C25" s="362">
        <v>0.1084</v>
      </c>
      <c r="D25" s="362">
        <v>0.1084</v>
      </c>
      <c r="E25" s="363">
        <f>D25-C25</f>
        <v>0</v>
      </c>
    </row>
    <row r="26" spans="1:11" x14ac:dyDescent="0.35">
      <c r="A26" s="1" t="s">
        <v>73</v>
      </c>
      <c r="B26" s="1" t="s">
        <v>80</v>
      </c>
      <c r="C26" s="362">
        <v>0.1084</v>
      </c>
      <c r="D26" s="362">
        <v>0.1084</v>
      </c>
      <c r="E26" s="363">
        <f>D26-C26</f>
        <v>0</v>
      </c>
    </row>
    <row r="28" spans="1:11" x14ac:dyDescent="0.35">
      <c r="A28" s="383" t="s">
        <v>110</v>
      </c>
      <c r="B28" s="383"/>
      <c r="C28" s="383"/>
      <c r="D28" s="383"/>
      <c r="E28" s="383"/>
    </row>
    <row r="29" spans="1:11" x14ac:dyDescent="0.35">
      <c r="A29" s="383" t="s">
        <v>111</v>
      </c>
      <c r="B29" s="383"/>
      <c r="C29" s="383"/>
      <c r="D29" s="383"/>
      <c r="E29" s="383"/>
    </row>
    <row r="30" spans="1:11" ht="12.75" customHeight="1" x14ac:dyDescent="0.35">
      <c r="A30" s="247"/>
      <c r="B30" s="247"/>
      <c r="C30" s="247"/>
      <c r="D30" s="247"/>
      <c r="E30" s="247"/>
    </row>
    <row r="31" spans="1:11" x14ac:dyDescent="0.35">
      <c r="A31" s="316" t="s">
        <v>88</v>
      </c>
      <c r="B31" s="316"/>
      <c r="C31" s="247"/>
      <c r="D31" s="247"/>
      <c r="E31" s="247"/>
    </row>
    <row r="32" spans="1:11" x14ac:dyDescent="0.35">
      <c r="A32" s="316"/>
      <c r="B32" s="316" t="s">
        <v>89</v>
      </c>
      <c r="C32" s="247"/>
      <c r="D32" s="247"/>
      <c r="E32" s="247"/>
    </row>
    <row r="33" spans="1:5" x14ac:dyDescent="0.35">
      <c r="A33" s="316"/>
      <c r="B33" s="316" t="s">
        <v>90</v>
      </c>
      <c r="C33" s="247"/>
      <c r="D33" s="247"/>
      <c r="E33" s="247"/>
    </row>
    <row r="34" spans="1:5" x14ac:dyDescent="0.35">
      <c r="A34" s="316"/>
      <c r="B34" s="316" t="s">
        <v>91</v>
      </c>
      <c r="C34" s="247"/>
      <c r="D34" s="247"/>
      <c r="E34" s="247"/>
    </row>
    <row r="35" spans="1:5" x14ac:dyDescent="0.35">
      <c r="A35" s="316"/>
      <c r="B35" s="316" t="s">
        <v>92</v>
      </c>
      <c r="C35" s="247"/>
      <c r="D35" s="247"/>
      <c r="E35" s="247"/>
    </row>
    <row r="36" spans="1:5" x14ac:dyDescent="0.35">
      <c r="A36" s="316"/>
      <c r="B36" s="316" t="s">
        <v>93</v>
      </c>
      <c r="C36" s="247"/>
      <c r="D36" s="247"/>
      <c r="E36" s="247"/>
    </row>
    <row r="38" spans="1:5" x14ac:dyDescent="0.35">
      <c r="B38" s="317" t="s">
        <v>103</v>
      </c>
      <c r="C38" s="318">
        <v>0.01</v>
      </c>
    </row>
    <row r="39" spans="1:5" x14ac:dyDescent="0.35">
      <c r="B39" s="341" t="s">
        <v>104</v>
      </c>
      <c r="C39" s="340">
        <v>0.01</v>
      </c>
    </row>
    <row r="40" spans="1:5" x14ac:dyDescent="0.35">
      <c r="B40" s="342" t="s">
        <v>109</v>
      </c>
      <c r="C40" s="343">
        <v>1</v>
      </c>
    </row>
  </sheetData>
  <mergeCells count="3">
    <mergeCell ref="A1:E1"/>
    <mergeCell ref="A28:E28"/>
    <mergeCell ref="A29:E29"/>
  </mergeCells>
  <pageMargins left="0.7" right="0.7" top="0.75" bottom="0.75" header="0.3" footer="0.3"/>
  <pageSetup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CP80"/>
  <sheetViews>
    <sheetView showGridLines="0" zoomScaleNormal="100" workbookViewId="0">
      <selection sqref="A1:XFD1048576"/>
    </sheetView>
  </sheetViews>
  <sheetFormatPr defaultColWidth="9.109375" defaultRowHeight="15.6" x14ac:dyDescent="0.3"/>
  <cols>
    <col min="1" max="1" width="7.88671875" style="124" customWidth="1"/>
    <col min="2" max="2" width="7.6640625" style="125" customWidth="1"/>
    <col min="3" max="3" width="9" style="125" customWidth="1"/>
    <col min="4" max="4" width="39.33203125" style="53" customWidth="1"/>
    <col min="5" max="5" width="13" style="126" customWidth="1"/>
    <col min="6" max="6" width="12.33203125" style="127" customWidth="1"/>
    <col min="7" max="7" width="12.109375" style="127" bestFit="1" customWidth="1"/>
    <col min="8" max="8" width="14.5546875" style="127" customWidth="1"/>
    <col min="9" max="9" width="19.5546875" style="128" bestFit="1" customWidth="1"/>
    <col min="10" max="10" width="13.6640625" style="129" customWidth="1"/>
    <col min="11" max="11" width="13.6640625" style="129" hidden="1" customWidth="1"/>
    <col min="12" max="12" width="18.44140625" style="129" customWidth="1"/>
    <col min="13" max="13" width="16.44140625" style="129" customWidth="1"/>
    <col min="14" max="14" width="16.109375" style="128" customWidth="1"/>
    <col min="15" max="25" width="16.109375" customWidth="1"/>
    <col min="26" max="26" width="16.109375" style="344" customWidth="1"/>
    <col min="27" max="27" width="22.109375" style="334" bestFit="1" customWidth="1"/>
    <col min="28" max="28" width="31.109375" style="334" bestFit="1" customWidth="1"/>
    <col min="29" max="29" width="7.88671875" style="334" bestFit="1" customWidth="1"/>
    <col min="30" max="30" width="9.109375" style="110" customWidth="1"/>
    <col min="31" max="94" width="9.109375" style="17"/>
    <col min="95" max="16384" width="9.109375" style="18"/>
  </cols>
  <sheetData>
    <row r="1" spans="1:94" x14ac:dyDescent="0.3">
      <c r="A1" s="12" t="s">
        <v>13</v>
      </c>
      <c r="B1" s="13"/>
      <c r="C1" s="13"/>
      <c r="D1" s="14"/>
      <c r="E1" s="15"/>
      <c r="F1" s="15"/>
      <c r="G1" s="15"/>
      <c r="H1" s="15"/>
      <c r="I1" s="15"/>
      <c r="J1" s="15"/>
      <c r="K1" s="15"/>
      <c r="L1" s="16" t="s">
        <v>14</v>
      </c>
      <c r="M1" s="399"/>
      <c r="N1" s="400"/>
      <c r="AA1" s="337"/>
      <c r="AB1" s="333"/>
      <c r="AC1" s="333"/>
      <c r="AD1" s="325"/>
    </row>
    <row r="2" spans="1:94" ht="21" x14ac:dyDescent="0.3">
      <c r="A2" s="19" t="s">
        <v>116</v>
      </c>
      <c r="B2" s="20"/>
      <c r="C2" s="20"/>
      <c r="D2" s="14"/>
      <c r="E2" s="21"/>
      <c r="F2" s="21"/>
      <c r="G2" s="21"/>
      <c r="H2" s="21"/>
      <c r="I2" s="21"/>
      <c r="J2" s="20"/>
      <c r="K2" s="20"/>
      <c r="L2" s="22" t="s">
        <v>113</v>
      </c>
      <c r="M2" s="401"/>
      <c r="N2" s="402"/>
      <c r="AA2" s="333"/>
      <c r="AB2" s="333"/>
      <c r="AC2" s="333"/>
      <c r="AD2" s="325"/>
    </row>
    <row r="3" spans="1:94" x14ac:dyDescent="0.3">
      <c r="A3" s="19" t="s">
        <v>117</v>
      </c>
      <c r="B3" s="20"/>
      <c r="C3" s="20"/>
      <c r="D3" s="23"/>
      <c r="E3" s="24"/>
      <c r="F3" s="25"/>
      <c r="G3" s="25"/>
      <c r="H3" s="25"/>
      <c r="I3" s="26"/>
      <c r="J3" s="20"/>
      <c r="K3" s="20"/>
      <c r="L3" s="22" t="s">
        <v>114</v>
      </c>
      <c r="M3" s="399"/>
      <c r="N3" s="400"/>
      <c r="AA3" s="337"/>
      <c r="AB3" s="333"/>
      <c r="AC3" s="333"/>
      <c r="AD3" s="325"/>
    </row>
    <row r="4" spans="1:94" x14ac:dyDescent="0.3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399">
        <v>2023</v>
      </c>
      <c r="N4" s="400"/>
      <c r="AA4" s="337"/>
      <c r="AB4" s="333"/>
      <c r="AC4" s="333"/>
      <c r="AD4" s="325"/>
    </row>
    <row r="5" spans="1:94" s="34" customFormat="1" ht="18" customHeight="1" x14ac:dyDescent="0.3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01"/>
      <c r="J5" s="403"/>
      <c r="K5" s="403"/>
      <c r="L5" s="402"/>
      <c r="M5" s="352" t="s">
        <v>115</v>
      </c>
      <c r="N5" s="32"/>
      <c r="O5"/>
      <c r="P5"/>
      <c r="Q5"/>
      <c r="R5"/>
      <c r="S5"/>
      <c r="T5"/>
      <c r="U5"/>
      <c r="V5"/>
      <c r="W5"/>
      <c r="X5"/>
      <c r="Y5"/>
      <c r="Z5" s="344"/>
      <c r="AA5" s="337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3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37"/>
      <c r="AB6" s="333"/>
      <c r="AC6" s="333"/>
      <c r="AD6" s="325"/>
    </row>
    <row r="7" spans="1:94" x14ac:dyDescent="0.3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3">
      <c r="A8" s="48" t="s">
        <v>20</v>
      </c>
      <c r="B8" s="256" t="s">
        <v>21</v>
      </c>
      <c r="C8" s="386" t="s">
        <v>22</v>
      </c>
      <c r="D8" s="387"/>
      <c r="E8" s="332" t="s">
        <v>23</v>
      </c>
      <c r="F8" s="49" t="s">
        <v>24</v>
      </c>
      <c r="G8" s="50" t="str">
        <f>"FY "&amp;[0]!FiscalYear-1&amp;" SALARY"</f>
        <v>FY 2022 SALARY</v>
      </c>
      <c r="H8" s="50" t="str">
        <f>"FY "&amp;[0]!FiscalYear-1&amp;" HEALTH BENEFITS"</f>
        <v>FY 2022 HEALTH BENEFITS</v>
      </c>
      <c r="I8" s="50" t="str">
        <f>"FY "&amp;[0]!FiscalYear-1&amp;" VAR BENEFITS"</f>
        <v>FY 2022 VAR BENEFITS</v>
      </c>
      <c r="J8" s="50" t="str">
        <f>"FY "&amp;[0]!FiscalYear-1&amp;" TOTAL"</f>
        <v>FY 2022 TOTAL</v>
      </c>
      <c r="K8" s="50" t="str">
        <f>"FY "&amp;[0]!FiscalYear&amp;" SALARY CHANGE"</f>
        <v>FY 2023 SALARY CHANGE</v>
      </c>
      <c r="L8" s="50" t="str">
        <f>"FY "&amp;[0]!FiscalYear&amp;" CHG HEALTH BENEFITS"</f>
        <v>FY 2023 CHG HEALTH BENEFITS</v>
      </c>
      <c r="M8" s="50" t="str">
        <f>"FY "&amp;[0]!FiscalYear&amp;"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37" t="s">
        <v>105</v>
      </c>
      <c r="AB8" s="437"/>
      <c r="AC8" s="437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3">
      <c r="A9" s="139"/>
      <c r="B9" s="140"/>
      <c r="C9" s="388" t="s">
        <v>26</v>
      </c>
      <c r="D9" s="389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37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3">
      <c r="A10" s="139"/>
      <c r="B10" s="139"/>
      <c r="C10" s="384" t="s">
        <v>27</v>
      </c>
      <c r="D10" s="390"/>
      <c r="E10" s="217">
        <v>1</v>
      </c>
      <c r="F10" s="288">
        <v>0</v>
      </c>
      <c r="G10" s="218">
        <v>0</v>
      </c>
      <c r="H10" s="218">
        <v>0</v>
      </c>
      <c r="I10" s="218">
        <v>0</v>
      </c>
      <c r="J10" s="219">
        <f>SUM(G10:I10)</f>
        <v>0</v>
      </c>
      <c r="K10" s="219">
        <v>0</v>
      </c>
      <c r="L10" s="218">
        <v>0</v>
      </c>
      <c r="M10" s="218">
        <v>0</v>
      </c>
      <c r="N10" s="218">
        <f>SUM(L10:M10)</f>
        <v>0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0</v>
      </c>
      <c r="AB10" s="335">
        <f>ROUND(PermVarBen*CECPerm+(CECPerm*PermVarBenChg),-2)</f>
        <v>0</v>
      </c>
      <c r="AC10" s="335">
        <f>SUM(AA10:AB10)</f>
        <v>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3">
      <c r="A11" s="139"/>
      <c r="B11" s="139"/>
      <c r="C11" s="384" t="s">
        <v>28</v>
      </c>
      <c r="D11" s="390"/>
      <c r="E11" s="217">
        <v>2</v>
      </c>
      <c r="F11" s="288"/>
      <c r="G11" s="218">
        <v>0</v>
      </c>
      <c r="H11" s="218">
        <v>0</v>
      </c>
      <c r="I11" s="218"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3">
      <c r="A12" s="139"/>
      <c r="B12" s="139"/>
      <c r="C12" s="384" t="s">
        <v>29</v>
      </c>
      <c r="D12" s="385"/>
      <c r="E12" s="217">
        <v>3</v>
      </c>
      <c r="F12" s="288">
        <v>0</v>
      </c>
      <c r="G12" s="218">
        <v>0</v>
      </c>
      <c r="H12" s="218">
        <v>0</v>
      </c>
      <c r="I12" s="218">
        <v>0</v>
      </c>
      <c r="J12" s="219">
        <f>SUM(G12:I12)</f>
        <v>0</v>
      </c>
      <c r="K12" s="268"/>
      <c r="L12" s="218">
        <v>0</v>
      </c>
      <c r="M12" s="218"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3">
      <c r="A13" s="139"/>
      <c r="B13" s="139"/>
      <c r="C13" s="384" t="s">
        <v>30</v>
      </c>
      <c r="D13" s="390"/>
      <c r="E13" s="217"/>
      <c r="F13" s="220">
        <f>SUM(F10:F12)</f>
        <v>0</v>
      </c>
      <c r="G13" s="221">
        <f>SUM(G10:G12)</f>
        <v>0</v>
      </c>
      <c r="H13" s="221">
        <f>SUM(H10:H12)</f>
        <v>0</v>
      </c>
      <c r="I13" s="221">
        <f>SUM(I10:I12)</f>
        <v>0</v>
      </c>
      <c r="J13" s="219">
        <f>SUM(G13:I13)</f>
        <v>0</v>
      </c>
      <c r="K13" s="268"/>
      <c r="L13" s="219">
        <f>SUM(L10:L12)</f>
        <v>0</v>
      </c>
      <c r="M13" s="219">
        <f>SUM(M10:M12)</f>
        <v>0</v>
      </c>
      <c r="N13" s="219">
        <f>SUM(N10:N12)</f>
        <v>0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" customHeight="1" x14ac:dyDescent="0.3">
      <c r="A14" s="139"/>
      <c r="B14" s="139"/>
      <c r="C14" s="154"/>
      <c r="D14" s="155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3">
      <c r="A15" s="139"/>
      <c r="B15" s="156"/>
      <c r="C15" s="157" t="str">
        <f>"FY "&amp;[0]!FiscalYear-1</f>
        <v>FY 2022</v>
      </c>
      <c r="D15" s="158" t="s">
        <v>31</v>
      </c>
      <c r="E15" s="355">
        <v>0</v>
      </c>
      <c r="F15" s="55">
        <v>0</v>
      </c>
      <c r="G15" s="223">
        <f>IF(OrigApprop=0,0,(G13/$J$13)*OrigApprop)</f>
        <v>0</v>
      </c>
      <c r="H15" s="223">
        <f>IF(OrigApprop=0,0,(H13/$J$13)*OrigApprop)</f>
        <v>0</v>
      </c>
      <c r="I15" s="223">
        <f>IF(G15=0,0,(I13/$J$13)*OrigApprop)</f>
        <v>0</v>
      </c>
      <c r="J15" s="223">
        <f>SUM(G15:I15)</f>
        <v>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3">
      <c r="A16" s="139"/>
      <c r="B16" s="139"/>
      <c r="C16" s="391" t="s">
        <v>32</v>
      </c>
      <c r="D16" s="392"/>
      <c r="E16" s="160" t="s">
        <v>33</v>
      </c>
      <c r="F16" s="161">
        <f>F15-F13</f>
        <v>0</v>
      </c>
      <c r="G16" s="162">
        <f>G15-G13</f>
        <v>0</v>
      </c>
      <c r="H16" s="162">
        <f>H15-H13</f>
        <v>0</v>
      </c>
      <c r="I16" s="162">
        <f>I15-I13</f>
        <v>0</v>
      </c>
      <c r="J16" s="162">
        <f>J15-J13</f>
        <v>0</v>
      </c>
      <c r="K16" s="269"/>
      <c r="L16" s="56" t="str">
        <f>IF([0]!OrigApprop=0,"ERROR! Enter Original Appropriation amount in DU 3.00!","Calculated "&amp;IF([0]!AdjustedTotal&gt;0,"overfunding ","underfunding ")&amp;"is "&amp;TEXT([0]!AdjustedTotal/[0]!AppropTotal,"#.0%;(#.0% );0% ;")&amp;" of Original Appropriation")</f>
        <v>ERROR! Enter Original Appropriation amount in DU 3.00!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3">
      <c r="A17" s="139"/>
      <c r="B17" s="139"/>
      <c r="C17" s="393" t="s">
        <v>34</v>
      </c>
      <c r="D17" s="394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3">
      <c r="A18" s="139"/>
      <c r="B18" s="168"/>
      <c r="C18" s="395" t="s">
        <v>35</v>
      </c>
      <c r="D18" s="396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6.4" x14ac:dyDescent="0.3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37"/>
      <c r="AB19" s="337"/>
      <c r="AC19" s="337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4.4" x14ac:dyDescent="0.3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37"/>
      <c r="AB20" s="337"/>
      <c r="AC20" s="337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4.4" x14ac:dyDescent="0.3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37"/>
      <c r="AB21" s="337"/>
      <c r="AC21" s="337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4.4" x14ac:dyDescent="0.3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37"/>
      <c r="AB22" s="337"/>
      <c r="AC22" s="337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4.4" x14ac:dyDescent="0.3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37"/>
      <c r="AB23" s="337"/>
      <c r="AC23" s="337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4.4" x14ac:dyDescent="0.3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37"/>
      <c r="AC24" s="337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4.4" x14ac:dyDescent="0.3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37"/>
      <c r="AC25" s="337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4.4" x14ac:dyDescent="0.3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37"/>
      <c r="AC26" s="337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4.4" x14ac:dyDescent="0.3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37"/>
      <c r="AB27" s="337"/>
      <c r="AC27" s="337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4.4" x14ac:dyDescent="0.3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37"/>
      <c r="AB28" s="337"/>
      <c r="AC28" s="337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4.4" x14ac:dyDescent="0.3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37"/>
      <c r="AB29" s="337"/>
      <c r="AC29" s="337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4.4" x14ac:dyDescent="0.3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37"/>
      <c r="AB30" s="337"/>
      <c r="AC30" s="337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4.4" x14ac:dyDescent="0.3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37"/>
      <c r="AB31" s="337"/>
      <c r="AC31" s="337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4.4" x14ac:dyDescent="0.3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37"/>
      <c r="AB32" s="337"/>
      <c r="AC32" s="337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4.4" x14ac:dyDescent="0.3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37"/>
      <c r="AB33" s="337"/>
      <c r="AC33" s="337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4.4" x14ac:dyDescent="0.3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37"/>
      <c r="AB34" s="337"/>
      <c r="AC34" s="337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4.4" x14ac:dyDescent="0.3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37"/>
      <c r="AB35" s="337"/>
      <c r="AC35" s="337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4.4" x14ac:dyDescent="0.3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37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3">
      <c r="A37" s="139"/>
      <c r="B37" s="188"/>
      <c r="C37" s="397" t="s">
        <v>37</v>
      </c>
      <c r="D37" s="398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38" t="s">
        <v>107</v>
      </c>
      <c r="AB37" s="439"/>
      <c r="AC37" s="439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4.4" x14ac:dyDescent="0.3">
      <c r="A38" s="139"/>
      <c r="B38" s="188"/>
      <c r="C38" s="384" t="str">
        <f>perm_name</f>
        <v>Permanent Positions</v>
      </c>
      <c r="D38" s="385"/>
      <c r="E38" s="189">
        <v>1</v>
      </c>
      <c r="F38" s="190">
        <f>SUMIF($E9:$E35,$E38,$F9:$F35)</f>
        <v>0</v>
      </c>
      <c r="G38" s="191">
        <f>SUMIF($E10:$E35,$E38,$G10:$G35)</f>
        <v>0</v>
      </c>
      <c r="H38" s="192">
        <f>SUMIF($E10:$E35,$E38,$H10:$H35)</f>
        <v>0</v>
      </c>
      <c r="I38" s="192">
        <f>SUMIF($E10:$E35,$E38,$I10:$I35)</f>
        <v>0</v>
      </c>
      <c r="J38" s="192">
        <f>SUM(G38:I38)</f>
        <v>0</v>
      </c>
      <c r="K38" s="166"/>
      <c r="L38" s="191">
        <f>SUMIF($E10:$E35,$E38,$L10:$L35)</f>
        <v>0</v>
      </c>
      <c r="M38" s="192">
        <f>SUMIF($E10:$E35,$E38,$M10:$M35)</f>
        <v>0</v>
      </c>
      <c r="N38" s="192">
        <f>SUM(L38:M38)</f>
        <v>0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0</v>
      </c>
      <c r="AB38" s="338">
        <f>ROUND((AdjPermVB*CECPerm+AdjPermVBBY*CECPerm),-2)</f>
        <v>0</v>
      </c>
      <c r="AC38" s="338">
        <f>SUM(AA38:AB38)</f>
        <v>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4.4" x14ac:dyDescent="0.3">
      <c r="A39" s="139"/>
      <c r="B39" s="188"/>
      <c r="C39" s="384" t="str">
        <f>Group_name</f>
        <v>Board &amp; Group Positions</v>
      </c>
      <c r="D39" s="385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4.4" x14ac:dyDescent="0.3">
      <c r="A40" s="139"/>
      <c r="B40" s="188"/>
      <c r="C40" s="154" t="str">
        <f>Elect_name</f>
        <v>Elected Officials &amp; Full Time Commissioners</v>
      </c>
      <c r="D40" s="194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37"/>
      <c r="AB40" s="337"/>
      <c r="AC40" s="337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4.4" x14ac:dyDescent="0.3">
      <c r="A41" s="139"/>
      <c r="B41" s="188"/>
      <c r="C41" s="384" t="s">
        <v>38</v>
      </c>
      <c r="D41" s="385"/>
      <c r="E41" s="189"/>
      <c r="F41" s="161">
        <f>SUM(F38:F40)</f>
        <v>0</v>
      </c>
      <c r="G41" s="195">
        <f>SUM($G$38:$G$40)</f>
        <v>0</v>
      </c>
      <c r="H41" s="162">
        <f>SUM($H$38:$H$40)</f>
        <v>0</v>
      </c>
      <c r="I41" s="162">
        <f>SUM($I$38:$I$40)</f>
        <v>0</v>
      </c>
      <c r="J41" s="162">
        <f>SUM($J$38:$J$40)</f>
        <v>0</v>
      </c>
      <c r="K41" s="259"/>
      <c r="L41" s="195">
        <f>SUM($L$38:$L$40)</f>
        <v>0</v>
      </c>
      <c r="M41" s="162">
        <f>SUM($M$38:$M$40)</f>
        <v>0</v>
      </c>
      <c r="N41" s="162">
        <f>SUM(L41:M41)</f>
        <v>0</v>
      </c>
      <c r="O41"/>
      <c r="P41"/>
      <c r="Q41"/>
      <c r="R41"/>
      <c r="S41"/>
      <c r="T41"/>
      <c r="U41"/>
      <c r="V41"/>
      <c r="W41"/>
      <c r="X41"/>
      <c r="Y41"/>
      <c r="Z41" s="344"/>
      <c r="AA41" s="337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3">
      <c r="A42" s="139"/>
      <c r="B42" s="188"/>
      <c r="C42" s="446"/>
      <c r="D42" s="447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37"/>
      <c r="AB42" s="337"/>
      <c r="AC42" s="337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3">
      <c r="A43" s="139"/>
      <c r="B43" s="202"/>
      <c r="C43" s="448" t="s">
        <v>39</v>
      </c>
      <c r="D43" s="449"/>
      <c r="E43" s="203" t="s">
        <v>40</v>
      </c>
      <c r="F43" s="205">
        <f>ROUND(F51-F41,2)</f>
        <v>0</v>
      </c>
      <c r="G43" s="206">
        <f>ROUND(G51-G41,-2)</f>
        <v>0</v>
      </c>
      <c r="H43" s="159">
        <f>ROUND(H51-H41,-2)</f>
        <v>0</v>
      </c>
      <c r="I43" s="159">
        <f>ROUND(I51-I41,-2)</f>
        <v>0</v>
      </c>
      <c r="J43" s="159">
        <f>SUM(G43:I43)</f>
        <v>0</v>
      </c>
      <c r="K43" s="412" t="str">
        <f>IF(E51=0,"ERROR! Enter Original Appropriation amount in DU 3.00!","Calculated "&amp;IF(J43&gt;0,"overfunding ","underfunding ")&amp;"is "&amp;TEXT(J43/J51,"#.0%;(#.0% );0% ;")&amp;" of Original Appropriation")</f>
        <v>ERROR! Enter Original Appropriation amount in DU 3.00!</v>
      </c>
      <c r="L43" s="413"/>
      <c r="M43" s="413"/>
      <c r="N43" s="414"/>
      <c r="O43"/>
      <c r="P43"/>
      <c r="Q43"/>
      <c r="R43"/>
      <c r="S43"/>
      <c r="T43"/>
      <c r="U43"/>
      <c r="V43"/>
      <c r="W43"/>
      <c r="X43"/>
      <c r="Y43"/>
      <c r="Z43" s="344"/>
      <c r="AA43" s="440" t="s">
        <v>108</v>
      </c>
      <c r="AB43" s="441"/>
      <c r="AC43" s="441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3">
      <c r="A44" s="139"/>
      <c r="B44" s="202"/>
      <c r="C44" s="450"/>
      <c r="D44" s="451"/>
      <c r="E44" s="204" t="s">
        <v>41</v>
      </c>
      <c r="F44" s="205">
        <f>ROUND(F60-F41,2)</f>
        <v>0</v>
      </c>
      <c r="G44" s="206">
        <f>ROUND(G60-G41,-2)</f>
        <v>0</v>
      </c>
      <c r="H44" s="159">
        <f>ROUND(H60-H41,-2)</f>
        <v>0</v>
      </c>
      <c r="I44" s="159">
        <f>ROUND(I60-I41,-2)</f>
        <v>0</v>
      </c>
      <c r="J44" s="159">
        <f>SUM(G44:I44)</f>
        <v>0</v>
      </c>
      <c r="K44" s="412" t="str">
        <f>IF(E51=0,"ERROR! Enter Original Appropriation amount in DU 3.00!","Calculated "&amp;IF(J44&gt;0,"overfunding ","underfunding ")&amp;"is "&amp;TEXT(J44/J60,"#.0%;(#.0% );0% ;")&amp;" of Estimated Expenditures")</f>
        <v>ERROR! Enter Original Appropriation amount in DU 3.00!</v>
      </c>
      <c r="L44" s="413"/>
      <c r="M44" s="413"/>
      <c r="N44" s="414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3">
      <c r="A45" s="139"/>
      <c r="B45" s="202"/>
      <c r="C45" s="215"/>
      <c r="D45" s="215"/>
      <c r="E45" s="204" t="s">
        <v>99</v>
      </c>
      <c r="F45" s="205">
        <f>ROUND(F67-F41-F63,2)</f>
        <v>0</v>
      </c>
      <c r="G45" s="206">
        <f>ROUND(G67-G41-G63,-2)</f>
        <v>0</v>
      </c>
      <c r="H45" s="206">
        <f>ROUND(H67-H41-H63,-2)</f>
        <v>0</v>
      </c>
      <c r="I45" s="206">
        <f>ROUND(I67-I41-I63,-2)</f>
        <v>0</v>
      </c>
      <c r="J45" s="159">
        <f>SUM(G45:I45)</f>
        <v>0</v>
      </c>
      <c r="K45" s="412" t="str">
        <f>IF(J67=0,"Program has a zero base",IF(E51=0,"ERROR! Enter Original Appropriation amount in DU 3.00!","Calculated "&amp;IF(J45&gt;0,"overfunding ","underfunding ")&amp;"is "&amp;TEXT(J45/J67,"#.0%;(#.0% );0% ;")&amp;" of the Base"))</f>
        <v>Program has a zero base</v>
      </c>
      <c r="L45" s="413"/>
      <c r="M45" s="413"/>
      <c r="N45" s="414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3">
      <c r="A46" s="139"/>
      <c r="B46" s="202"/>
      <c r="C46" s="215"/>
      <c r="D46" s="215"/>
      <c r="E46" s="421" t="s">
        <v>100</v>
      </c>
      <c r="F46" s="422"/>
      <c r="G46" s="422"/>
      <c r="H46" s="422"/>
      <c r="I46" s="422"/>
      <c r="J46" s="423"/>
      <c r="K46" s="415" t="str">
        <f>IF(OR(J45&lt;0,F45&lt;0),"You may not have sufficient funding or authorized FTP, and may need to make additional adjustments to finalize this form.  Please contact both your DFM and LSO analysts.","")</f>
        <v/>
      </c>
      <c r="L46" s="416"/>
      <c r="M46" s="416"/>
      <c r="N46" s="417"/>
      <c r="O46"/>
      <c r="P46"/>
      <c r="Q46"/>
      <c r="R46"/>
      <c r="S46"/>
      <c r="T46"/>
      <c r="U46"/>
      <c r="V46"/>
      <c r="W46"/>
      <c r="X46"/>
      <c r="Y46"/>
      <c r="Z46" s="344"/>
      <c r="AA46" s="337"/>
      <c r="AB46" s="337"/>
      <c r="AC46" s="337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3">
      <c r="A47" s="139"/>
      <c r="B47" s="202"/>
      <c r="C47" s="215"/>
      <c r="D47" s="215"/>
      <c r="E47" s="424"/>
      <c r="F47" s="425"/>
      <c r="G47" s="425"/>
      <c r="H47" s="425"/>
      <c r="I47" s="425"/>
      <c r="J47" s="426"/>
      <c r="K47" s="418"/>
      <c r="L47" s="419"/>
      <c r="M47" s="419"/>
      <c r="N47" s="420"/>
      <c r="O47"/>
      <c r="P47"/>
      <c r="Q47"/>
      <c r="R47"/>
      <c r="S47"/>
      <c r="T47"/>
      <c r="U47"/>
      <c r="V47"/>
      <c r="W47"/>
      <c r="X47"/>
      <c r="Y47"/>
      <c r="Z47" s="344"/>
      <c r="AA47" s="337"/>
      <c r="AB47" s="337"/>
      <c r="AC47" s="337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3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3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37"/>
      <c r="AB49" s="337"/>
      <c r="AC49" s="337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3">
      <c r="A50" s="257" t="s">
        <v>42</v>
      </c>
      <c r="B50" s="71"/>
      <c r="C50" s="452"/>
      <c r="D50" s="453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37"/>
      <c r="AB50" s="337"/>
      <c r="AC50" s="337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3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0</v>
      </c>
      <c r="F51" s="272">
        <f>AppropFTP</f>
        <v>0</v>
      </c>
      <c r="G51" s="274">
        <f>IF(E51=0,0,(G41/$J$41)*$E$51)</f>
        <v>0</v>
      </c>
      <c r="H51" s="274">
        <f>IF(E51=0,0,(H41/$J$41)*$E$51)</f>
        <v>0</v>
      </c>
      <c r="I51" s="275">
        <f>IF(E51=0,0,(I41/$J$41)*$E$51)</f>
        <v>0</v>
      </c>
      <c r="J51" s="90">
        <f>SUM(G51:I51)</f>
        <v>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37"/>
      <c r="AC51" s="337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3">
      <c r="A52" s="82"/>
      <c r="B52" s="83"/>
      <c r="C52" s="84"/>
      <c r="D52" s="132" t="s">
        <v>46</v>
      </c>
      <c r="E52" s="133"/>
      <c r="F52" s="55">
        <f>F51</f>
        <v>0</v>
      </c>
      <c r="G52" s="79">
        <f>ROUND(G51,-2)</f>
        <v>0</v>
      </c>
      <c r="H52" s="79">
        <f>ROUND(H51,-2)</f>
        <v>0</v>
      </c>
      <c r="I52" s="266">
        <f>ROUND(I51,-2)</f>
        <v>0</v>
      </c>
      <c r="J52" s="80">
        <f>ROUND(J51,-2)</f>
        <v>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37"/>
      <c r="AC52" s="337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4.4" x14ac:dyDescent="0.3">
      <c r="A53" s="85"/>
      <c r="B53" s="83"/>
      <c r="C53" s="444" t="s">
        <v>47</v>
      </c>
      <c r="D53" s="445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37"/>
      <c r="AB53" s="337"/>
      <c r="AC53" s="337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3">
      <c r="A54" s="85">
        <v>4.1100000000000003</v>
      </c>
      <c r="B54" s="83"/>
      <c r="C54" s="408" t="s">
        <v>48</v>
      </c>
      <c r="D54" s="409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37"/>
      <c r="AB54" s="337"/>
      <c r="AC54" s="337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3">
      <c r="A55" s="85">
        <v>4.3099999999999996</v>
      </c>
      <c r="B55" s="83"/>
      <c r="C55" s="410" t="s">
        <v>49</v>
      </c>
      <c r="D55" s="411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37"/>
      <c r="AB55" s="337"/>
      <c r="AC55" s="337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3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0</v>
      </c>
      <c r="G56" s="80">
        <f>SUM(G52:G55)</f>
        <v>0</v>
      </c>
      <c r="H56" s="80">
        <f>SUM(H52:H55)</f>
        <v>0</v>
      </c>
      <c r="I56" s="260">
        <f>SUM(I52:I55)</f>
        <v>0</v>
      </c>
      <c r="J56" s="80">
        <f>SUM(J52:J55)</f>
        <v>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37"/>
      <c r="AB56" s="337"/>
      <c r="AC56" s="337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3">
      <c r="A57" s="85"/>
      <c r="B57" s="83"/>
      <c r="C57" s="406" t="s">
        <v>51</v>
      </c>
      <c r="D57" s="407"/>
      <c r="E57" s="331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37"/>
      <c r="AB57" s="337"/>
      <c r="AC57" s="337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3">
      <c r="A58" s="85">
        <v>6.31</v>
      </c>
      <c r="B58" s="83"/>
      <c r="C58" s="408" t="s">
        <v>52</v>
      </c>
      <c r="D58" s="409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37"/>
      <c r="AB58" s="337"/>
      <c r="AC58" s="337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3">
      <c r="A59" s="85">
        <v>6.51</v>
      </c>
      <c r="B59" s="83"/>
      <c r="C59" s="410" t="s">
        <v>66</v>
      </c>
      <c r="D59" s="411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37"/>
      <c r="AB59" s="337"/>
      <c r="AC59" s="337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3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0</v>
      </c>
      <c r="G60" s="80">
        <f>SUM(G56:G59)</f>
        <v>0</v>
      </c>
      <c r="H60" s="80">
        <f>SUM(H56:H59)</f>
        <v>0</v>
      </c>
      <c r="I60" s="260">
        <f>SUM(I56:I59)</f>
        <v>0</v>
      </c>
      <c r="J60" s="80">
        <f>SUM(J56:J59)</f>
        <v>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37"/>
      <c r="AB60" s="337"/>
      <c r="AC60" s="337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3">
      <c r="A61" s="85"/>
      <c r="B61" s="83"/>
      <c r="C61" s="406" t="s">
        <v>54</v>
      </c>
      <c r="D61" s="407"/>
      <c r="E61" s="331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37"/>
      <c r="AB61" s="337"/>
      <c r="AC61" s="337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3">
      <c r="A62" s="85">
        <v>8.31</v>
      </c>
      <c r="B62" s="83"/>
      <c r="C62" s="408" t="s">
        <v>67</v>
      </c>
      <c r="D62" s="409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37"/>
      <c r="AB62" s="337"/>
      <c r="AC62" s="337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3">
      <c r="A63" s="85">
        <v>8.41</v>
      </c>
      <c r="B63" s="83"/>
      <c r="C63" s="408" t="s">
        <v>55</v>
      </c>
      <c r="D63" s="409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/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37"/>
      <c r="AB63" s="337"/>
      <c r="AC63" s="337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5">
      <c r="A64" s="93">
        <v>8.51</v>
      </c>
      <c r="B64" s="93"/>
      <c r="C64" s="404" t="s">
        <v>56</v>
      </c>
      <c r="D64" s="405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37"/>
      <c r="AB64" s="337"/>
      <c r="AC64" s="337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3">
      <c r="A65" s="94"/>
      <c r="B65" s="95"/>
      <c r="C65" s="442"/>
      <c r="D65" s="443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37"/>
      <c r="AB65" s="337"/>
      <c r="AC65" s="337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4.4" x14ac:dyDescent="0.3">
      <c r="A66" s="100"/>
      <c r="B66" s="101"/>
      <c r="C66" s="429"/>
      <c r="D66" s="430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4.4" x14ac:dyDescent="0.3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0</v>
      </c>
      <c r="G67" s="80">
        <f>SUM(G60:G64)</f>
        <v>0</v>
      </c>
      <c r="H67" s="80">
        <f>SUM(H60:H64)</f>
        <v>0</v>
      </c>
      <c r="I67" s="80">
        <f>SUM(I60:I64)</f>
        <v>0</v>
      </c>
      <c r="J67" s="80">
        <f>SUM(J60:J64)</f>
        <v>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37"/>
      <c r="AB67" s="337"/>
      <c r="AC67" s="337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3">
      <c r="A68" s="85">
        <v>10.11</v>
      </c>
      <c r="B68" s="83"/>
      <c r="C68" s="406" t="s">
        <v>58</v>
      </c>
      <c r="D68" s="431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37"/>
      <c r="AB68" s="337"/>
      <c r="AC68" s="337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4.4" x14ac:dyDescent="0.3">
      <c r="A69" s="85">
        <v>10.119999999999999</v>
      </c>
      <c r="B69" s="83"/>
      <c r="C69" s="406" t="s">
        <v>59</v>
      </c>
      <c r="D69" s="431"/>
      <c r="E69" s="112"/>
      <c r="F69" s="288"/>
      <c r="G69" s="113"/>
      <c r="H69" s="113"/>
      <c r="I69" s="113">
        <f>IF(DUNine=0,0,ROUND(SUM(M41:M64),-2))</f>
        <v>0</v>
      </c>
      <c r="J69" s="287">
        <f>SUM(G69:I69)</f>
        <v>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37"/>
      <c r="AB69" s="337"/>
      <c r="AC69" s="337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4.4" x14ac:dyDescent="0.3">
      <c r="A70" s="85"/>
      <c r="B70" s="83"/>
      <c r="C70" s="432"/>
      <c r="D70" s="433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37"/>
      <c r="AB70" s="337"/>
      <c r="AC70" s="337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3">
      <c r="A71" s="85">
        <v>10.51</v>
      </c>
      <c r="B71" s="83"/>
      <c r="C71" s="408" t="s">
        <v>60</v>
      </c>
      <c r="D71" s="409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37"/>
      <c r="AB71" s="337"/>
      <c r="AC71" s="337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3">
      <c r="A72" s="85">
        <v>10.61</v>
      </c>
      <c r="B72" s="83"/>
      <c r="C72" s="408" t="s">
        <v>101</v>
      </c>
      <c r="D72" s="434"/>
      <c r="E72" s="290">
        <f>CECPerm</f>
        <v>0.01</v>
      </c>
      <c r="F72" s="288"/>
      <c r="G72" s="356">
        <f>IF(DUNine=0,0,IF(DUNine&lt;0,0,ROUND(AdjPermSalary*CECPerm,-2)))</f>
        <v>0</v>
      </c>
      <c r="H72" s="287"/>
      <c r="I72" s="287">
        <f>ROUND(($G72*PermVBBY+$G72*Retire1BY),-2)</f>
        <v>0</v>
      </c>
      <c r="J72" s="113">
        <f>SUM(G72:I72)</f>
        <v>0</v>
      </c>
      <c r="K72" s="296"/>
      <c r="L72" s="298"/>
      <c r="M72" s="350">
        <f>IF(DUNine=0,0,IF(((#REF!-G39-G40)*E72)&lt;0,0,ROUND(((#REF!-G39-G40)*E72),-2)))</f>
        <v>0</v>
      </c>
      <c r="N72" s="359"/>
      <c r="O72" s="358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0</v>
      </c>
      <c r="P72" s="358"/>
      <c r="Q72"/>
      <c r="R72"/>
      <c r="S72"/>
      <c r="T72"/>
      <c r="U72"/>
      <c r="V72"/>
      <c r="W72"/>
      <c r="X72"/>
      <c r="Y72"/>
      <c r="Z72" s="344"/>
      <c r="AA72" s="337"/>
      <c r="AB72" s="337"/>
      <c r="AC72" s="337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3">
      <c r="A73" s="85">
        <v>10.62</v>
      </c>
      <c r="B73" s="83"/>
      <c r="C73" s="408" t="s">
        <v>61</v>
      </c>
      <c r="D73" s="434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37"/>
      <c r="AB73" s="337"/>
      <c r="AC73" s="337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3">
      <c r="A74" s="85">
        <v>10.63</v>
      </c>
      <c r="B74" s="83"/>
      <c r="C74" s="114" t="s">
        <v>62</v>
      </c>
      <c r="D74" s="115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37"/>
      <c r="AB74" s="337"/>
      <c r="AC74" s="337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3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0</v>
      </c>
      <c r="G75" s="80">
        <f>SUM(G67:G74)</f>
        <v>0</v>
      </c>
      <c r="H75" s="80">
        <f>SUM(H67:H74)</f>
        <v>0</v>
      </c>
      <c r="I75" s="80">
        <f>SUM(I67:I74)</f>
        <v>0</v>
      </c>
      <c r="J75" s="80">
        <f>SUM(J67:K74)</f>
        <v>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37"/>
      <c r="AB75" s="337"/>
      <c r="AC75" s="337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3">
      <c r="A76" s="85"/>
      <c r="B76" s="83"/>
      <c r="C76" s="435" t="s">
        <v>64</v>
      </c>
      <c r="D76" s="436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37"/>
      <c r="AB76" s="337"/>
      <c r="AC76" s="337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4.4" x14ac:dyDescent="0.3">
      <c r="A77" s="116">
        <v>12.01</v>
      </c>
      <c r="B77" s="57"/>
      <c r="C77" s="427"/>
      <c r="D77" s="428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37"/>
      <c r="AB77" s="337"/>
      <c r="AC77" s="337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4.4" x14ac:dyDescent="0.3">
      <c r="A78" s="116">
        <v>12.02</v>
      </c>
      <c r="B78" s="57"/>
      <c r="C78" s="427"/>
      <c r="D78" s="428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37"/>
      <c r="AB78" s="337"/>
      <c r="AC78" s="337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4.4" x14ac:dyDescent="0.3">
      <c r="A79" s="116">
        <v>12.03</v>
      </c>
      <c r="B79" s="57" t="s">
        <v>45</v>
      </c>
      <c r="C79" s="427"/>
      <c r="D79" s="428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37"/>
      <c r="AB79" s="337"/>
      <c r="AC79" s="337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3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0</v>
      </c>
      <c r="G80" s="80">
        <f>SUM(G75:G79)</f>
        <v>0</v>
      </c>
      <c r="H80" s="80">
        <f>SUM(H75:H79)</f>
        <v>0</v>
      </c>
      <c r="I80" s="80">
        <f>SUM(I75:I79)</f>
        <v>0</v>
      </c>
      <c r="J80" s="80">
        <f>SUM(J75:J79)</f>
        <v>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37"/>
      <c r="AB80" s="337"/>
      <c r="AC80" s="337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AA8:AC8"/>
    <mergeCell ref="AA37:AC37"/>
    <mergeCell ref="AA43:AC43"/>
    <mergeCell ref="C65:D65"/>
    <mergeCell ref="C53:D53"/>
    <mergeCell ref="C61:D61"/>
    <mergeCell ref="C41:D41"/>
    <mergeCell ref="C42:D42"/>
    <mergeCell ref="C43:D44"/>
    <mergeCell ref="C54:D54"/>
    <mergeCell ref="C55:D55"/>
    <mergeCell ref="C50:D50"/>
    <mergeCell ref="K43:N43"/>
    <mergeCell ref="K44:N44"/>
    <mergeCell ref="C62:D62"/>
    <mergeCell ref="C63:D63"/>
    <mergeCell ref="C79:D79"/>
    <mergeCell ref="C78:D78"/>
    <mergeCell ref="C66:D66"/>
    <mergeCell ref="C68:D68"/>
    <mergeCell ref="C69:D69"/>
    <mergeCell ref="C70:D70"/>
    <mergeCell ref="C77:D77"/>
    <mergeCell ref="C71:D71"/>
    <mergeCell ref="C73:D73"/>
    <mergeCell ref="C76:D76"/>
    <mergeCell ref="C72:D72"/>
    <mergeCell ref="C64:D64"/>
    <mergeCell ref="C57:D57"/>
    <mergeCell ref="C58:D58"/>
    <mergeCell ref="C59:D59"/>
    <mergeCell ref="K45:N45"/>
    <mergeCell ref="K46:N47"/>
    <mergeCell ref="E46:J47"/>
    <mergeCell ref="M1:N1"/>
    <mergeCell ref="M2:N2"/>
    <mergeCell ref="M3:N3"/>
    <mergeCell ref="M4:N4"/>
    <mergeCell ref="I5:L5"/>
    <mergeCell ref="C39:D39"/>
    <mergeCell ref="C8:D8"/>
    <mergeCell ref="C9:D9"/>
    <mergeCell ref="C10:D10"/>
    <mergeCell ref="C11:D11"/>
    <mergeCell ref="C12:D12"/>
    <mergeCell ref="C13:D13"/>
    <mergeCell ref="C16:D16"/>
    <mergeCell ref="C17:D17"/>
    <mergeCell ref="C18:D18"/>
    <mergeCell ref="C38:D38"/>
    <mergeCell ref="C37:D37"/>
  </mergeCells>
  <conditionalFormatting sqref="K44">
    <cfRule type="expression" dxfId="6" priority="5">
      <formula>$J$44&lt;0</formula>
    </cfRule>
  </conditionalFormatting>
  <conditionalFormatting sqref="K43">
    <cfRule type="expression" dxfId="5" priority="4">
      <formula>$J$43&lt;0</formula>
    </cfRule>
  </conditionalFormatting>
  <conditionalFormatting sqref="L16">
    <cfRule type="expression" dxfId="4" priority="3">
      <formula>$J$16&lt;0</formula>
    </cfRule>
  </conditionalFormatting>
  <conditionalFormatting sqref="K45">
    <cfRule type="expression" dxfId="3" priority="2">
      <formula>$J$44&lt;0</formula>
    </cfRule>
  </conditionalFormatting>
  <conditionalFormatting sqref="K43:N45">
    <cfRule type="containsText" dxfId="2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1:L21"/>
  <sheetViews>
    <sheetView workbookViewId="0">
      <selection activeCell="A13" sqref="A13:L21"/>
    </sheetView>
  </sheetViews>
  <sheetFormatPr defaultRowHeight="14.4" x14ac:dyDescent="0.3"/>
  <cols>
    <col min="1" max="1" width="9" customWidth="1"/>
    <col min="2" max="2" width="39.33203125" customWidth="1"/>
    <col min="3" max="3" width="13" customWidth="1"/>
    <col min="4" max="4" width="12.33203125" customWidth="1"/>
    <col min="5" max="5" width="12.109375" customWidth="1"/>
    <col min="6" max="6" width="14.5546875" customWidth="1"/>
    <col min="7" max="7" width="19.5546875" customWidth="1"/>
    <col min="8" max="8" width="13.6640625" customWidth="1"/>
    <col min="9" max="9" width="0" hidden="1" customWidth="1"/>
    <col min="10" max="10" width="18.44140625" customWidth="1"/>
    <col min="11" max="11" width="16.44140625" customWidth="1"/>
    <col min="12" max="12" width="16.109375" customWidth="1"/>
  </cols>
  <sheetData>
    <row r="1" spans="1:12" x14ac:dyDescent="0.3">
      <c r="A1" s="469" t="s">
        <v>364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</row>
    <row r="2" spans="1:12" ht="66.599999999999994" x14ac:dyDescent="0.3">
      <c r="A2" s="386" t="s">
        <v>22</v>
      </c>
      <c r="B2" s="387"/>
      <c r="C2" s="370" t="s">
        <v>23</v>
      </c>
      <c r="D2" s="49" t="s">
        <v>24</v>
      </c>
      <c r="E2" s="50" t="str">
        <f>"FY "&amp;'SWCC|0001-00'!FiscalYear-1&amp;" SALARY"</f>
        <v>FY 2022 SALARY</v>
      </c>
      <c r="F2" s="50" t="str">
        <f>"FY "&amp;'SWCC|0001-00'!FiscalYear-1&amp;" HEALTH BENEFITS"</f>
        <v>FY 2022 HEALTH BENEFITS</v>
      </c>
      <c r="G2" s="50" t="str">
        <f>"FY "&amp;'SWCC|0001-00'!FiscalYear-1&amp;" VAR BENEFITS"</f>
        <v>FY 2022 VAR BENEFITS</v>
      </c>
      <c r="H2" s="50" t="str">
        <f>"FY "&amp;'SWCC|0001-00'!FiscalYear-1&amp;" TOTAL"</f>
        <v>FY 2022 TOTAL</v>
      </c>
      <c r="I2" s="50" t="str">
        <f>"FY "&amp;'SWCC|0001-00'!FiscalYear&amp;" SALARY CHANGE"</f>
        <v>FY 2023 SALARY CHANGE</v>
      </c>
      <c r="J2" s="50" t="str">
        <f>"FY "&amp;'SWCC|0001-00'!FiscalYear&amp;" CHG HEALTH BENEFITS"</f>
        <v>FY 2023 CHG HEALTH BENEFITS</v>
      </c>
      <c r="K2" s="50" t="str">
        <f>"FY "&amp;'SWCC|0001-00'!FiscalYear&amp;" CHG VAR BENEFITS"</f>
        <v>FY 2023 CHG VAR BENEFITS</v>
      </c>
      <c r="L2" s="50" t="s">
        <v>25</v>
      </c>
    </row>
    <row r="3" spans="1:12" x14ac:dyDescent="0.3">
      <c r="A3" s="388" t="s">
        <v>26</v>
      </c>
      <c r="B3" s="389"/>
      <c r="C3" s="141"/>
      <c r="D3" s="142"/>
      <c r="E3" s="143"/>
      <c r="F3" s="143"/>
      <c r="G3" s="143"/>
      <c r="H3" s="144"/>
      <c r="I3" s="144"/>
      <c r="J3" s="145"/>
      <c r="K3" s="146"/>
      <c r="L3" s="144"/>
    </row>
    <row r="4" spans="1:12" x14ac:dyDescent="0.3">
      <c r="A4" s="384" t="s">
        <v>27</v>
      </c>
      <c r="B4" s="390"/>
      <c r="C4" s="217">
        <v>1</v>
      </c>
      <c r="D4" s="288">
        <f>[0]!SWCC000100col_INC_FTI</f>
        <v>12.3925</v>
      </c>
      <c r="E4" s="218">
        <f>[0]!SWCC000100col_FTI_SALARY_PERM</f>
        <v>677112.59000000008</v>
      </c>
      <c r="F4" s="218">
        <f>[0]!SWCC000100col_HEALTH_PERM</f>
        <v>147139.5</v>
      </c>
      <c r="G4" s="218">
        <f>[0]!SWCC000100col_TOT_VB_PERM</f>
        <v>153806.12481850001</v>
      </c>
      <c r="H4" s="219">
        <f>SUM(E4:G4)</f>
        <v>978058.2148185001</v>
      </c>
      <c r="I4" s="219">
        <f>[0]!SWCC000100col_1_27TH_PP</f>
        <v>0</v>
      </c>
      <c r="J4" s="218">
        <f>[0]!SWCC000100col_HEALTH_PERM_CHG</f>
        <v>0</v>
      </c>
      <c r="K4" s="218">
        <f>[0]!SWCC000100col_TOT_VB_PERM_CHG</f>
        <v>-4468.9430939999984</v>
      </c>
      <c r="L4" s="218">
        <f>SUM(J4:K4)</f>
        <v>-4468.9430939999984</v>
      </c>
    </row>
    <row r="5" spans="1:12" x14ac:dyDescent="0.3">
      <c r="A5" s="384" t="s">
        <v>28</v>
      </c>
      <c r="B5" s="390"/>
      <c r="C5" s="217">
        <v>2</v>
      </c>
      <c r="D5" s="288"/>
      <c r="E5" s="218">
        <f>[0]!SWCC000100col_Group_Salary</f>
        <v>5724</v>
      </c>
      <c r="F5" s="218">
        <v>0</v>
      </c>
      <c r="G5" s="218">
        <f>[0]!SWCC000100col_Group_Ben</f>
        <v>467.59999999999997</v>
      </c>
      <c r="H5" s="219">
        <f>SUM(E5:G5)</f>
        <v>6191.6</v>
      </c>
      <c r="I5" s="268"/>
      <c r="J5" s="218"/>
      <c r="K5" s="218"/>
      <c r="L5" s="218"/>
    </row>
    <row r="6" spans="1:12" x14ac:dyDescent="0.3">
      <c r="A6" s="384" t="s">
        <v>29</v>
      </c>
      <c r="B6" s="385"/>
      <c r="C6" s="217">
        <v>3</v>
      </c>
      <c r="D6" s="288">
        <f>[0]!SWCC000100col_TOTAL_ELECT_PCN_FTI</f>
        <v>0</v>
      </c>
      <c r="E6" s="218">
        <f>[0]!SWCC000100col_FTI_SALARY_ELECT</f>
        <v>0</v>
      </c>
      <c r="F6" s="218">
        <f>[0]!SWCC000100col_HEALTH_ELECT</f>
        <v>0</v>
      </c>
      <c r="G6" s="218">
        <f>[0]!SWCC000100col_TOT_VB_ELECT</f>
        <v>0</v>
      </c>
      <c r="H6" s="219">
        <f>SUM(E6:G6)</f>
        <v>0</v>
      </c>
      <c r="I6" s="268"/>
      <c r="J6" s="218">
        <f>[0]!SWCC000100col_HEALTH_ELECT_CHG</f>
        <v>0</v>
      </c>
      <c r="K6" s="218">
        <f>[0]!SWCC000100col_TOT_VB_ELECT_CHG</f>
        <v>0</v>
      </c>
      <c r="L6" s="219">
        <f>SUM(J6:K6)</f>
        <v>0</v>
      </c>
    </row>
    <row r="7" spans="1:12" x14ac:dyDescent="0.3">
      <c r="A7" s="384" t="s">
        <v>30</v>
      </c>
      <c r="B7" s="390"/>
      <c r="C7" s="217"/>
      <c r="D7" s="220">
        <f>SUM(D4:D6)</f>
        <v>12.3925</v>
      </c>
      <c r="E7" s="221">
        <f>SUM(E4:E6)</f>
        <v>682836.59000000008</v>
      </c>
      <c r="F7" s="221">
        <f>SUM(F4:F6)</f>
        <v>147139.5</v>
      </c>
      <c r="G7" s="221">
        <f>SUM(G4:G6)</f>
        <v>154273.72481850002</v>
      </c>
      <c r="H7" s="219">
        <f>SUM(E7:G7)</f>
        <v>984249.81481850008</v>
      </c>
      <c r="I7" s="268"/>
      <c r="J7" s="219">
        <f>SUM(J4:J6)</f>
        <v>0</v>
      </c>
      <c r="K7" s="219">
        <f>SUM(K4:K6)</f>
        <v>-4468.9430939999984</v>
      </c>
      <c r="L7" s="219">
        <f>SUM(L4:L6)</f>
        <v>-4468.9430939999984</v>
      </c>
    </row>
    <row r="8" spans="1:12" x14ac:dyDescent="0.3">
      <c r="A8" s="365"/>
      <c r="B8" s="371"/>
      <c r="C8" s="217"/>
      <c r="D8" s="220"/>
      <c r="E8" s="219"/>
      <c r="F8" s="219"/>
      <c r="G8" s="219"/>
      <c r="H8" s="219"/>
      <c r="I8" s="268"/>
      <c r="J8" s="219"/>
      <c r="K8" s="222"/>
      <c r="L8" s="222"/>
    </row>
    <row r="9" spans="1:12" x14ac:dyDescent="0.3">
      <c r="A9" s="157" t="str">
        <f>"FY "&amp;'SWCC|0001-00'!FiscalYear-1</f>
        <v>FY 2022</v>
      </c>
      <c r="B9" s="158" t="s">
        <v>31</v>
      </c>
      <c r="C9" s="355">
        <v>1302500</v>
      </c>
      <c r="D9" s="55">
        <v>15.62</v>
      </c>
      <c r="E9" s="223">
        <f>IF('SWCC|0001-00'!OrigApprop=0,0,(E7/H7)*'SWCC|0001-00'!OrigApprop)</f>
        <v>903626.95027685456</v>
      </c>
      <c r="F9" s="223">
        <f>IF('SWCC|0001-00'!OrigApprop=0,0,(F7/H7)*'SWCC|0001-00'!OrigApprop)</f>
        <v>194716.011996752</v>
      </c>
      <c r="G9" s="223">
        <f>IF(E9=0,0,(G7/H7)*'SWCC|0001-00'!OrigApprop)</f>
        <v>204157.03772639344</v>
      </c>
      <c r="H9" s="223">
        <f>SUM(E9:G9)</f>
        <v>1302500</v>
      </c>
      <c r="I9" s="268"/>
      <c r="J9" s="224"/>
      <c r="K9" s="224"/>
      <c r="L9" s="224"/>
    </row>
    <row r="10" spans="1:12" x14ac:dyDescent="0.3">
      <c r="A10" s="391" t="s">
        <v>32</v>
      </c>
      <c r="B10" s="392"/>
      <c r="C10" s="160" t="s">
        <v>33</v>
      </c>
      <c r="D10" s="161">
        <f>D9-D7</f>
        <v>3.2274999999999991</v>
      </c>
      <c r="E10" s="162">
        <f>E9-E7</f>
        <v>220790.36027685448</v>
      </c>
      <c r="F10" s="162">
        <f>F9-F7</f>
        <v>47576.511996752</v>
      </c>
      <c r="G10" s="162">
        <f>G9-G7</f>
        <v>49883.312907893414</v>
      </c>
      <c r="H10" s="162">
        <f>H9-H7</f>
        <v>318250.18518149992</v>
      </c>
      <c r="I10" s="269"/>
      <c r="J10" s="56" t="str">
        <f>IF('SWCC|0001-00'!OrigApprop=0,"ERROR! Enter Original Appropriation amount in DU 3.00!","Calculated "&amp;IF('SWCC|0001-00'!AdjustedTotal&gt;0,"overfunding ","underfunding ")&amp;"is "&amp;TEXT('SWCC|0001-00'!AdjustedTotal/'SWCC|0001-00'!AppropTotal,"#.0%;(#.0% );0% ;")&amp;" of Original Appropriation")</f>
        <v>Calculated overfunding is 24.4% of Original Appropriation</v>
      </c>
      <c r="K10" s="163"/>
      <c r="L10" s="164"/>
    </row>
    <row r="12" spans="1:12" x14ac:dyDescent="0.3">
      <c r="A12" s="469" t="s">
        <v>370</v>
      </c>
      <c r="B12" s="469"/>
      <c r="C12" s="469"/>
      <c r="D12" s="469"/>
      <c r="E12" s="469"/>
      <c r="F12" s="469"/>
      <c r="G12" s="469"/>
      <c r="H12" s="469"/>
      <c r="I12" s="469"/>
      <c r="J12" s="469"/>
      <c r="K12" s="469"/>
      <c r="L12" s="469"/>
    </row>
    <row r="13" spans="1:12" ht="40.200000000000003" x14ac:dyDescent="0.3">
      <c r="A13" s="386" t="s">
        <v>22</v>
      </c>
      <c r="B13" s="387"/>
      <c r="C13" s="370" t="s">
        <v>23</v>
      </c>
      <c r="D13" s="49" t="s">
        <v>24</v>
      </c>
      <c r="E13" s="50" t="str">
        <f>"FY "&amp;'SWCC|0522-00'!FiscalYear-1&amp;" SALARY"</f>
        <v>FY 2022 SALARY</v>
      </c>
      <c r="F13" s="50" t="str">
        <f>"FY "&amp;'SWCC|0522-00'!FiscalYear-1&amp;" HEALTH BENEFITS"</f>
        <v>FY 2022 HEALTH BENEFITS</v>
      </c>
      <c r="G13" s="50" t="str">
        <f>"FY "&amp;'SWCC|0522-00'!FiscalYear-1&amp;" VAR BENEFITS"</f>
        <v>FY 2022 VAR BENEFITS</v>
      </c>
      <c r="H13" s="50" t="str">
        <f>"FY "&amp;'SWCC|0522-00'!FiscalYear-1&amp;" TOTAL"</f>
        <v>FY 2022 TOTAL</v>
      </c>
      <c r="I13" s="50" t="str">
        <f>"FY "&amp;'SWCC|0522-00'!FiscalYear&amp;" SALARY CHANGE"</f>
        <v>FY 2023 SALARY CHANGE</v>
      </c>
      <c r="J13" s="50" t="str">
        <f>"FY "&amp;'SWCC|0522-00'!FiscalYear&amp;" CHG HEALTH BENEFITS"</f>
        <v>FY 2023 CHG HEALTH BENEFITS</v>
      </c>
      <c r="K13" s="50" t="str">
        <f>"FY "&amp;'SWCC|0522-00'!FiscalYear&amp;" CHG VAR BENEFITS"</f>
        <v>FY 2023 CHG VAR BENEFITS</v>
      </c>
      <c r="L13" s="50" t="s">
        <v>25</v>
      </c>
    </row>
    <row r="14" spans="1:12" x14ac:dyDescent="0.3">
      <c r="A14" s="388" t="s">
        <v>26</v>
      </c>
      <c r="B14" s="389"/>
      <c r="C14" s="141"/>
      <c r="D14" s="142"/>
      <c r="E14" s="143"/>
      <c r="F14" s="143"/>
      <c r="G14" s="143"/>
      <c r="H14" s="144"/>
      <c r="I14" s="144"/>
      <c r="J14" s="145"/>
      <c r="K14" s="146"/>
      <c r="L14" s="144"/>
    </row>
    <row r="15" spans="1:12" x14ac:dyDescent="0.3">
      <c r="A15" s="384" t="s">
        <v>27</v>
      </c>
      <c r="B15" s="390"/>
      <c r="C15" s="217">
        <v>1</v>
      </c>
      <c r="D15" s="288">
        <f>[0]!SWCC052200col_INC_FTI</f>
        <v>2.17</v>
      </c>
      <c r="E15" s="218">
        <f>[0]!SWCC052200col_FTI_SALARY_PERM</f>
        <v>115224.29999999999</v>
      </c>
      <c r="F15" s="218">
        <f>[0]!SWCC052200col_HEALTH_PERM</f>
        <v>25280.5</v>
      </c>
      <c r="G15" s="218">
        <f>[0]!SWCC052200col_TOT_VB_PERM</f>
        <v>26173.199745000005</v>
      </c>
      <c r="H15" s="219">
        <f>SUM(E15:G15)</f>
        <v>166677.99974499998</v>
      </c>
      <c r="I15" s="219">
        <f>[0]!SWCC052200col_1_27TH_PP</f>
        <v>0</v>
      </c>
      <c r="J15" s="218">
        <f>[0]!SWCC052200col_HEALTH_PERM_CHG</f>
        <v>0</v>
      </c>
      <c r="K15" s="218">
        <f>[0]!SWCC052200col_TOT_VB_PERM_CHG</f>
        <v>-760.48037999999974</v>
      </c>
      <c r="L15" s="218">
        <f>SUM(J15:K15)</f>
        <v>-760.48037999999974</v>
      </c>
    </row>
    <row r="16" spans="1:12" x14ac:dyDescent="0.3">
      <c r="A16" s="384" t="s">
        <v>28</v>
      </c>
      <c r="B16" s="390"/>
      <c r="C16" s="217">
        <v>2</v>
      </c>
      <c r="D16" s="288"/>
      <c r="E16" s="218">
        <f>[0]!SWCC052200col_Group_Salary</f>
        <v>370</v>
      </c>
      <c r="F16" s="218">
        <v>0</v>
      </c>
      <c r="G16" s="218">
        <f>[0]!SWCC052200col_Group_Ben</f>
        <v>30.84</v>
      </c>
      <c r="H16" s="219">
        <f>SUM(E16:G16)</f>
        <v>400.84</v>
      </c>
      <c r="I16" s="268"/>
      <c r="J16" s="218"/>
      <c r="K16" s="218"/>
      <c r="L16" s="218"/>
    </row>
    <row r="17" spans="1:12" x14ac:dyDescent="0.3">
      <c r="A17" s="384" t="s">
        <v>29</v>
      </c>
      <c r="B17" s="385"/>
      <c r="C17" s="217">
        <v>3</v>
      </c>
      <c r="D17" s="288">
        <f>[0]!SWCC052200col_TOTAL_ELECT_PCN_FTI</f>
        <v>0</v>
      </c>
      <c r="E17" s="218">
        <f>[0]!SWCC052200col_FTI_SALARY_ELECT</f>
        <v>0</v>
      </c>
      <c r="F17" s="218">
        <f>[0]!SWCC052200col_HEALTH_ELECT</f>
        <v>0</v>
      </c>
      <c r="G17" s="218">
        <f>[0]!SWCC052200col_TOT_VB_ELECT</f>
        <v>0</v>
      </c>
      <c r="H17" s="219">
        <f>SUM(E17:G17)</f>
        <v>0</v>
      </c>
      <c r="I17" s="268"/>
      <c r="J17" s="218">
        <f>[0]!SWCC052200col_HEALTH_ELECT_CHG</f>
        <v>0</v>
      </c>
      <c r="K17" s="218">
        <f>[0]!SWCC052200col_TOT_VB_ELECT_CHG</f>
        <v>0</v>
      </c>
      <c r="L17" s="219">
        <f>SUM(J17:K17)</f>
        <v>0</v>
      </c>
    </row>
    <row r="18" spans="1:12" x14ac:dyDescent="0.3">
      <c r="A18" s="384" t="s">
        <v>30</v>
      </c>
      <c r="B18" s="390"/>
      <c r="C18" s="217"/>
      <c r="D18" s="220">
        <f>SUM(D15:D17)</f>
        <v>2.17</v>
      </c>
      <c r="E18" s="221">
        <f>SUM(E15:E17)</f>
        <v>115594.29999999999</v>
      </c>
      <c r="F18" s="221">
        <f>SUM(F15:F17)</f>
        <v>25280.5</v>
      </c>
      <c r="G18" s="221">
        <f>SUM(G15:G17)</f>
        <v>26204.039745000005</v>
      </c>
      <c r="H18" s="219">
        <f>SUM(E18:G18)</f>
        <v>167078.839745</v>
      </c>
      <c r="I18" s="268"/>
      <c r="J18" s="219">
        <f>SUM(J15:J17)</f>
        <v>0</v>
      </c>
      <c r="K18" s="219">
        <f>SUM(K15:K17)</f>
        <v>-760.48037999999974</v>
      </c>
      <c r="L18" s="219">
        <f>SUM(L15:L17)</f>
        <v>-760.48037999999974</v>
      </c>
    </row>
    <row r="19" spans="1:12" x14ac:dyDescent="0.3">
      <c r="A19" s="365"/>
      <c r="B19" s="371"/>
      <c r="C19" s="217"/>
      <c r="D19" s="220"/>
      <c r="E19" s="219"/>
      <c r="F19" s="219"/>
      <c r="G19" s="219"/>
      <c r="H19" s="219"/>
      <c r="I19" s="268"/>
      <c r="J19" s="219"/>
      <c r="K19" s="222"/>
      <c r="L19" s="222"/>
    </row>
    <row r="20" spans="1:12" x14ac:dyDescent="0.3">
      <c r="A20" s="157" t="str">
        <f>"FY "&amp;'SWCC|0522-00'!FiscalYear-1</f>
        <v>FY 2022</v>
      </c>
      <c r="B20" s="158" t="s">
        <v>31</v>
      </c>
      <c r="C20" s="355">
        <v>179100</v>
      </c>
      <c r="D20" s="55">
        <v>2.13</v>
      </c>
      <c r="E20" s="223">
        <f>IF('SWCC|0522-00'!OrigApprop=0,0,(E18/H18)*'SWCC|0522-00'!OrigApprop)</f>
        <v>123911.19762141844</v>
      </c>
      <c r="F20" s="223">
        <f>IF('SWCC|0522-00'!OrigApprop=0,0,(F18/H18)*'SWCC|0522-00'!OrigApprop)</f>
        <v>27099.407422928893</v>
      </c>
      <c r="G20" s="223">
        <f>IF(E20=0,0,(G18/H18)*'SWCC|0522-00'!OrigApprop)</f>
        <v>28089.39495565265</v>
      </c>
      <c r="H20" s="223">
        <f>SUM(E20:G20)</f>
        <v>179099.99999999997</v>
      </c>
      <c r="I20" s="268"/>
      <c r="J20" s="224"/>
      <c r="K20" s="224"/>
      <c r="L20" s="224"/>
    </row>
    <row r="21" spans="1:12" x14ac:dyDescent="0.3">
      <c r="A21" s="391" t="s">
        <v>32</v>
      </c>
      <c r="B21" s="392"/>
      <c r="C21" s="160" t="s">
        <v>33</v>
      </c>
      <c r="D21" s="161">
        <f>D20-D18</f>
        <v>-4.0000000000000036E-2</v>
      </c>
      <c r="E21" s="162">
        <f>E20-E18</f>
        <v>8316.8976214184513</v>
      </c>
      <c r="F21" s="162">
        <f>F20-F18</f>
        <v>1818.9074229288926</v>
      </c>
      <c r="G21" s="162">
        <f>G20-G18</f>
        <v>1885.355210652644</v>
      </c>
      <c r="H21" s="162">
        <f>H20-H18</f>
        <v>12021.160254999966</v>
      </c>
      <c r="I21" s="269"/>
      <c r="J21" s="56" t="str">
        <f>IF('SWCC|0522-00'!OrigApprop=0,"ERROR! Enter Original Appropriation amount in DU 3.00!","Calculated "&amp;IF('SWCC|0522-00'!AdjustedTotal&gt;0,"overfunding ","underfunding ")&amp;"is "&amp;TEXT('SWCC|0522-00'!AdjustedTotal/'SWCC|0522-00'!AppropTotal,"#.0%;(#.0% );0% ;")&amp;" of Original Appropriation")</f>
        <v>Calculated overfunding is 6.7% of Original Appropriation</v>
      </c>
      <c r="K21" s="163"/>
      <c r="L21" s="164"/>
    </row>
  </sheetData>
  <mergeCells count="14">
    <mergeCell ref="A18:B18"/>
    <mergeCell ref="A21:B21"/>
    <mergeCell ref="A10:B10"/>
    <mergeCell ref="A13:B13"/>
    <mergeCell ref="A14:B14"/>
    <mergeCell ref="A15:B15"/>
    <mergeCell ref="A16:B16"/>
    <mergeCell ref="A17:B17"/>
    <mergeCell ref="A2:B2"/>
    <mergeCell ref="A3:B3"/>
    <mergeCell ref="A4:B4"/>
    <mergeCell ref="A5:B5"/>
    <mergeCell ref="A6:B6"/>
    <mergeCell ref="A7:B7"/>
  </mergeCells>
  <conditionalFormatting sqref="J10">
    <cfRule type="expression" dxfId="1" priority="2">
      <formula>$J$16&lt;0</formula>
    </cfRule>
  </conditionalFormatting>
  <conditionalFormatting sqref="J21">
    <cfRule type="expression" dxfId="0" priority="1">
      <formula>$J$16&lt;0</formula>
    </cfRule>
  </conditionalFormatting>
  <pageMargins left="0.7" right="0.7" top="0.75" bottom="0.75" header="0.3" footer="0.3"/>
  <pageSetup scale="66" orientation="landscape" r:id="rId1"/>
  <headerFooter>
    <oddHeader>&amp;L&amp;"Arial"&amp;14 Department of Agriculture&amp;R&amp;"Arial"&amp;10 Agency 215</oddHeader>
    <oddFooter>&amp;L&amp;"Arial"&amp;10 B6:Summary by Program, by Fund&amp;R&amp;"Arial"&amp;10 FY 2022 Request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2:M23"/>
  <sheetViews>
    <sheetView workbookViewId="0">
      <selection activeCell="E8" sqref="E8:M23"/>
    </sheetView>
  </sheetViews>
  <sheetFormatPr defaultRowHeight="14.4" x14ac:dyDescent="0.3"/>
  <cols>
    <col min="1" max="1" width="2.77734375" customWidth="1"/>
    <col min="2" max="2" width="9.5546875" bestFit="1" customWidth="1"/>
    <col min="3" max="3" width="7.6640625" bestFit="1" customWidth="1"/>
    <col min="4" max="4" width="5.6640625" customWidth="1"/>
    <col min="5" max="5" width="6.6640625" bestFit="1" customWidth="1"/>
    <col min="6" max="6" width="11.77734375" bestFit="1" customWidth="1"/>
    <col min="7" max="7" width="14" bestFit="1" customWidth="1"/>
    <col min="8" max="8" width="11.77734375" bestFit="1" customWidth="1"/>
    <col min="9" max="9" width="15.44140625" bestFit="1" customWidth="1"/>
    <col min="10" max="10" width="17" bestFit="1" customWidth="1"/>
    <col min="11" max="11" width="11.77734375" bestFit="1" customWidth="1"/>
    <col min="12" max="12" width="15.44140625" bestFit="1" customWidth="1"/>
    <col min="13" max="13" width="17" bestFit="1" customWidth="1"/>
  </cols>
  <sheetData>
    <row r="2" spans="1:13" ht="21" x14ac:dyDescent="0.4">
      <c r="A2" s="251" t="s">
        <v>97</v>
      </c>
      <c r="B2" s="251"/>
      <c r="C2" s="251"/>
    </row>
    <row r="4" spans="1:13" ht="21" x14ac:dyDescent="0.4">
      <c r="A4" s="252"/>
      <c r="B4" s="252"/>
      <c r="C4" s="252"/>
    </row>
    <row r="5" spans="1:13" ht="15.75" customHeight="1" x14ac:dyDescent="0.3">
      <c r="E5" s="255" t="s">
        <v>83</v>
      </c>
      <c r="F5" s="454" t="s">
        <v>374</v>
      </c>
      <c r="G5" s="454"/>
      <c r="H5" s="455" t="s">
        <v>372</v>
      </c>
      <c r="I5" s="454" t="s">
        <v>375</v>
      </c>
      <c r="J5" s="454"/>
      <c r="K5" s="455" t="s">
        <v>373</v>
      </c>
      <c r="L5" s="454" t="s">
        <v>376</v>
      </c>
      <c r="M5" s="454"/>
    </row>
    <row r="6" spans="1:13" ht="15.6" x14ac:dyDescent="0.3">
      <c r="E6" s="249"/>
      <c r="F6" s="253" t="s">
        <v>94</v>
      </c>
      <c r="G6" s="254" t="s">
        <v>96</v>
      </c>
      <c r="H6" s="456"/>
      <c r="I6" s="253" t="s">
        <v>98</v>
      </c>
      <c r="J6" s="254" t="s">
        <v>95</v>
      </c>
      <c r="K6" s="456"/>
      <c r="L6" s="278" t="s">
        <v>98</v>
      </c>
      <c r="M6" s="254" t="s">
        <v>95</v>
      </c>
    </row>
    <row r="7" spans="1:13" x14ac:dyDescent="0.3">
      <c r="A7" s="466" t="s">
        <v>377</v>
      </c>
      <c r="D7" s="250"/>
    </row>
    <row r="8" spans="1:13" x14ac:dyDescent="0.3">
      <c r="C8" t="s">
        <v>362</v>
      </c>
      <c r="D8" s="250"/>
      <c r="E8" s="476">
        <f>Data!AS49</f>
        <v>12.3925</v>
      </c>
      <c r="F8" s="476">
        <f>Data!AT49</f>
        <v>764650.74</v>
      </c>
      <c r="G8" s="476">
        <f>Data!AU49</f>
        <v>320969.68000000005</v>
      </c>
      <c r="H8" s="476">
        <f>Data!AV49</f>
        <v>677112.59000000008</v>
      </c>
      <c r="I8" s="476">
        <f>Data!AW49</f>
        <v>147139.5</v>
      </c>
      <c r="J8" s="476">
        <f>Data!AX49</f>
        <v>153806.12481850001</v>
      </c>
      <c r="K8" s="476">
        <f>Data!AY49</f>
        <v>677112.59000000008</v>
      </c>
      <c r="L8" s="476">
        <f>Data!AZ49</f>
        <v>147139.5</v>
      </c>
      <c r="M8" s="476">
        <f>Data!BA49</f>
        <v>149337.1817245</v>
      </c>
    </row>
    <row r="9" spans="1:13" x14ac:dyDescent="0.3">
      <c r="B9" t="s">
        <v>378</v>
      </c>
      <c r="D9" s="250"/>
      <c r="E9" s="477">
        <f>Data!AS50</f>
        <v>12.3925</v>
      </c>
      <c r="F9" s="477">
        <f>Data!AT50</f>
        <v>764650.74</v>
      </c>
      <c r="G9" s="477">
        <f>Data!AU50</f>
        <v>320969.68000000005</v>
      </c>
      <c r="H9" s="477">
        <f>Data!AV50</f>
        <v>677112.59000000008</v>
      </c>
      <c r="I9" s="477">
        <f>Data!AW50</f>
        <v>147139.5</v>
      </c>
      <c r="J9" s="477">
        <f>Data!AX50</f>
        <v>153806.12481850001</v>
      </c>
      <c r="K9" s="477">
        <f>Data!AY50</f>
        <v>677112.59000000008</v>
      </c>
      <c r="L9" s="477">
        <f>Data!AZ50</f>
        <v>147139.5</v>
      </c>
      <c r="M9" s="477">
        <f>Data!BA50</f>
        <v>149337.1817245</v>
      </c>
    </row>
    <row r="10" spans="1:13" x14ac:dyDescent="0.3">
      <c r="C10" t="s">
        <v>368</v>
      </c>
      <c r="D10" s="250"/>
      <c r="E10" s="476">
        <f>Data!AS51</f>
        <v>2.17</v>
      </c>
      <c r="F10" s="476">
        <f>Data!AT51</f>
        <v>114274.19</v>
      </c>
      <c r="G10" s="476">
        <f>Data!AU51</f>
        <v>49290.14</v>
      </c>
      <c r="H10" s="476">
        <f>Data!AV51</f>
        <v>115224.29999999999</v>
      </c>
      <c r="I10" s="476">
        <f>Data!AW51</f>
        <v>25280.5</v>
      </c>
      <c r="J10" s="476">
        <f>Data!AX51</f>
        <v>26173.199745000005</v>
      </c>
      <c r="K10" s="476">
        <f>Data!AY51</f>
        <v>115224.29999999999</v>
      </c>
      <c r="L10" s="476">
        <f>Data!AZ51</f>
        <v>25280.5</v>
      </c>
      <c r="M10" s="476">
        <f>Data!BA51</f>
        <v>25412.719365000001</v>
      </c>
    </row>
    <row r="11" spans="1:13" x14ac:dyDescent="0.3">
      <c r="B11" t="s">
        <v>379</v>
      </c>
      <c r="D11" s="250"/>
      <c r="E11" s="477">
        <f>Data!AS52</f>
        <v>2.17</v>
      </c>
      <c r="F11" s="477">
        <f>Data!AT52</f>
        <v>114274.19</v>
      </c>
      <c r="G11" s="477">
        <f>Data!AU52</f>
        <v>49290.14</v>
      </c>
      <c r="H11" s="477">
        <f>Data!AV52</f>
        <v>115224.29999999999</v>
      </c>
      <c r="I11" s="477">
        <f>Data!AW52</f>
        <v>25280.5</v>
      </c>
      <c r="J11" s="477">
        <f>Data!AX52</f>
        <v>26173.199745000005</v>
      </c>
      <c r="K11" s="477">
        <f>Data!AY52</f>
        <v>115224.29999999999</v>
      </c>
      <c r="L11" s="477">
        <f>Data!AZ52</f>
        <v>25280.5</v>
      </c>
      <c r="M11" s="477">
        <f>Data!BA52</f>
        <v>25412.719365000001</v>
      </c>
    </row>
    <row r="12" spans="1:13" x14ac:dyDescent="0.3">
      <c r="D12" s="250"/>
      <c r="E12" s="476">
        <f>Data!AS53</f>
        <v>0</v>
      </c>
      <c r="F12" s="476">
        <f>Data!AT53</f>
        <v>0</v>
      </c>
      <c r="G12" s="476">
        <f>Data!AU53</f>
        <v>0</v>
      </c>
      <c r="H12" s="476">
        <f>Data!AV53</f>
        <v>0</v>
      </c>
      <c r="I12" s="476">
        <f>Data!AW53</f>
        <v>0</v>
      </c>
      <c r="J12" s="476">
        <f>Data!AX53</f>
        <v>0</v>
      </c>
      <c r="K12" s="476">
        <f>Data!AY53</f>
        <v>0</v>
      </c>
      <c r="L12" s="476">
        <f>Data!AZ53</f>
        <v>0</v>
      </c>
      <c r="M12" s="476">
        <f>Data!BA53</f>
        <v>0</v>
      </c>
    </row>
    <row r="13" spans="1:13" x14ac:dyDescent="0.3">
      <c r="A13" s="470" t="s">
        <v>380</v>
      </c>
      <c r="D13" s="250"/>
      <c r="E13" s="478">
        <f>Data!AS54</f>
        <v>14.5625</v>
      </c>
      <c r="F13" s="478">
        <f>Data!AT54</f>
        <v>878924.92999999993</v>
      </c>
      <c r="G13" s="478">
        <f>Data!AU54</f>
        <v>370259.82000000007</v>
      </c>
      <c r="H13" s="478">
        <f>Data!AV54</f>
        <v>792336.89000000013</v>
      </c>
      <c r="I13" s="478">
        <f>Data!AW54</f>
        <v>172420</v>
      </c>
      <c r="J13" s="478">
        <f>Data!AX54</f>
        <v>179979.32456350001</v>
      </c>
      <c r="K13" s="478">
        <f>Data!AY54</f>
        <v>792336.89000000013</v>
      </c>
      <c r="L13" s="478">
        <f>Data!AZ54</f>
        <v>172420</v>
      </c>
      <c r="M13" s="478">
        <f>Data!BA54</f>
        <v>174749.9010895</v>
      </c>
    </row>
    <row r="14" spans="1:13" x14ac:dyDescent="0.3">
      <c r="E14" s="476">
        <f>Data!AS55</f>
        <v>0</v>
      </c>
      <c r="F14" s="476">
        <f>Data!AT55</f>
        <v>0</v>
      </c>
      <c r="G14" s="476">
        <f>Data!AU55</f>
        <v>0</v>
      </c>
      <c r="H14" s="476">
        <f>Data!AV55</f>
        <v>0</v>
      </c>
      <c r="I14" s="476">
        <f>Data!AW55</f>
        <v>0</v>
      </c>
      <c r="J14" s="476">
        <f>Data!AX55</f>
        <v>0</v>
      </c>
      <c r="K14" s="476">
        <f>Data!AY55</f>
        <v>0</v>
      </c>
      <c r="L14" s="476">
        <f>Data!AZ55</f>
        <v>0</v>
      </c>
      <c r="M14" s="476">
        <f>Data!BA55</f>
        <v>0</v>
      </c>
    </row>
    <row r="15" spans="1:13" x14ac:dyDescent="0.3">
      <c r="A15" s="466" t="s">
        <v>381</v>
      </c>
      <c r="E15" s="476">
        <f>Data!AS56</f>
        <v>0</v>
      </c>
      <c r="F15" s="476">
        <f>Data!AT56</f>
        <v>0</v>
      </c>
      <c r="G15" s="476">
        <f>Data!AU56</f>
        <v>0</v>
      </c>
      <c r="H15" s="476">
        <f>Data!AV56</f>
        <v>0</v>
      </c>
      <c r="I15" s="476">
        <f>Data!AW56</f>
        <v>0</v>
      </c>
      <c r="J15" s="476">
        <f>Data!AX56</f>
        <v>0</v>
      </c>
      <c r="K15" s="476">
        <f>Data!AY56</f>
        <v>0</v>
      </c>
      <c r="L15" s="476">
        <f>Data!AZ56</f>
        <v>0</v>
      </c>
      <c r="M15" s="476">
        <f>Data!BA56</f>
        <v>0</v>
      </c>
    </row>
    <row r="16" spans="1:13" x14ac:dyDescent="0.3">
      <c r="C16" t="s">
        <v>362</v>
      </c>
      <c r="E16" s="476">
        <f>Data!AS57</f>
        <v>0</v>
      </c>
      <c r="F16" s="476">
        <f>Data!AT57</f>
        <v>5724</v>
      </c>
      <c r="G16" s="476">
        <f>Data!AU57</f>
        <v>467.59999999999997</v>
      </c>
      <c r="H16" s="476">
        <f>Data!AV57</f>
        <v>5724</v>
      </c>
      <c r="I16" s="476">
        <f>Data!AW57</f>
        <v>0</v>
      </c>
      <c r="J16" s="476">
        <f>Data!AX57</f>
        <v>467.59999999999997</v>
      </c>
      <c r="K16" s="476">
        <f>Data!AY57</f>
        <v>5724</v>
      </c>
      <c r="L16" s="476">
        <f>Data!AZ57</f>
        <v>0</v>
      </c>
      <c r="M16" s="476">
        <f>Data!BA57</f>
        <v>467.59999999999997</v>
      </c>
    </row>
    <row r="17" spans="1:13" x14ac:dyDescent="0.3">
      <c r="B17" t="s">
        <v>378</v>
      </c>
      <c r="E17" s="477">
        <f>Data!AS58</f>
        <v>0</v>
      </c>
      <c r="F17" s="477">
        <f>Data!AT58</f>
        <v>5724</v>
      </c>
      <c r="G17" s="477">
        <f>Data!AU58</f>
        <v>467.59999999999997</v>
      </c>
      <c r="H17" s="477">
        <f>Data!AV58</f>
        <v>5724</v>
      </c>
      <c r="I17" s="477">
        <f>Data!AW58</f>
        <v>0</v>
      </c>
      <c r="J17" s="477">
        <f>Data!AX58</f>
        <v>467.59999999999997</v>
      </c>
      <c r="K17" s="477">
        <f>Data!AY58</f>
        <v>5724</v>
      </c>
      <c r="L17" s="477">
        <f>Data!AZ58</f>
        <v>0</v>
      </c>
      <c r="M17" s="477">
        <f>Data!BA58</f>
        <v>467.59999999999997</v>
      </c>
    </row>
    <row r="18" spans="1:13" x14ac:dyDescent="0.3">
      <c r="C18" t="s">
        <v>368</v>
      </c>
      <c r="E18" s="476">
        <f>Data!AS59</f>
        <v>0</v>
      </c>
      <c r="F18" s="476">
        <f>Data!AT59</f>
        <v>370</v>
      </c>
      <c r="G18" s="476">
        <f>Data!AU59</f>
        <v>30.84</v>
      </c>
      <c r="H18" s="476">
        <f>Data!AV59</f>
        <v>370</v>
      </c>
      <c r="I18" s="476">
        <f>Data!AW59</f>
        <v>0</v>
      </c>
      <c r="J18" s="476">
        <f>Data!AX59</f>
        <v>30.84</v>
      </c>
      <c r="K18" s="476">
        <f>Data!AY59</f>
        <v>370</v>
      </c>
      <c r="L18" s="476">
        <f>Data!AZ59</f>
        <v>0</v>
      </c>
      <c r="M18" s="476">
        <f>Data!BA59</f>
        <v>30.84</v>
      </c>
    </row>
    <row r="19" spans="1:13" x14ac:dyDescent="0.3">
      <c r="B19" t="s">
        <v>379</v>
      </c>
      <c r="E19" s="477">
        <f>Data!AS60</f>
        <v>0</v>
      </c>
      <c r="F19" s="477">
        <f>Data!AT60</f>
        <v>370</v>
      </c>
      <c r="G19" s="477">
        <f>Data!AU60</f>
        <v>30.84</v>
      </c>
      <c r="H19" s="477">
        <f>Data!AV60</f>
        <v>370</v>
      </c>
      <c r="I19" s="477">
        <f>Data!AW60</f>
        <v>0</v>
      </c>
      <c r="J19" s="477">
        <f>Data!AX60</f>
        <v>30.84</v>
      </c>
      <c r="K19" s="477">
        <f>Data!AY60</f>
        <v>370</v>
      </c>
      <c r="L19" s="477">
        <f>Data!AZ60</f>
        <v>0</v>
      </c>
      <c r="M19" s="477">
        <f>Data!BA60</f>
        <v>30.84</v>
      </c>
    </row>
    <row r="20" spans="1:13" x14ac:dyDescent="0.3">
      <c r="E20" s="476">
        <f>Data!AS61</f>
        <v>0</v>
      </c>
      <c r="F20" s="476">
        <f>Data!AT61</f>
        <v>0</v>
      </c>
      <c r="G20" s="476">
        <f>Data!AU61</f>
        <v>0</v>
      </c>
      <c r="H20" s="476">
        <f>Data!AV61</f>
        <v>0</v>
      </c>
      <c r="I20" s="476">
        <f>Data!AW61</f>
        <v>0</v>
      </c>
      <c r="J20" s="476">
        <f>Data!AX61</f>
        <v>0</v>
      </c>
      <c r="K20" s="476">
        <f>Data!AY61</f>
        <v>0</v>
      </c>
      <c r="L20" s="476">
        <f>Data!AZ61</f>
        <v>0</v>
      </c>
      <c r="M20" s="476">
        <f>Data!BA61</f>
        <v>0</v>
      </c>
    </row>
    <row r="21" spans="1:13" x14ac:dyDescent="0.3">
      <c r="A21" s="470" t="s">
        <v>382</v>
      </c>
      <c r="E21" s="478">
        <f>Data!AS62</f>
        <v>0</v>
      </c>
      <c r="F21" s="478">
        <f>Data!AT62</f>
        <v>6094</v>
      </c>
      <c r="G21" s="478">
        <f>Data!AU62</f>
        <v>498.43999999999994</v>
      </c>
      <c r="H21" s="478">
        <f>Data!AV62</f>
        <v>6094</v>
      </c>
      <c r="I21" s="478">
        <f>Data!AW62</f>
        <v>0</v>
      </c>
      <c r="J21" s="478">
        <f>Data!AX62</f>
        <v>498.43999999999994</v>
      </c>
      <c r="K21" s="478">
        <f>Data!AY62</f>
        <v>6094</v>
      </c>
      <c r="L21" s="478">
        <f>Data!AZ62</f>
        <v>0</v>
      </c>
      <c r="M21" s="478">
        <f>Data!BA62</f>
        <v>498.43999999999994</v>
      </c>
    </row>
    <row r="22" spans="1:13" x14ac:dyDescent="0.3">
      <c r="E22" s="476">
        <f>Data!AS63</f>
        <v>0</v>
      </c>
      <c r="F22" s="476">
        <f>Data!AT63</f>
        <v>0</v>
      </c>
      <c r="G22" s="476">
        <f>Data!AU63</f>
        <v>0</v>
      </c>
      <c r="H22" s="476">
        <f>Data!AV63</f>
        <v>0</v>
      </c>
      <c r="I22" s="476">
        <f>Data!AW63</f>
        <v>0</v>
      </c>
      <c r="J22" s="476">
        <f>Data!AX63</f>
        <v>0</v>
      </c>
      <c r="K22" s="476">
        <f>Data!AY63</f>
        <v>0</v>
      </c>
      <c r="L22" s="476">
        <f>Data!AZ63</f>
        <v>0</v>
      </c>
      <c r="M22" s="476">
        <f>Data!BA63</f>
        <v>0</v>
      </c>
    </row>
    <row r="23" spans="1:13" x14ac:dyDescent="0.3">
      <c r="A23" s="471" t="s">
        <v>383</v>
      </c>
      <c r="E23" s="474">
        <f>Data!AS64</f>
        <v>14.5625</v>
      </c>
      <c r="F23" s="475">
        <f>Data!AT64</f>
        <v>885018.92999999993</v>
      </c>
      <c r="G23" s="475">
        <f>Data!AU64</f>
        <v>370758.26000000007</v>
      </c>
      <c r="H23" s="475">
        <f>Data!AV64</f>
        <v>798430.89000000013</v>
      </c>
      <c r="I23" s="475">
        <f>Data!AW64</f>
        <v>172420</v>
      </c>
      <c r="J23" s="475">
        <f>Data!AX64</f>
        <v>180477.76456350001</v>
      </c>
      <c r="K23" s="475">
        <f>Data!AY64</f>
        <v>798430.89000000013</v>
      </c>
      <c r="L23" s="475">
        <f>Data!AZ64</f>
        <v>172420</v>
      </c>
      <c r="M23" s="475">
        <f>Data!BA64</f>
        <v>175248.3410895</v>
      </c>
    </row>
  </sheetData>
  <mergeCells count="5">
    <mergeCell ref="F5:G5"/>
    <mergeCell ref="I5:J5"/>
    <mergeCell ref="L5:M5"/>
    <mergeCell ref="H5:H6"/>
    <mergeCell ref="K5:K6"/>
  </mergeCells>
  <pageMargins left="0.7" right="0.7" top="0.75" bottom="0.75" header="0.3" footer="0.3"/>
  <pageSetup scale="84" orientation="landscape" horizontalDpi="1200" verticalDpi="1200" r:id="rId1"/>
  <headerFooter>
    <oddHeader>&amp;L&amp;"Arial"&amp;14 Department of Agriculture&amp;R&amp;"Arial"&amp;10 Agency 215</oddHeader>
    <oddFooter>&amp;L&amp;"Arial"&amp;10 B6:Summary by Fund&amp;R&amp;"Arial"&amp;10 FY 2022 Request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421</vt:i4>
      </vt:variant>
    </vt:vector>
  </HeadingPairs>
  <TitlesOfParts>
    <vt:vector size="428" baseType="lpstr">
      <vt:lpstr>SWCC|0001-00</vt:lpstr>
      <vt:lpstr>SWCC|0522-00</vt:lpstr>
      <vt:lpstr>Data</vt:lpstr>
      <vt:lpstr>Benefits</vt:lpstr>
      <vt:lpstr>B6</vt:lpstr>
      <vt:lpstr>Summary</vt:lpstr>
      <vt:lpstr>FundSummary</vt:lpstr>
      <vt:lpstr>'SWCC|0001-00'!AdjGroupHlth</vt:lpstr>
      <vt:lpstr>'SWCC|0522-00'!AdjGroupHlth</vt:lpstr>
      <vt:lpstr>AdjGroupHlth</vt:lpstr>
      <vt:lpstr>'SWCC|0001-00'!AdjGroupSalary</vt:lpstr>
      <vt:lpstr>'SWCC|0522-00'!AdjGroupSalary</vt:lpstr>
      <vt:lpstr>AdjGroupSalary</vt:lpstr>
      <vt:lpstr>'SWCC|0001-00'!AdjGroupVB</vt:lpstr>
      <vt:lpstr>'SWCC|0522-00'!AdjGroupVB</vt:lpstr>
      <vt:lpstr>AdjGroupVB</vt:lpstr>
      <vt:lpstr>'SWCC|0001-00'!AdjGroupVBBY</vt:lpstr>
      <vt:lpstr>'SWCC|0522-00'!AdjGroupVBBY</vt:lpstr>
      <vt:lpstr>AdjGroupVBBY</vt:lpstr>
      <vt:lpstr>'SWCC|0001-00'!AdjPermHlth</vt:lpstr>
      <vt:lpstr>'SWCC|0522-00'!AdjPermHlth</vt:lpstr>
      <vt:lpstr>AdjPermHlth</vt:lpstr>
      <vt:lpstr>'SWCC|0001-00'!AdjPermHlthBY</vt:lpstr>
      <vt:lpstr>'SWCC|0522-00'!AdjPermHlthBY</vt:lpstr>
      <vt:lpstr>AdjPermHlthBY</vt:lpstr>
      <vt:lpstr>'SWCC|0001-00'!AdjPermSalary</vt:lpstr>
      <vt:lpstr>'SWCC|0522-00'!AdjPermSalary</vt:lpstr>
      <vt:lpstr>AdjPermSalary</vt:lpstr>
      <vt:lpstr>'SWCC|0001-00'!AdjPermVB</vt:lpstr>
      <vt:lpstr>'SWCC|0522-00'!AdjPermVB</vt:lpstr>
      <vt:lpstr>AdjPermVB</vt:lpstr>
      <vt:lpstr>'SWCC|0001-00'!AdjPermVBBY</vt:lpstr>
      <vt:lpstr>'SWCC|0522-00'!AdjPermVBBY</vt:lpstr>
      <vt:lpstr>AdjPermVBBY</vt:lpstr>
      <vt:lpstr>'SWCC|0001-00'!AdjustedTotal</vt:lpstr>
      <vt:lpstr>'SWCC|0522-00'!AdjustedTotal</vt:lpstr>
      <vt:lpstr>AdjustedTotal</vt:lpstr>
      <vt:lpstr>'SWCC|0001-00'!AgencyNum</vt:lpstr>
      <vt:lpstr>'SWCC|0522-00'!AgencyNum</vt:lpstr>
      <vt:lpstr>AgencyNum</vt:lpstr>
      <vt:lpstr>'SWCC|0001-00'!AppropFTP</vt:lpstr>
      <vt:lpstr>'SWCC|0522-00'!AppropFTP</vt:lpstr>
      <vt:lpstr>AppropFTP</vt:lpstr>
      <vt:lpstr>'SWCC|0001-00'!AppropTotal</vt:lpstr>
      <vt:lpstr>'SWCC|0522-00'!AppropTotal</vt:lpstr>
      <vt:lpstr>AppropTotal</vt:lpstr>
      <vt:lpstr>'SWCC|0001-00'!AtZHealth</vt:lpstr>
      <vt:lpstr>'SWCC|0522-00'!AtZHealth</vt:lpstr>
      <vt:lpstr>AtZHealth</vt:lpstr>
      <vt:lpstr>'SWCC|0001-00'!AtZSalary</vt:lpstr>
      <vt:lpstr>'SWCC|0522-00'!AtZSalary</vt:lpstr>
      <vt:lpstr>AtZSalary</vt:lpstr>
      <vt:lpstr>'SWCC|0001-00'!AtZTotal</vt:lpstr>
      <vt:lpstr>'SWCC|0522-00'!AtZTotal</vt:lpstr>
      <vt:lpstr>AtZTotal</vt:lpstr>
      <vt:lpstr>'SWCC|0001-00'!AtZVarBen</vt:lpstr>
      <vt:lpstr>'SWCC|0522-00'!AtZVarBen</vt:lpstr>
      <vt:lpstr>AtZVarBen</vt:lpstr>
      <vt:lpstr>'SWCC|0001-00'!BudgetUnit</vt:lpstr>
      <vt:lpstr>'SWCC|0522-00'!BudgetUnit</vt:lpstr>
      <vt:lpstr>BudgetUnit</vt:lpstr>
      <vt:lpstr>BudgetYear</vt:lpstr>
      <vt:lpstr>CECGroup</vt:lpstr>
      <vt:lpstr>'SWCC|0001-00'!CECOrigElectSalary</vt:lpstr>
      <vt:lpstr>'SWCC|0522-00'!CECOrigElectSalary</vt:lpstr>
      <vt:lpstr>CECOrigElectSalary</vt:lpstr>
      <vt:lpstr>'SWCC|0001-00'!CECOrigElectVB</vt:lpstr>
      <vt:lpstr>'SWCC|0522-00'!CECOrigElectVB</vt:lpstr>
      <vt:lpstr>CECOrigElectVB</vt:lpstr>
      <vt:lpstr>'SWCC|0001-00'!CECOrigGroupSalary</vt:lpstr>
      <vt:lpstr>'SWCC|0522-00'!CECOrigGroupSalary</vt:lpstr>
      <vt:lpstr>CECOrigGroupSalary</vt:lpstr>
      <vt:lpstr>'SWCC|0001-00'!CECOrigGroupVB</vt:lpstr>
      <vt:lpstr>'SWCC|0522-00'!CECOrigGroupVB</vt:lpstr>
      <vt:lpstr>CECOrigGroupVB</vt:lpstr>
      <vt:lpstr>'SWCC|0001-00'!CECOrigPermSalary</vt:lpstr>
      <vt:lpstr>'SWCC|0522-00'!CECOrigPermSalary</vt:lpstr>
      <vt:lpstr>CECOrigPermSalary</vt:lpstr>
      <vt:lpstr>'SWCC|0001-00'!CECOrigPermVB</vt:lpstr>
      <vt:lpstr>'SWCC|0522-00'!CECOrigPermVB</vt:lpstr>
      <vt:lpstr>CECOrigPermVB</vt:lpstr>
      <vt:lpstr>CECPerm</vt:lpstr>
      <vt:lpstr>'SWCC|0001-00'!CECpermCalc</vt:lpstr>
      <vt:lpstr>'SWCC|0522-00'!CECpermCalc</vt:lpstr>
      <vt:lpstr>CECpermCalc</vt:lpstr>
      <vt:lpstr>'SWCC|0001-00'!Department</vt:lpstr>
      <vt:lpstr>'SWCC|0522-00'!Department</vt:lpstr>
      <vt:lpstr>Department</vt:lpstr>
      <vt:lpstr>DHR</vt:lpstr>
      <vt:lpstr>DHRBY</vt:lpstr>
      <vt:lpstr>DHRCHG</vt:lpstr>
      <vt:lpstr>'SWCC|0001-00'!Division</vt:lpstr>
      <vt:lpstr>'SWCC|0522-00'!Division</vt:lpstr>
      <vt:lpstr>Division</vt:lpstr>
      <vt:lpstr>'SWCC|0001-00'!DUCECElect</vt:lpstr>
      <vt:lpstr>'SWCC|0522-00'!DUCECElect</vt:lpstr>
      <vt:lpstr>DUCECElect</vt:lpstr>
      <vt:lpstr>'SWCC|0001-00'!DUCECGroup</vt:lpstr>
      <vt:lpstr>'SWCC|0522-00'!DUCECGroup</vt:lpstr>
      <vt:lpstr>DUCECGroup</vt:lpstr>
      <vt:lpstr>'SWCC|0001-00'!DUCECPerm</vt:lpstr>
      <vt:lpstr>'SWCC|0522-00'!DUCECPerm</vt:lpstr>
      <vt:lpstr>DUCECPerm</vt:lpstr>
      <vt:lpstr>'SWCC|0001-00'!DUEleven</vt:lpstr>
      <vt:lpstr>'SWCC|0522-00'!DUEleven</vt:lpstr>
      <vt:lpstr>DUEleven</vt:lpstr>
      <vt:lpstr>'SWCC|0001-00'!DUHealthBen</vt:lpstr>
      <vt:lpstr>'SWCC|0522-00'!DUHealthBen</vt:lpstr>
      <vt:lpstr>DUHealthBen</vt:lpstr>
      <vt:lpstr>'SWCC|0001-00'!DUNine</vt:lpstr>
      <vt:lpstr>'SWCC|0522-00'!DUNine</vt:lpstr>
      <vt:lpstr>DUNine</vt:lpstr>
      <vt:lpstr>'SWCC|0001-00'!DUThirteen</vt:lpstr>
      <vt:lpstr>'SWCC|0522-00'!DUThirteen</vt:lpstr>
      <vt:lpstr>DUThirteen</vt:lpstr>
      <vt:lpstr>'SWCC|0001-00'!DUVariableBen</vt:lpstr>
      <vt:lpstr>'SWCC|0522-00'!DUVariableBen</vt:lpstr>
      <vt:lpstr>DUVariableBen</vt:lpstr>
      <vt:lpstr>'SWCC|0001-00'!Elect_chg_health</vt:lpstr>
      <vt:lpstr>'SWCC|0522-00'!Elect_chg_health</vt:lpstr>
      <vt:lpstr>Elect_chg_health</vt:lpstr>
      <vt:lpstr>'SWCC|0001-00'!Elect_chg_Var</vt:lpstr>
      <vt:lpstr>'SWCC|0522-00'!Elect_chg_Var</vt:lpstr>
      <vt:lpstr>Elect_chg_Var</vt:lpstr>
      <vt:lpstr>'SWCC|0001-00'!elect_FTP</vt:lpstr>
      <vt:lpstr>'SWCC|0522-00'!elect_FTP</vt:lpstr>
      <vt:lpstr>elect_FTP</vt:lpstr>
      <vt:lpstr>'SWCC|0001-00'!Elect_health</vt:lpstr>
      <vt:lpstr>'SWCC|0522-00'!Elect_health</vt:lpstr>
      <vt:lpstr>Elect_health</vt:lpstr>
      <vt:lpstr>'SWCC|0001-00'!Elect_name</vt:lpstr>
      <vt:lpstr>'SWCC|0522-00'!Elect_name</vt:lpstr>
      <vt:lpstr>Elect_name</vt:lpstr>
      <vt:lpstr>'SWCC|0001-00'!Elect_salary</vt:lpstr>
      <vt:lpstr>'SWCC|0522-00'!Elect_salary</vt:lpstr>
      <vt:lpstr>Elect_salary</vt:lpstr>
      <vt:lpstr>'SWCC|0001-00'!Elect_Var</vt:lpstr>
      <vt:lpstr>'SWCC|0522-00'!Elect_Var</vt:lpstr>
      <vt:lpstr>Elect_Var</vt:lpstr>
      <vt:lpstr>'SWCC|0001-00'!Elect_VarBen</vt:lpstr>
      <vt:lpstr>'SWCC|0522-00'!Elect_VarBen</vt:lpstr>
      <vt:lpstr>Elect_VarBen</vt:lpstr>
      <vt:lpstr>ElectVB</vt:lpstr>
      <vt:lpstr>ElectVBBY</vt:lpstr>
      <vt:lpstr>ElectVBCHG</vt:lpstr>
      <vt:lpstr>FillRate_Avg</vt:lpstr>
      <vt:lpstr>'SWCC|0001-00'!FiscalYear</vt:lpstr>
      <vt:lpstr>'SWCC|0522-00'!FiscalYear</vt:lpstr>
      <vt:lpstr>FiscalYear</vt:lpstr>
      <vt:lpstr>'SWCC|0001-00'!FundName</vt:lpstr>
      <vt:lpstr>'SWCC|0522-00'!FundName</vt:lpstr>
      <vt:lpstr>FundName</vt:lpstr>
      <vt:lpstr>'SWCC|0001-00'!FundNum</vt:lpstr>
      <vt:lpstr>'SWCC|0522-00'!FundNum</vt:lpstr>
      <vt:lpstr>FundNum</vt:lpstr>
      <vt:lpstr>'SWCC|0001-00'!FundNumber</vt:lpstr>
      <vt:lpstr>'SWCC|0522-00'!FundNumber</vt:lpstr>
      <vt:lpstr>FundNumber</vt:lpstr>
      <vt:lpstr>FundSummaryEst</vt:lpstr>
      <vt:lpstr>FundSummaryLastColumn</vt:lpstr>
      <vt:lpstr>FundSummaryPermActual</vt:lpstr>
      <vt:lpstr>FundSummaryPermBY</vt:lpstr>
      <vt:lpstr>FundSummaryPermCY</vt:lpstr>
      <vt:lpstr>FundSummaryProj</vt:lpstr>
      <vt:lpstr>FundSummaryStartData</vt:lpstr>
      <vt:lpstr>'SWCC|0001-00'!Group_name</vt:lpstr>
      <vt:lpstr>'SWCC|0522-00'!Group_name</vt:lpstr>
      <vt:lpstr>Group_name</vt:lpstr>
      <vt:lpstr>'SWCC|0001-00'!GroupFxdBen</vt:lpstr>
      <vt:lpstr>'SWCC|0522-00'!GroupFxdBen</vt:lpstr>
      <vt:lpstr>GroupFxdBen</vt:lpstr>
      <vt:lpstr>'SWCC|0001-00'!GroupSalary</vt:lpstr>
      <vt:lpstr>'SWCC|0522-00'!GroupSalary</vt:lpstr>
      <vt:lpstr>GroupSalary</vt:lpstr>
      <vt:lpstr>'SWCC|0001-00'!GroupVarBen</vt:lpstr>
      <vt:lpstr>'SWCC|0522-00'!GroupVarBen</vt:lpstr>
      <vt:lpstr>GroupVarBen</vt:lpstr>
      <vt:lpstr>GroupVB</vt:lpstr>
      <vt:lpstr>GroupVBBY</vt:lpstr>
      <vt:lpstr>GroupVBCHG</vt:lpstr>
      <vt:lpstr>Health</vt:lpstr>
      <vt:lpstr>HealthBY</vt:lpstr>
      <vt:lpstr>HealthCHG</vt:lpstr>
      <vt:lpstr>Life</vt:lpstr>
      <vt:lpstr>LifeBY</vt:lpstr>
      <vt:lpstr>LifeCHG</vt:lpstr>
      <vt:lpstr>'SWCC|0001-00'!LUMAFund</vt:lpstr>
      <vt:lpstr>'SWCC|0522-00'!LUMAFund</vt:lpstr>
      <vt:lpstr>LUMAFund</vt:lpstr>
      <vt:lpstr>MAXSSDI</vt:lpstr>
      <vt:lpstr>MAXSSDIBY</vt:lpstr>
      <vt:lpstr>'SWCC|0001-00'!NEW_AdjGroup</vt:lpstr>
      <vt:lpstr>'SWCC|0522-00'!NEW_AdjGroup</vt:lpstr>
      <vt:lpstr>NEW_AdjGroup</vt:lpstr>
      <vt:lpstr>'SWCC|0001-00'!NEW_AdjGroupSalary</vt:lpstr>
      <vt:lpstr>'SWCC|0522-00'!NEW_AdjGroupSalary</vt:lpstr>
      <vt:lpstr>NEW_AdjGroupSalary</vt:lpstr>
      <vt:lpstr>'SWCC|0001-00'!NEW_AdjGroupVB</vt:lpstr>
      <vt:lpstr>'SWCC|0522-00'!NEW_AdjGroupVB</vt:lpstr>
      <vt:lpstr>NEW_AdjGroupVB</vt:lpstr>
      <vt:lpstr>'SWCC|0001-00'!NEW_AdjONLYGroup</vt:lpstr>
      <vt:lpstr>'SWCC|0522-00'!NEW_AdjONLYGroup</vt:lpstr>
      <vt:lpstr>NEW_AdjONLYGroup</vt:lpstr>
      <vt:lpstr>'SWCC|0001-00'!NEW_AdjONLYGroupSalary</vt:lpstr>
      <vt:lpstr>'SWCC|0522-00'!NEW_AdjONLYGroupSalary</vt:lpstr>
      <vt:lpstr>NEW_AdjONLYGroupSalary</vt:lpstr>
      <vt:lpstr>'SWCC|0001-00'!NEW_AdjONLYGroupVB</vt:lpstr>
      <vt:lpstr>'SWCC|0522-00'!NEW_AdjONLYGroupVB</vt:lpstr>
      <vt:lpstr>NEW_AdjONLYGroupVB</vt:lpstr>
      <vt:lpstr>'SWCC|0001-00'!NEW_AdjONLYPerm</vt:lpstr>
      <vt:lpstr>'SWCC|0522-00'!NEW_AdjONLYPerm</vt:lpstr>
      <vt:lpstr>NEW_AdjONLYPerm</vt:lpstr>
      <vt:lpstr>'SWCC|0001-00'!NEW_AdjONLYPermSalary</vt:lpstr>
      <vt:lpstr>'SWCC|0522-00'!NEW_AdjONLYPermSalary</vt:lpstr>
      <vt:lpstr>NEW_AdjONLYPermSalary</vt:lpstr>
      <vt:lpstr>'SWCC|0001-00'!NEW_AdjONLYPermVB</vt:lpstr>
      <vt:lpstr>'SWCC|0522-00'!NEW_AdjONLYPermVB</vt:lpstr>
      <vt:lpstr>NEW_AdjONLYPermVB</vt:lpstr>
      <vt:lpstr>'SWCC|0001-00'!NEW_AdjPerm</vt:lpstr>
      <vt:lpstr>'SWCC|0522-00'!NEW_AdjPerm</vt:lpstr>
      <vt:lpstr>NEW_AdjPerm</vt:lpstr>
      <vt:lpstr>'SWCC|0001-00'!NEW_AdjPermSalary</vt:lpstr>
      <vt:lpstr>'SWCC|0522-00'!NEW_AdjPermSalary</vt:lpstr>
      <vt:lpstr>NEW_AdjPermSalary</vt:lpstr>
      <vt:lpstr>'SWCC|0001-00'!NEW_AdjPermVB</vt:lpstr>
      <vt:lpstr>'SWCC|0522-00'!NEW_AdjPermVB</vt:lpstr>
      <vt:lpstr>NEW_AdjPermVB</vt:lpstr>
      <vt:lpstr>'SWCC|0001-00'!NEW_GroupFilled</vt:lpstr>
      <vt:lpstr>'SWCC|0522-00'!NEW_GroupFilled</vt:lpstr>
      <vt:lpstr>NEW_GroupFilled</vt:lpstr>
      <vt:lpstr>'SWCC|0001-00'!NEW_GroupSalaryFilled</vt:lpstr>
      <vt:lpstr>'SWCC|0522-00'!NEW_GroupSalaryFilled</vt:lpstr>
      <vt:lpstr>NEW_GroupSalaryFilled</vt:lpstr>
      <vt:lpstr>'SWCC|0001-00'!NEW_GroupVBFilled</vt:lpstr>
      <vt:lpstr>'SWCC|0522-00'!NEW_GroupVBFilled</vt:lpstr>
      <vt:lpstr>NEW_GroupVBFilled</vt:lpstr>
      <vt:lpstr>'SWCC|0001-00'!NEW_PermFilled</vt:lpstr>
      <vt:lpstr>'SWCC|0522-00'!NEW_PermFilled</vt:lpstr>
      <vt:lpstr>NEW_PermFilled</vt:lpstr>
      <vt:lpstr>'SWCC|0001-00'!NEW_PermSalaryFilled</vt:lpstr>
      <vt:lpstr>'SWCC|0522-00'!NEW_PermSalaryFilled</vt:lpstr>
      <vt:lpstr>NEW_PermSalaryFilled</vt:lpstr>
      <vt:lpstr>'SWCC|0001-00'!NEW_PermVBFilled</vt:lpstr>
      <vt:lpstr>'SWCC|0522-00'!NEW_PermVBFilled</vt:lpstr>
      <vt:lpstr>NEW_PermVBFilled</vt:lpstr>
      <vt:lpstr>'SWCC|0001-00'!OneTimePC_Total</vt:lpstr>
      <vt:lpstr>'SWCC|0522-00'!OneTimePC_Total</vt:lpstr>
      <vt:lpstr>OneTimePC_Total</vt:lpstr>
      <vt:lpstr>'SWCC|0001-00'!OrigApprop</vt:lpstr>
      <vt:lpstr>'SWCC|0522-00'!OrigApprop</vt:lpstr>
      <vt:lpstr>OrigApprop</vt:lpstr>
      <vt:lpstr>'SWCC|0001-00'!perm_name</vt:lpstr>
      <vt:lpstr>'SWCC|0522-00'!perm_name</vt:lpstr>
      <vt:lpstr>perm_name</vt:lpstr>
      <vt:lpstr>'SWCC|0001-00'!PermFTP</vt:lpstr>
      <vt:lpstr>'SWCC|0522-00'!PermFTP</vt:lpstr>
      <vt:lpstr>PermFTP</vt:lpstr>
      <vt:lpstr>'SWCC|0001-00'!PermFxdBen</vt:lpstr>
      <vt:lpstr>'SWCC|0522-00'!PermFxdBen</vt:lpstr>
      <vt:lpstr>PermFxdBen</vt:lpstr>
      <vt:lpstr>'SWCC|0001-00'!PermFxdBenChg</vt:lpstr>
      <vt:lpstr>'SWCC|0522-00'!PermFxdBenChg</vt:lpstr>
      <vt:lpstr>PermFxdBenChg</vt:lpstr>
      <vt:lpstr>'SWCC|0001-00'!PermFxdChg</vt:lpstr>
      <vt:lpstr>'SWCC|0522-00'!PermFxdChg</vt:lpstr>
      <vt:lpstr>PermFxdChg</vt:lpstr>
      <vt:lpstr>'SWCC|0001-00'!PermSalary</vt:lpstr>
      <vt:lpstr>'SWCC|0522-00'!PermSalary</vt:lpstr>
      <vt:lpstr>PermSalary</vt:lpstr>
      <vt:lpstr>'SWCC|0001-00'!PermVarBen</vt:lpstr>
      <vt:lpstr>'SWCC|0522-00'!PermVarBen</vt:lpstr>
      <vt:lpstr>PermVarBen</vt:lpstr>
      <vt:lpstr>'SWCC|0001-00'!PermVarBenChg</vt:lpstr>
      <vt:lpstr>'SWCC|0522-00'!PermVarBenChg</vt:lpstr>
      <vt:lpstr>PermVarBenChg</vt:lpstr>
      <vt:lpstr>PermVB</vt:lpstr>
      <vt:lpstr>PermVBBY</vt:lpstr>
      <vt:lpstr>PermVBCHG</vt:lpstr>
      <vt:lpstr>'B6'!Print_Area</vt:lpstr>
      <vt:lpstr>Benefits!Print_Area</vt:lpstr>
      <vt:lpstr>'SWCC|0001-00'!Print_Area</vt:lpstr>
      <vt:lpstr>'SWCC|0522-00'!Print_Area</vt:lpstr>
      <vt:lpstr>'SWCC|0001-00'!Prog_Unadjusted_Total</vt:lpstr>
      <vt:lpstr>'SWCC|0522-00'!Prog_Unadjusted_Total</vt:lpstr>
      <vt:lpstr>Prog_Unadjusted_Total</vt:lpstr>
      <vt:lpstr>'SWCC|0001-00'!Program</vt:lpstr>
      <vt:lpstr>'SWCC|0522-00'!Program</vt:lpstr>
      <vt:lpstr>Program</vt:lpstr>
      <vt:lpstr>PTHealth</vt:lpstr>
      <vt:lpstr>PTHealthBY</vt:lpstr>
      <vt:lpstr>PTHealthChg</vt:lpstr>
      <vt:lpstr>Retire1</vt:lpstr>
      <vt:lpstr>Retire1BY</vt:lpstr>
      <vt:lpstr>Retire1CHG</vt:lpstr>
      <vt:lpstr>Retire2</vt:lpstr>
      <vt:lpstr>Retire2BY</vt:lpstr>
      <vt:lpstr>Retire2CHG</vt:lpstr>
      <vt:lpstr>Retire4</vt:lpstr>
      <vt:lpstr>Retire4BY</vt:lpstr>
      <vt:lpstr>Retire4CHG</vt:lpstr>
      <vt:lpstr>Retire5</vt:lpstr>
      <vt:lpstr>Retire5BY</vt:lpstr>
      <vt:lpstr>Retire5CHG</vt:lpstr>
      <vt:lpstr>Retire6</vt:lpstr>
      <vt:lpstr>Retire6BY</vt:lpstr>
      <vt:lpstr>Retire6CHG</vt:lpstr>
      <vt:lpstr>Retire7</vt:lpstr>
      <vt:lpstr>Retire7BY</vt:lpstr>
      <vt:lpstr>Retire7CHG</vt:lpstr>
      <vt:lpstr>Retire8</vt:lpstr>
      <vt:lpstr>Retire8BY</vt:lpstr>
      <vt:lpstr>Retire8CHG</vt:lpstr>
      <vt:lpstr>Retirement_Rates</vt:lpstr>
      <vt:lpstr>'SWCC|0001-00'!RoundedAppropSalary</vt:lpstr>
      <vt:lpstr>'SWCC|0522-00'!RoundedAppropSalary</vt:lpstr>
      <vt:lpstr>RoundedAppropSalary</vt:lpstr>
      <vt:lpstr>'SWCC|0001-00'!SalaryChg</vt:lpstr>
      <vt:lpstr>'SWCC|0522-00'!SalaryChg</vt:lpstr>
      <vt:lpstr>SalaryChg</vt:lpstr>
      <vt:lpstr>Sick</vt:lpstr>
      <vt:lpstr>SickBY</vt:lpstr>
      <vt:lpstr>SickCHG</vt:lpstr>
      <vt:lpstr>SSDI</vt:lpstr>
      <vt:lpstr>SSDIBY</vt:lpstr>
      <vt:lpstr>SSDICHG</vt:lpstr>
      <vt:lpstr>SSHI</vt:lpstr>
      <vt:lpstr>SSHIBY</vt:lpstr>
      <vt:lpstr>SSHICHG</vt:lpstr>
      <vt:lpstr>SWCC000100col_1_27TH_PP</vt:lpstr>
      <vt:lpstr>SWCC000100col_DHR</vt:lpstr>
      <vt:lpstr>SWCC000100col_DHR_BY</vt:lpstr>
      <vt:lpstr>SWCC000100col_DHR_CHG</vt:lpstr>
      <vt:lpstr>SWCC000100col_FTI_SALARY_ELECT</vt:lpstr>
      <vt:lpstr>SWCC000100col_FTI_SALARY_PERM</vt:lpstr>
      <vt:lpstr>SWCC000100col_FTI_SALARY_SSDI</vt:lpstr>
      <vt:lpstr>SWCC000100col_Group_Ben</vt:lpstr>
      <vt:lpstr>SWCC000100col_Group_Salary</vt:lpstr>
      <vt:lpstr>SWCC000100col_HEALTH_ELECT</vt:lpstr>
      <vt:lpstr>SWCC000100col_HEALTH_ELECT_BY</vt:lpstr>
      <vt:lpstr>SWCC000100col_HEALTH_ELECT_CHG</vt:lpstr>
      <vt:lpstr>SWCC000100col_HEALTH_PERM</vt:lpstr>
      <vt:lpstr>SWCC000100col_HEALTH_PERM_BY</vt:lpstr>
      <vt:lpstr>SWCC000100col_HEALTH_PERM_CHG</vt:lpstr>
      <vt:lpstr>SWCC000100col_INC_FTI</vt:lpstr>
      <vt:lpstr>SWCC000100col_LIFE_INS</vt:lpstr>
      <vt:lpstr>SWCC000100col_LIFE_INS_BY</vt:lpstr>
      <vt:lpstr>SWCC000100col_LIFE_INS_CHG</vt:lpstr>
      <vt:lpstr>SWCC000100col_RETIREMENT</vt:lpstr>
      <vt:lpstr>SWCC000100col_RETIREMENT_BY</vt:lpstr>
      <vt:lpstr>SWCC000100col_RETIREMENT_CHG</vt:lpstr>
      <vt:lpstr>SWCC000100col_ROWS_PER_PCN</vt:lpstr>
      <vt:lpstr>SWCC000100col_SICK</vt:lpstr>
      <vt:lpstr>SWCC000100col_SICK_BY</vt:lpstr>
      <vt:lpstr>SWCC000100col_SICK_CHG</vt:lpstr>
      <vt:lpstr>SWCC000100col_SSDI</vt:lpstr>
      <vt:lpstr>SWCC000100col_SSDI_BY</vt:lpstr>
      <vt:lpstr>SWCC000100col_SSDI_CHG</vt:lpstr>
      <vt:lpstr>SWCC000100col_SSHI</vt:lpstr>
      <vt:lpstr>SWCC000100col_SSHI_BY</vt:lpstr>
      <vt:lpstr>SWCC000100col_SSHI_CHGv</vt:lpstr>
      <vt:lpstr>SWCC000100col_TOT_VB_ELECT</vt:lpstr>
      <vt:lpstr>SWCC000100col_TOT_VB_ELECT_BY</vt:lpstr>
      <vt:lpstr>SWCC000100col_TOT_VB_ELECT_CHG</vt:lpstr>
      <vt:lpstr>SWCC000100col_TOT_VB_PERM</vt:lpstr>
      <vt:lpstr>SWCC000100col_TOT_VB_PERM_BY</vt:lpstr>
      <vt:lpstr>SWCC000100col_TOT_VB_PERM_CHG</vt:lpstr>
      <vt:lpstr>SWCC000100col_TOTAL_ELECT_PCN_FTI</vt:lpstr>
      <vt:lpstr>SWCC000100col_TOTAL_ELECT_PCN_FTI_ALT</vt:lpstr>
      <vt:lpstr>SWCC000100col_TOTAL_PERM_PCN_FTI</vt:lpstr>
      <vt:lpstr>SWCC000100col_UNEMP_INS</vt:lpstr>
      <vt:lpstr>SWCC000100col_UNEMP_INS_BY</vt:lpstr>
      <vt:lpstr>SWCC000100col_UNEMP_INS_CHG</vt:lpstr>
      <vt:lpstr>SWCC000100col_WORKERS_COMP</vt:lpstr>
      <vt:lpstr>SWCC000100col_WORKERS_COMP_BY</vt:lpstr>
      <vt:lpstr>SWCC000100col_WORKERS_COMP_CHG</vt:lpstr>
      <vt:lpstr>SWCC052200col_1_27TH_PP</vt:lpstr>
      <vt:lpstr>SWCC052200col_DHR</vt:lpstr>
      <vt:lpstr>SWCC052200col_DHR_BY</vt:lpstr>
      <vt:lpstr>SWCC052200col_DHR_CHG</vt:lpstr>
      <vt:lpstr>SWCC052200col_FTI_SALARY_ELECT</vt:lpstr>
      <vt:lpstr>SWCC052200col_FTI_SALARY_PERM</vt:lpstr>
      <vt:lpstr>SWCC052200col_FTI_SALARY_SSDI</vt:lpstr>
      <vt:lpstr>SWCC052200col_Group_Ben</vt:lpstr>
      <vt:lpstr>SWCC052200col_Group_Salary</vt:lpstr>
      <vt:lpstr>SWCC052200col_HEALTH_ELECT</vt:lpstr>
      <vt:lpstr>SWCC052200col_HEALTH_ELECT_BY</vt:lpstr>
      <vt:lpstr>SWCC052200col_HEALTH_ELECT_CHG</vt:lpstr>
      <vt:lpstr>SWCC052200col_HEALTH_PERM</vt:lpstr>
      <vt:lpstr>SWCC052200col_HEALTH_PERM_BY</vt:lpstr>
      <vt:lpstr>SWCC052200col_HEALTH_PERM_CHG</vt:lpstr>
      <vt:lpstr>SWCC052200col_INC_FTI</vt:lpstr>
      <vt:lpstr>SWCC052200col_LIFE_INS</vt:lpstr>
      <vt:lpstr>SWCC052200col_LIFE_INS_BY</vt:lpstr>
      <vt:lpstr>SWCC052200col_LIFE_INS_CHG</vt:lpstr>
      <vt:lpstr>SWCC052200col_RETIREMENT</vt:lpstr>
      <vt:lpstr>SWCC052200col_RETIREMENT_BY</vt:lpstr>
      <vt:lpstr>SWCC052200col_RETIREMENT_CHG</vt:lpstr>
      <vt:lpstr>SWCC052200col_ROWS_PER_PCN</vt:lpstr>
      <vt:lpstr>SWCC052200col_SICK</vt:lpstr>
      <vt:lpstr>SWCC052200col_SICK_BY</vt:lpstr>
      <vt:lpstr>SWCC052200col_SICK_CHG</vt:lpstr>
      <vt:lpstr>SWCC052200col_SSDI</vt:lpstr>
      <vt:lpstr>SWCC052200col_SSDI_BY</vt:lpstr>
      <vt:lpstr>SWCC052200col_SSDI_CHG</vt:lpstr>
      <vt:lpstr>SWCC052200col_SSHI</vt:lpstr>
      <vt:lpstr>SWCC052200col_SSHI_BY</vt:lpstr>
      <vt:lpstr>SWCC052200col_SSHI_CHGv</vt:lpstr>
      <vt:lpstr>SWCC052200col_TOT_VB_ELECT</vt:lpstr>
      <vt:lpstr>SWCC052200col_TOT_VB_ELECT_BY</vt:lpstr>
      <vt:lpstr>SWCC052200col_TOT_VB_ELECT_CHG</vt:lpstr>
      <vt:lpstr>SWCC052200col_TOT_VB_PERM</vt:lpstr>
      <vt:lpstr>SWCC052200col_TOT_VB_PERM_BY</vt:lpstr>
      <vt:lpstr>SWCC052200col_TOT_VB_PERM_CHG</vt:lpstr>
      <vt:lpstr>SWCC052200col_TOTAL_ELECT_PCN_FTI</vt:lpstr>
      <vt:lpstr>SWCC052200col_TOTAL_ELECT_PCN_FTI_ALT</vt:lpstr>
      <vt:lpstr>SWCC052200col_TOTAL_PERM_PCN_FTI</vt:lpstr>
      <vt:lpstr>SWCC052200col_UNEMP_INS</vt:lpstr>
      <vt:lpstr>SWCC052200col_UNEMP_INS_BY</vt:lpstr>
      <vt:lpstr>SWCC052200col_UNEMP_INS_CHG</vt:lpstr>
      <vt:lpstr>SWCC052200col_WORKERS_COMP</vt:lpstr>
      <vt:lpstr>SWCC052200col_WORKERS_COMP_BY</vt:lpstr>
      <vt:lpstr>SWCC052200col_WORKERS_COMP_CHG</vt:lpstr>
      <vt:lpstr>UI</vt:lpstr>
      <vt:lpstr>UIBY</vt:lpstr>
      <vt:lpstr>UICHG</vt:lpstr>
      <vt:lpstr>WC</vt:lpstr>
      <vt:lpstr>WCBY</vt:lpstr>
      <vt:lpstr>WCCHG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Agency 220 B6</dc:title>
  <dc:subject>B6</dc:subject>
  <dc:creator>Shane Winslow</dc:creator>
  <cp:lastModifiedBy>Shane Winslow</cp:lastModifiedBy>
  <cp:lastPrinted>2019-06-21T15:46:35Z</cp:lastPrinted>
  <dcterms:created xsi:type="dcterms:W3CDTF">2013-05-01T19:55:41Z</dcterms:created>
  <dcterms:modified xsi:type="dcterms:W3CDTF">2021-07-14T20:28:48Z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980daa53-e238-4358-81e3-d1b7452f1532</vt:lpwstr>
  </property>
</Properties>
</file>