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inslow\AppData\Local\Temp\B6Run\FY2023\"/>
    </mc:Choice>
  </mc:AlternateContent>
  <xr:revisionPtr revIDLastSave="0" documentId="13_ncr:1_{B1A0538C-7DC9-4F84-B695-748978936814}" xr6:coauthVersionLast="45" xr6:coauthVersionMax="45" xr10:uidLastSave="{00000000-0000-0000-0000-000000000000}"/>
  <bookViews>
    <workbookView xWindow="4896" yWindow="1368" windowWidth="17280" windowHeight="8964" xr2:uid="{00000000-000D-0000-FFFF-FFFF00000000}"/>
  </bookViews>
  <sheets>
    <sheet name="Data" sheetId="5" r:id="rId1"/>
    <sheet name="Benefits" sheetId="7" r:id="rId2"/>
    <sheet name="B6" sheetId="9" r:id="rId3"/>
    <sheet name="Summary" sheetId="10" r:id="rId4"/>
    <sheet name="FundSummary" sheetId="11" r:id="rId5"/>
  </sheets>
  <definedNames>
    <definedName name="AdjGroupHlth">'B6'!$H$39</definedName>
    <definedName name="AdjGroupSalary">'B6'!$G$39</definedName>
    <definedName name="AdjGroupVB">'B6'!$I$39</definedName>
    <definedName name="AdjGroupVBBY">'B6'!$M$39</definedName>
    <definedName name="AdjPermHlth">'B6'!$H$38</definedName>
    <definedName name="AdjPermHlthBY">'B6'!$L$38</definedName>
    <definedName name="AdjPermSalary">'B6'!$G$38</definedName>
    <definedName name="AdjPermVB">'B6'!$I$38</definedName>
    <definedName name="AdjPermVBBY">'B6'!$M$38</definedName>
    <definedName name="AdjustedTotal">'B6'!$J$16</definedName>
    <definedName name="AgencyNum">'B6'!$M$1</definedName>
    <definedName name="AppropFTP">'B6'!$F$15</definedName>
    <definedName name="AppropTotal">'B6'!$J$15</definedName>
    <definedName name="AtZHealth">'B6'!$H$45</definedName>
    <definedName name="AtZSalary">'B6'!$G$45</definedName>
    <definedName name="AtZTotal">'B6'!$J$45</definedName>
    <definedName name="AtZVarBen">'B6'!$I$45</definedName>
    <definedName name="BudgetUnit">'B6'!$M$3</definedName>
    <definedName name="BudgetYear">Benefits!$D$4</definedName>
    <definedName name="CECGroup">Benefits!$C$39</definedName>
    <definedName name="CECOrigElectSalary">'B6'!$G$74</definedName>
    <definedName name="CECOrigElectVB">'B6'!$I$74</definedName>
    <definedName name="CECOrigGroupSalary">'B6'!$G$73</definedName>
    <definedName name="CECOrigGroupVB">'B6'!$I$73</definedName>
    <definedName name="CECOrigPermSalary">'B6'!$G$72</definedName>
    <definedName name="CECOrigPermVB">'B6'!$I$72</definedName>
    <definedName name="CECPerm">Benefits!$C$38</definedName>
    <definedName name="CECpermCalc">'B6'!$E$72</definedName>
    <definedName name="CRAJ042101col_1_27TH_PP">Data!$BA$59</definedName>
    <definedName name="CRAJ042101col_DHR">Data!$BI$59</definedName>
    <definedName name="CRAJ042101col_DHR_BY">Data!$BU$59</definedName>
    <definedName name="CRAJ042101col_DHR_CHG">Data!$CG$59</definedName>
    <definedName name="CRAJ042101col_FTI_SALARY_ELECT">Data!$AZ$59</definedName>
    <definedName name="CRAJ042101col_FTI_SALARY_PERM">Data!$AY$59</definedName>
    <definedName name="CRAJ042101col_FTI_SALARY_SSDI">Data!$AX$59</definedName>
    <definedName name="CRAJ042101col_Group_Ben">Data!$CM$59</definedName>
    <definedName name="CRAJ042101col_Group_Salary">Data!$CL$59</definedName>
    <definedName name="CRAJ042101col_HEALTH_ELECT">Data!$BC$59</definedName>
    <definedName name="CRAJ042101col_HEALTH_ELECT_BY">Data!$BO$59</definedName>
    <definedName name="CRAJ042101col_HEALTH_ELECT_CHG">Data!$CA$59</definedName>
    <definedName name="CRAJ042101col_HEALTH_PERM">Data!$BB$59</definedName>
    <definedName name="CRAJ042101col_HEALTH_PERM_BY">Data!$BN$59</definedName>
    <definedName name="CRAJ042101col_HEALTH_PERM_CHG">Data!$BZ$59</definedName>
    <definedName name="CRAJ042101col_INC_FTI">Data!$AS$59</definedName>
    <definedName name="CRAJ042101col_LIFE_INS">Data!$BG$59</definedName>
    <definedName name="CRAJ042101col_LIFE_INS_BY">Data!$BS$59</definedName>
    <definedName name="CRAJ042101col_LIFE_INS_CHG">Data!$CE$59</definedName>
    <definedName name="CRAJ042101col_RETIREMENT">Data!$BF$59</definedName>
    <definedName name="CRAJ042101col_RETIREMENT_BY">Data!$BR$59</definedName>
    <definedName name="CRAJ042101col_RETIREMENT_CHG">Data!$CD$59</definedName>
    <definedName name="CRAJ042101col_ROWS_PER_PCN">Data!$AW$59</definedName>
    <definedName name="CRAJ042101col_SICK">Data!$BK$59</definedName>
    <definedName name="CRAJ042101col_SICK_BY">Data!$BW$59</definedName>
    <definedName name="CRAJ042101col_SICK_CHG">Data!$CI$59</definedName>
    <definedName name="CRAJ042101col_SSDI">Data!$BD$59</definedName>
    <definedName name="CRAJ042101col_SSDI_BY">Data!$BP$59</definedName>
    <definedName name="CRAJ042101col_SSDI_CHG">Data!$CB$59</definedName>
    <definedName name="CRAJ042101col_SSHI">Data!$BE$59</definedName>
    <definedName name="CRAJ042101col_SSHI_BY">Data!$BQ$59</definedName>
    <definedName name="CRAJ042101col_SSHI_CHGv">Data!$CC$59</definedName>
    <definedName name="CRAJ042101col_TOT_VB_ELECT">Data!$BM$59</definedName>
    <definedName name="CRAJ042101col_TOT_VB_ELECT_BY">Data!$BY$59</definedName>
    <definedName name="CRAJ042101col_TOT_VB_ELECT_CHG">Data!$CK$59</definedName>
    <definedName name="CRAJ042101col_TOT_VB_PERM">Data!$BL$59</definedName>
    <definedName name="CRAJ042101col_TOT_VB_PERM_BY">Data!$BX$59</definedName>
    <definedName name="CRAJ042101col_TOT_VB_PERM_CHG">Data!$CJ$59</definedName>
    <definedName name="CRAJ042101col_TOTAL_ELECT_PCN_FTI">Data!$AT$59</definedName>
    <definedName name="CRAJ042101col_TOTAL_ELECT_PCN_FTI_ALT">Data!$AV$59</definedName>
    <definedName name="CRAJ042101col_TOTAL_PERM_PCN_FTI">Data!$AU$59</definedName>
    <definedName name="CRAJ042101col_UNEMP_INS">Data!$BH$59</definedName>
    <definedName name="CRAJ042101col_UNEMP_INS_BY">Data!$BT$59</definedName>
    <definedName name="CRAJ042101col_UNEMP_INS_CHG">Data!$CF$59</definedName>
    <definedName name="CRAJ042101col_WORKERS_COMP">Data!$BJ$59</definedName>
    <definedName name="CRAJ042101col_WORKERS_COMP_BY">Data!$BV$59</definedName>
    <definedName name="CRAJ042101col_WORKERS_COMP_CHG">Data!$CH$59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>'B6'!$D$2</definedName>
    <definedName name="DUCECElect">'B6'!$J$74</definedName>
    <definedName name="DUCECGroup">'B6'!$J$73</definedName>
    <definedName name="DUCECPerm">'B6'!$J$72</definedName>
    <definedName name="DUEleven">'B6'!$J$75</definedName>
    <definedName name="DUHealthBen">'B6'!$J$68</definedName>
    <definedName name="DUNine">'B6'!$J$67</definedName>
    <definedName name="DUThirteen">'B6'!$J$80</definedName>
    <definedName name="DUVariableBen">'B6'!$J$69</definedName>
    <definedName name="Elect_chg_health">'B6'!$L$12</definedName>
    <definedName name="Elect_chg_Var">'B6'!$M$12</definedName>
    <definedName name="elect_FTP">'B6'!$F$12</definedName>
    <definedName name="Elect_health">'B6'!$H$12</definedName>
    <definedName name="Elect_name">'B6'!$C$12</definedName>
    <definedName name="Elect_salary">'B6'!$G$12</definedName>
    <definedName name="Elect_Var">'B6'!$I$12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>'B6'!#REF!</definedName>
    <definedName name="FiscalYear">'B6'!$M$4</definedName>
    <definedName name="FundName">'B6'!$I$5</definedName>
    <definedName name="FundNum">'B6'!$N$5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>'B6'!$C$11</definedName>
    <definedName name="GroupFxdBen">'B6'!$H$11</definedName>
    <definedName name="GroupSalary">'B6'!$G$11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>'B6'!$M$2</definedName>
    <definedName name="MAXSSDI">Benefits!$F$5</definedName>
    <definedName name="MAXSSDIBY">Benefits!$G$5</definedName>
    <definedName name="NEW_AdjGroup">'B6'!$AC$39</definedName>
    <definedName name="NEW_AdjGroupSalary">'B6'!$AA$39</definedName>
    <definedName name="NEW_AdjGroupVB">'B6'!$AB$39</definedName>
    <definedName name="NEW_AdjONLYGroup">'B6'!$AC$45</definedName>
    <definedName name="NEW_AdjONLYGroupSalary">'B6'!$AA$45</definedName>
    <definedName name="NEW_AdjONLYGroupVB">'B6'!$AB$45</definedName>
    <definedName name="NEW_AdjONLYPerm">'B6'!$AC$44</definedName>
    <definedName name="NEW_AdjONLYPermSalary">'B6'!$AA$44</definedName>
    <definedName name="NEW_AdjONLYPermVB">'B6'!$AB$44</definedName>
    <definedName name="NEW_AdjPerm">'B6'!$AC$38</definedName>
    <definedName name="NEW_AdjPermSalary">'B6'!$AA$38</definedName>
    <definedName name="NEW_AdjPermVB">'B6'!$AB$38</definedName>
    <definedName name="NEW_GroupFilled">'B6'!$AC$11</definedName>
    <definedName name="NEW_GroupSalaryFilled">'B6'!$AA$11</definedName>
    <definedName name="NEW_GroupVBFilled">'B6'!$AB$11</definedName>
    <definedName name="NEW_PermFilled">'B6'!$AC$10</definedName>
    <definedName name="NEW_PermSalaryFilled">'B6'!$AA$10</definedName>
    <definedName name="NEW_PermVBFilled">'B6'!$AB$10</definedName>
    <definedName name="OneTimePC_Total">'B6'!$J$63</definedName>
    <definedName name="OrigApprop">'B6'!$E$15</definedName>
    <definedName name="perm_name">'B6'!$C$10</definedName>
    <definedName name="PermFTP">'B6'!$F$10</definedName>
    <definedName name="PermFxdBen">'B6'!$H$10</definedName>
    <definedName name="PermFxdBenChg">'B6'!$L$10</definedName>
    <definedName name="PermFxdChg">'B6'!$L$10</definedName>
    <definedName name="PermSalary">'B6'!$G$10</definedName>
    <definedName name="PermVarBen">'B6'!$I$10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2">'B6'!$A$1:$N$81</definedName>
    <definedName name="_xlnm.Print_Area" localSheetId="1">Benefits!$A$1:$G$36</definedName>
    <definedName name="Prog_Unadjusted_Total">'B6'!$C$8:$N$16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>'B6'!$G$52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CM58" i="5"/>
  <c r="CL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2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V25" i="5"/>
  <c r="AV6" i="5"/>
  <c r="AU33" i="5"/>
  <c r="AT5" i="5"/>
  <c r="AV5" i="5" s="1"/>
  <c r="AT6" i="5"/>
  <c r="AT9" i="5"/>
  <c r="AT13" i="5"/>
  <c r="AV13" i="5" s="1"/>
  <c r="AT14" i="5"/>
  <c r="AT17" i="5"/>
  <c r="AT21" i="5"/>
  <c r="AV21" i="5" s="1"/>
  <c r="AT22" i="5"/>
  <c r="AV22" i="5" s="1"/>
  <c r="AT25" i="5"/>
  <c r="AT29" i="5"/>
  <c r="AV29" i="5" s="1"/>
  <c r="AT30" i="5"/>
  <c r="AV30" i="5" s="1"/>
  <c r="AT33" i="5"/>
  <c r="AT37" i="5"/>
  <c r="AV37" i="5" s="1"/>
  <c r="AT38" i="5"/>
  <c r="AV38" i="5" s="1"/>
  <c r="AT41" i="5"/>
  <c r="AT45" i="5"/>
  <c r="AT46" i="5"/>
  <c r="AV46" i="5" s="1"/>
  <c r="AT49" i="5"/>
  <c r="AT53" i="5"/>
  <c r="AT54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X55" i="5" s="1"/>
  <c r="AS2" i="5"/>
  <c r="AX2" i="5" s="1"/>
  <c r="AT50" i="5" l="1"/>
  <c r="AT42" i="5"/>
  <c r="AT34" i="5"/>
  <c r="AT26" i="5"/>
  <c r="AT18" i="5"/>
  <c r="AT10" i="5"/>
  <c r="AU46" i="5"/>
  <c r="CI49" i="5"/>
  <c r="BX49" i="5"/>
  <c r="BY49" i="5"/>
  <c r="CG49" i="5"/>
  <c r="CF49" i="5"/>
  <c r="CK49" i="5"/>
  <c r="BW49" i="5"/>
  <c r="BV49" i="5"/>
  <c r="BS49" i="5"/>
  <c r="BK49" i="5"/>
  <c r="BG49" i="5"/>
  <c r="BQ49" i="5"/>
  <c r="BM49" i="5"/>
  <c r="BI49" i="5"/>
  <c r="BE49" i="5"/>
  <c r="BZ49" i="5"/>
  <c r="CA49" i="5"/>
  <c r="BF49" i="5"/>
  <c r="BA49" i="5"/>
  <c r="CH49" i="5"/>
  <c r="CC49" i="5"/>
  <c r="BT49" i="5"/>
  <c r="CD49" i="5"/>
  <c r="BU49" i="5"/>
  <c r="CJ49" i="5"/>
  <c r="CE49" i="5"/>
  <c r="BP49" i="5"/>
  <c r="BN49" i="5"/>
  <c r="AY49" i="5"/>
  <c r="BR49" i="5"/>
  <c r="BH49" i="5"/>
  <c r="BB49" i="5"/>
  <c r="BL49" i="5"/>
  <c r="BD49" i="5"/>
  <c r="AZ49" i="5"/>
  <c r="BJ49" i="5"/>
  <c r="BX41" i="5"/>
  <c r="CI41" i="5"/>
  <c r="CC41" i="5"/>
  <c r="CH41" i="5"/>
  <c r="BZ41" i="5"/>
  <c r="BS41" i="5"/>
  <c r="BK41" i="5"/>
  <c r="BG41" i="5"/>
  <c r="CK41" i="5"/>
  <c r="CG41" i="5"/>
  <c r="BQ41" i="5"/>
  <c r="BM41" i="5"/>
  <c r="BI41" i="5"/>
  <c r="BE41" i="5"/>
  <c r="BU41" i="5"/>
  <c r="CD41" i="5"/>
  <c r="BV41" i="5"/>
  <c r="CE41" i="5"/>
  <c r="BJ41" i="5"/>
  <c r="BA41" i="5"/>
  <c r="BP41" i="5" s="1"/>
  <c r="CB41" i="5" s="1"/>
  <c r="CF41" i="5"/>
  <c r="BY41" i="5"/>
  <c r="BW41" i="5"/>
  <c r="CJ41" i="5"/>
  <c r="CA41" i="5"/>
  <c r="BT41" i="5"/>
  <c r="BR41" i="5"/>
  <c r="AY41" i="5"/>
  <c r="BF41" i="5"/>
  <c r="BH41" i="5"/>
  <c r="AZ41" i="5"/>
  <c r="BD41" i="5"/>
  <c r="BL41" i="5"/>
  <c r="CI33" i="5"/>
  <c r="CG33" i="5"/>
  <c r="CF33" i="5"/>
  <c r="CJ33" i="5"/>
  <c r="BY33" i="5"/>
  <c r="BX33" i="5"/>
  <c r="CH33" i="5"/>
  <c r="BS33" i="5"/>
  <c r="BK33" i="5"/>
  <c r="BG33" i="5"/>
  <c r="CE33" i="5"/>
  <c r="BZ33" i="5"/>
  <c r="BW33" i="5"/>
  <c r="BV33" i="5"/>
  <c r="BQ33" i="5"/>
  <c r="BM33" i="5"/>
  <c r="BI33" i="5"/>
  <c r="BE33" i="5"/>
  <c r="BT33" i="5"/>
  <c r="CA33" i="5"/>
  <c r="BN33" i="5"/>
  <c r="BA33" i="5"/>
  <c r="BP33" i="5" s="1"/>
  <c r="CB33" i="5" s="1"/>
  <c r="BU33" i="5"/>
  <c r="CC33" i="5"/>
  <c r="CK33" i="5"/>
  <c r="CD33" i="5"/>
  <c r="BF33" i="5"/>
  <c r="AY33" i="5"/>
  <c r="BD33" i="5"/>
  <c r="BJ33" i="5"/>
  <c r="BL33" i="5"/>
  <c r="BB33" i="5"/>
  <c r="BR33" i="5"/>
  <c r="AZ33" i="5"/>
  <c r="BH33" i="5"/>
  <c r="CI25" i="5"/>
  <c r="CC25" i="5"/>
  <c r="CE25" i="5"/>
  <c r="BS25" i="5"/>
  <c r="BO25" i="5"/>
  <c r="BK25" i="5"/>
  <c r="BG25" i="5"/>
  <c r="BQ25" i="5"/>
  <c r="BM25" i="5"/>
  <c r="BI25" i="5"/>
  <c r="BE25" i="5"/>
  <c r="BU25" i="5"/>
  <c r="BV25" i="5"/>
  <c r="CK25" i="5"/>
  <c r="CD25" i="5"/>
  <c r="BR25" i="5"/>
  <c r="BA25" i="5"/>
  <c r="BP25" i="5" s="1"/>
  <c r="BW25" i="5"/>
  <c r="CF25" i="5"/>
  <c r="BY25" i="5"/>
  <c r="BT25" i="5"/>
  <c r="CG25" i="5"/>
  <c r="CA25" i="5"/>
  <c r="BJ25" i="5"/>
  <c r="BC25" i="5"/>
  <c r="AY25" i="5"/>
  <c r="BH25" i="5"/>
  <c r="BD25" i="5"/>
  <c r="BF25" i="5"/>
  <c r="BL25" i="5" s="1"/>
  <c r="AZ25" i="5"/>
  <c r="CI17" i="5"/>
  <c r="BY17" i="5"/>
  <c r="CG17" i="5"/>
  <c r="CF17" i="5"/>
  <c r="CC17" i="5"/>
  <c r="BV17" i="5"/>
  <c r="BS17" i="5"/>
  <c r="BK17" i="5"/>
  <c r="BG17" i="5"/>
  <c r="BQ17" i="5"/>
  <c r="BM17" i="5"/>
  <c r="BI17" i="5"/>
  <c r="BE17" i="5"/>
  <c r="CE17" i="5"/>
  <c r="BW17" i="5"/>
  <c r="BT17" i="5"/>
  <c r="BU17" i="5"/>
  <c r="BF17" i="5"/>
  <c r="BA17" i="5"/>
  <c r="CA17" i="5"/>
  <c r="BP17" i="5"/>
  <c r="CB17" i="5" s="1"/>
  <c r="CK17" i="5"/>
  <c r="CD17" i="5"/>
  <c r="AY17" i="5"/>
  <c r="BJ17" i="5"/>
  <c r="AZ17" i="5"/>
  <c r="BR17" i="5"/>
  <c r="BH17" i="5"/>
  <c r="BD17" i="5"/>
  <c r="CI9" i="5"/>
  <c r="CC9" i="5"/>
  <c r="CF9" i="5"/>
  <c r="CA9" i="5"/>
  <c r="BS9" i="5"/>
  <c r="BK9" i="5"/>
  <c r="BG9" i="5"/>
  <c r="BQ9" i="5"/>
  <c r="BM9" i="5"/>
  <c r="BI9" i="5"/>
  <c r="BE9" i="5"/>
  <c r="CG9" i="5"/>
  <c r="BV9" i="5"/>
  <c r="BJ9" i="5"/>
  <c r="BA9" i="5"/>
  <c r="BP9" i="5" s="1"/>
  <c r="CK9" i="5"/>
  <c r="CD9" i="5"/>
  <c r="BW9" i="5"/>
  <c r="BT9" i="5"/>
  <c r="CE9" i="5"/>
  <c r="BY9" i="5"/>
  <c r="BU9" i="5"/>
  <c r="BR9" i="5"/>
  <c r="AY9" i="5"/>
  <c r="BH9" i="5"/>
  <c r="BD9" i="5"/>
  <c r="AZ9" i="5"/>
  <c r="BF9" i="5"/>
  <c r="AU38" i="5"/>
  <c r="BB38" i="5" s="1"/>
  <c r="AT2" i="5"/>
  <c r="AT48" i="5"/>
  <c r="AT40" i="5"/>
  <c r="AT32" i="5"/>
  <c r="AT24" i="5"/>
  <c r="AT16" i="5"/>
  <c r="AT8" i="5"/>
  <c r="AU30" i="5"/>
  <c r="BB30" i="5" s="1"/>
  <c r="AV49" i="5"/>
  <c r="BO49" i="5" s="1"/>
  <c r="AT55" i="5"/>
  <c r="AT47" i="5"/>
  <c r="AT39" i="5"/>
  <c r="AT31" i="5"/>
  <c r="AT23" i="5"/>
  <c r="AT15" i="5"/>
  <c r="AT7" i="5"/>
  <c r="AU5" i="5"/>
  <c r="AU13" i="5"/>
  <c r="BB13" i="5" s="1"/>
  <c r="AU22" i="5"/>
  <c r="AU49" i="5"/>
  <c r="AV41" i="5"/>
  <c r="BC41" i="5" s="1"/>
  <c r="CG54" i="5"/>
  <c r="CC54" i="5"/>
  <c r="BY54" i="5"/>
  <c r="CH54" i="5"/>
  <c r="CE54" i="5"/>
  <c r="CA54" i="5"/>
  <c r="CF54" i="5"/>
  <c r="BW54" i="5"/>
  <c r="BX54" i="5"/>
  <c r="BU54" i="5"/>
  <c r="BZ54" i="5"/>
  <c r="BV54" i="5"/>
  <c r="BT54" i="5"/>
  <c r="BS54" i="5"/>
  <c r="BM54" i="5"/>
  <c r="CI54" i="5"/>
  <c r="CK54" i="5"/>
  <c r="CJ54" i="5"/>
  <c r="CD54" i="5"/>
  <c r="BF54" i="5"/>
  <c r="BE54" i="5"/>
  <c r="BR54" i="5"/>
  <c r="BG54" i="5"/>
  <c r="BL54" i="5"/>
  <c r="BQ54" i="5"/>
  <c r="BH54" i="5"/>
  <c r="BI54" i="5"/>
  <c r="BD54" i="5"/>
  <c r="BA54" i="5"/>
  <c r="BP54" i="5" s="1"/>
  <c r="CB54" i="5" s="1"/>
  <c r="AZ54" i="5"/>
  <c r="AY54" i="5"/>
  <c r="BJ54" i="5"/>
  <c r="BK54" i="5"/>
  <c r="CG46" i="5"/>
  <c r="CC46" i="5"/>
  <c r="BY46" i="5"/>
  <c r="CE46" i="5"/>
  <c r="CA46" i="5"/>
  <c r="BW46" i="5"/>
  <c r="CI46" i="5"/>
  <c r="BU46" i="5"/>
  <c r="BT46" i="5"/>
  <c r="BS46" i="5"/>
  <c r="BR46" i="5"/>
  <c r="BQ46" i="5"/>
  <c r="CK46" i="5"/>
  <c r="CD46" i="5"/>
  <c r="BP46" i="5"/>
  <c r="BO46" i="5"/>
  <c r="BV46" i="5"/>
  <c r="CF46" i="5"/>
  <c r="BJ46" i="5"/>
  <c r="BI46" i="5"/>
  <c r="BN46" i="5"/>
  <c r="BZ46" i="5" s="1"/>
  <c r="BD46" i="5"/>
  <c r="BE46" i="5"/>
  <c r="BM46" i="5"/>
  <c r="BK46" i="5"/>
  <c r="BF46" i="5"/>
  <c r="BG46" i="5"/>
  <c r="BC46" i="5"/>
  <c r="BH46" i="5"/>
  <c r="BB46" i="5"/>
  <c r="BA46" i="5"/>
  <c r="AZ46" i="5"/>
  <c r="AY46" i="5"/>
  <c r="CG38" i="5"/>
  <c r="CC38" i="5"/>
  <c r="BY38" i="5"/>
  <c r="CE38" i="5"/>
  <c r="CA38" i="5"/>
  <c r="BW38" i="5"/>
  <c r="CF38" i="5"/>
  <c r="BU38" i="5"/>
  <c r="BV38" i="5"/>
  <c r="CK38" i="5"/>
  <c r="CD38" i="5"/>
  <c r="BF38" i="5"/>
  <c r="BE38" i="5"/>
  <c r="BL38" i="5" s="1"/>
  <c r="BS38" i="5"/>
  <c r="CI38" i="5"/>
  <c r="BP38" i="5"/>
  <c r="CB38" i="5" s="1"/>
  <c r="BO38" i="5"/>
  <c r="BN38" i="5"/>
  <c r="BM38" i="5"/>
  <c r="BQ38" i="5"/>
  <c r="BG38" i="5"/>
  <c r="BA38" i="5"/>
  <c r="AZ38" i="5"/>
  <c r="AY38" i="5"/>
  <c r="BT38" i="5"/>
  <c r="BH38" i="5"/>
  <c r="BI38" i="5"/>
  <c r="BD38" i="5"/>
  <c r="BJ38" i="5"/>
  <c r="BR38" i="5"/>
  <c r="BK38" i="5"/>
  <c r="BC38" i="5"/>
  <c r="CG30" i="5"/>
  <c r="CC30" i="5"/>
  <c r="BY30" i="5"/>
  <c r="CE30" i="5"/>
  <c r="CA30" i="5"/>
  <c r="CI30" i="5"/>
  <c r="BU30" i="5"/>
  <c r="CF30" i="5"/>
  <c r="BO30" i="5"/>
  <c r="BT30" i="5"/>
  <c r="BJ30" i="5"/>
  <c r="BI30" i="5"/>
  <c r="BV30" i="5"/>
  <c r="CK30" i="5"/>
  <c r="CD30" i="5"/>
  <c r="BW30" i="5"/>
  <c r="BS30" i="5"/>
  <c r="BR30" i="5"/>
  <c r="BQ30" i="5"/>
  <c r="BE30" i="5"/>
  <c r="BC30" i="5"/>
  <c r="BK30" i="5"/>
  <c r="BF30" i="5"/>
  <c r="BA30" i="5"/>
  <c r="BP30" i="5" s="1"/>
  <c r="BG30" i="5"/>
  <c r="AZ30" i="5"/>
  <c r="AY30" i="5"/>
  <c r="BM30" i="5"/>
  <c r="BH30" i="5"/>
  <c r="BD30" i="5"/>
  <c r="CG22" i="5"/>
  <c r="CC22" i="5"/>
  <c r="BY22" i="5"/>
  <c r="CE22" i="5"/>
  <c r="CA22" i="5"/>
  <c r="CJ22" i="5"/>
  <c r="CF22" i="5"/>
  <c r="BU22" i="5"/>
  <c r="BL22" i="5"/>
  <c r="CD22" i="5"/>
  <c r="BV22" i="5"/>
  <c r="BS22" i="5"/>
  <c r="CK22" i="5"/>
  <c r="BO22" i="5"/>
  <c r="BX22" i="5"/>
  <c r="BW22" i="5"/>
  <c r="BN22" i="5"/>
  <c r="BM22" i="5"/>
  <c r="BT22" i="5"/>
  <c r="BZ22" i="5"/>
  <c r="CH22" i="5"/>
  <c r="CI22" i="5"/>
  <c r="BF22" i="5"/>
  <c r="BE22" i="5"/>
  <c r="BH22" i="5"/>
  <c r="BI22" i="5"/>
  <c r="BD22" i="5"/>
  <c r="BR22" i="5"/>
  <c r="BC22" i="5"/>
  <c r="BJ22" i="5"/>
  <c r="BB22" i="5"/>
  <c r="BA22" i="5"/>
  <c r="BP22" i="5" s="1"/>
  <c r="CB22" i="5" s="1"/>
  <c r="BQ22" i="5"/>
  <c r="BK22" i="5"/>
  <c r="AZ22" i="5"/>
  <c r="AY22" i="5"/>
  <c r="BG22" i="5"/>
  <c r="CG14" i="5"/>
  <c r="CC14" i="5"/>
  <c r="BY14" i="5"/>
  <c r="CE14" i="5"/>
  <c r="CA14" i="5"/>
  <c r="CI14" i="5"/>
  <c r="BU14" i="5"/>
  <c r="CD14" i="5"/>
  <c r="BT14" i="5"/>
  <c r="CF14" i="5"/>
  <c r="BS14" i="5"/>
  <c r="BV14" i="5"/>
  <c r="BR14" i="5"/>
  <c r="BQ14" i="5"/>
  <c r="BO14" i="5"/>
  <c r="CK14" i="5"/>
  <c r="BW14" i="5"/>
  <c r="BJ14" i="5"/>
  <c r="BI14" i="5"/>
  <c r="BK14" i="5"/>
  <c r="BF14" i="5"/>
  <c r="BG14" i="5"/>
  <c r="BH14" i="5"/>
  <c r="BC14" i="5"/>
  <c r="BD14" i="5"/>
  <c r="BA14" i="5"/>
  <c r="BP14" i="5" s="1"/>
  <c r="BM14" i="5"/>
  <c r="BE14" i="5"/>
  <c r="AZ14" i="5"/>
  <c r="AY14" i="5"/>
  <c r="CG6" i="5"/>
  <c r="CC6" i="5"/>
  <c r="BY6" i="5"/>
  <c r="CE6" i="5"/>
  <c r="CA6" i="5"/>
  <c r="CF6" i="5"/>
  <c r="BU6" i="5"/>
  <c r="CK6" i="5"/>
  <c r="CI6" i="5"/>
  <c r="BV6" i="5"/>
  <c r="CD6" i="5"/>
  <c r="BT6" i="5"/>
  <c r="BF6" i="5"/>
  <c r="BE6" i="5"/>
  <c r="BW6" i="5"/>
  <c r="BS6" i="5"/>
  <c r="BZ6" i="5"/>
  <c r="BO6" i="5"/>
  <c r="BN6" i="5"/>
  <c r="BM6" i="5"/>
  <c r="BR6" i="5"/>
  <c r="BH6" i="5"/>
  <c r="BB6" i="5"/>
  <c r="BA6" i="5"/>
  <c r="BP6" i="5" s="1"/>
  <c r="BI6" i="5"/>
  <c r="BD6" i="5"/>
  <c r="AZ6" i="5"/>
  <c r="AY6" i="5"/>
  <c r="BQ6" i="5"/>
  <c r="BJ6" i="5"/>
  <c r="BK6" i="5"/>
  <c r="BG6" i="5"/>
  <c r="BC6" i="5"/>
  <c r="AU6" i="5"/>
  <c r="AU14" i="5"/>
  <c r="BB14" i="5" s="1"/>
  <c r="AU41" i="5"/>
  <c r="BN41" i="5" s="1"/>
  <c r="AV14" i="5"/>
  <c r="AV33" i="5"/>
  <c r="BC33" i="5" s="1"/>
  <c r="CI53" i="5"/>
  <c r="CJ53" i="5"/>
  <c r="CH53" i="5"/>
  <c r="CE53" i="5"/>
  <c r="CD53" i="5"/>
  <c r="CK53" i="5"/>
  <c r="BQ53" i="5"/>
  <c r="BM53" i="5"/>
  <c r="BL53" i="5"/>
  <c r="BI53" i="5"/>
  <c r="BE53" i="5"/>
  <c r="CC53" i="5"/>
  <c r="BU53" i="5"/>
  <c r="BS53" i="5"/>
  <c r="BK53" i="5"/>
  <c r="BG53" i="5"/>
  <c r="BR53" i="5"/>
  <c r="CF53" i="5"/>
  <c r="BY53" i="5"/>
  <c r="BV53" i="5"/>
  <c r="BZ53" i="5"/>
  <c r="BX53" i="5"/>
  <c r="BN53" i="5"/>
  <c r="CG53" i="5"/>
  <c r="CA53" i="5"/>
  <c r="BW53" i="5"/>
  <c r="AY53" i="5"/>
  <c r="BT53" i="5"/>
  <c r="BD53" i="5"/>
  <c r="BA53" i="5"/>
  <c r="BP53" i="5" s="1"/>
  <c r="CB53" i="5" s="1"/>
  <c r="BH53" i="5"/>
  <c r="BB53" i="5"/>
  <c r="AZ53" i="5"/>
  <c r="BJ53" i="5"/>
  <c r="AU53" i="5"/>
  <c r="BF53" i="5"/>
  <c r="CI45" i="5"/>
  <c r="CH45" i="5"/>
  <c r="CJ45" i="5"/>
  <c r="CA45" i="5"/>
  <c r="BZ45" i="5"/>
  <c r="CC45" i="5"/>
  <c r="BX45" i="5"/>
  <c r="BQ45" i="5"/>
  <c r="BM45" i="5"/>
  <c r="BI45" i="5"/>
  <c r="BE45" i="5"/>
  <c r="CF45" i="5"/>
  <c r="BS45" i="5"/>
  <c r="BO45" i="5"/>
  <c r="BK45" i="5"/>
  <c r="BG45" i="5"/>
  <c r="BR45" i="5"/>
  <c r="CK45" i="5"/>
  <c r="CD45" i="5"/>
  <c r="BU45" i="5"/>
  <c r="BC45" i="5"/>
  <c r="AY45" i="5"/>
  <c r="BV45" i="5"/>
  <c r="BN45" i="5"/>
  <c r="CE45" i="5"/>
  <c r="BY45" i="5"/>
  <c r="BW45" i="5"/>
  <c r="CG45" i="5"/>
  <c r="BH45" i="5"/>
  <c r="BA45" i="5"/>
  <c r="BP45" i="5" s="1"/>
  <c r="CB45" i="5" s="1"/>
  <c r="BL45" i="5"/>
  <c r="BJ45" i="5"/>
  <c r="BF45" i="5"/>
  <c r="BT45" i="5"/>
  <c r="AZ45" i="5"/>
  <c r="AU45" i="5"/>
  <c r="BB45" i="5" s="1"/>
  <c r="BD45" i="5"/>
  <c r="CI37" i="5"/>
  <c r="CH37" i="5"/>
  <c r="CK37" i="5"/>
  <c r="CE37" i="5"/>
  <c r="CD37" i="5"/>
  <c r="CF37" i="5"/>
  <c r="CA37" i="5"/>
  <c r="BU37" i="5"/>
  <c r="BT37" i="5"/>
  <c r="BQ37" i="5"/>
  <c r="BM37" i="5"/>
  <c r="BI37" i="5"/>
  <c r="BE37" i="5"/>
  <c r="BS37" i="5"/>
  <c r="BO37" i="5"/>
  <c r="BK37" i="5"/>
  <c r="BG37" i="5"/>
  <c r="BV37" i="5"/>
  <c r="BY37" i="5"/>
  <c r="BW37" i="5"/>
  <c r="CJ37" i="5"/>
  <c r="BZ37" i="5"/>
  <c r="BD37" i="5"/>
  <c r="BC37" i="5"/>
  <c r="AY37" i="5"/>
  <c r="CG37" i="5"/>
  <c r="BR37" i="5"/>
  <c r="BX37" i="5"/>
  <c r="BN37" i="5"/>
  <c r="CC37" i="5"/>
  <c r="BL37" i="5"/>
  <c r="BA37" i="5"/>
  <c r="AZ37" i="5"/>
  <c r="BH37" i="5"/>
  <c r="BP37" i="5"/>
  <c r="BJ37" i="5"/>
  <c r="BF37" i="5"/>
  <c r="AU37" i="5"/>
  <c r="BB37" i="5"/>
  <c r="CI29" i="5"/>
  <c r="CA29" i="5"/>
  <c r="BW29" i="5"/>
  <c r="CD29" i="5"/>
  <c r="BY29" i="5"/>
  <c r="BQ29" i="5"/>
  <c r="BM29" i="5"/>
  <c r="BI29" i="5"/>
  <c r="BE29" i="5"/>
  <c r="BS29" i="5"/>
  <c r="BO29" i="5"/>
  <c r="BK29" i="5"/>
  <c r="BG29" i="5"/>
  <c r="CG29" i="5"/>
  <c r="BT29" i="5"/>
  <c r="BU29" i="5"/>
  <c r="BV29" i="5"/>
  <c r="BH29" i="5"/>
  <c r="BC29" i="5"/>
  <c r="AY29" i="5"/>
  <c r="CK29" i="5"/>
  <c r="CC29" i="5"/>
  <c r="CE29" i="5"/>
  <c r="BR29" i="5"/>
  <c r="CF29" i="5"/>
  <c r="BA29" i="5"/>
  <c r="BP29" i="5" s="1"/>
  <c r="CB29" i="5" s="1"/>
  <c r="BJ29" i="5"/>
  <c r="BF29" i="5"/>
  <c r="AZ29" i="5"/>
  <c r="BD29" i="5"/>
  <c r="AU29" i="5"/>
  <c r="BB29" i="5" s="1"/>
  <c r="CI21" i="5"/>
  <c r="CE21" i="5"/>
  <c r="CD21" i="5"/>
  <c r="CK21" i="5"/>
  <c r="BQ21" i="5"/>
  <c r="BM21" i="5"/>
  <c r="BI21" i="5"/>
  <c r="BE21" i="5"/>
  <c r="BY21" i="5"/>
  <c r="BU21" i="5"/>
  <c r="BT21" i="5"/>
  <c r="BS21" i="5"/>
  <c r="BO21" i="5"/>
  <c r="BK21" i="5"/>
  <c r="BG21" i="5"/>
  <c r="CC21" i="5"/>
  <c r="BR21" i="5"/>
  <c r="BW21" i="5"/>
  <c r="BC21" i="5"/>
  <c r="AY21" i="5"/>
  <c r="CF21" i="5"/>
  <c r="CG21" i="5"/>
  <c r="CA21" i="5"/>
  <c r="BV21" i="5"/>
  <c r="BD21" i="5"/>
  <c r="BA21" i="5"/>
  <c r="BH21" i="5"/>
  <c r="BJ21" i="5"/>
  <c r="AZ21" i="5"/>
  <c r="BF21" i="5"/>
  <c r="BL21" i="5" s="1"/>
  <c r="AU21" i="5"/>
  <c r="BN21" i="5" s="1"/>
  <c r="BP21" i="5"/>
  <c r="CI13" i="5"/>
  <c r="CA13" i="5"/>
  <c r="BW13" i="5"/>
  <c r="BQ13" i="5"/>
  <c r="BM13" i="5"/>
  <c r="BI13" i="5"/>
  <c r="BE13" i="5"/>
  <c r="CK13" i="5"/>
  <c r="CG13" i="5"/>
  <c r="BS13" i="5"/>
  <c r="BO13" i="5"/>
  <c r="BK13" i="5"/>
  <c r="BG13" i="5"/>
  <c r="CF13" i="5"/>
  <c r="BY13" i="5"/>
  <c r="BU13" i="5"/>
  <c r="BV13" i="5"/>
  <c r="BR13" i="5"/>
  <c r="BP13" i="5"/>
  <c r="BC13" i="5"/>
  <c r="AY13" i="5"/>
  <c r="BN13" i="5"/>
  <c r="BZ13" i="5" s="1"/>
  <c r="CC13" i="5"/>
  <c r="CD13" i="5"/>
  <c r="CE13" i="5"/>
  <c r="BT13" i="5"/>
  <c r="BH13" i="5"/>
  <c r="BA13" i="5"/>
  <c r="BF13" i="5"/>
  <c r="BD13" i="5"/>
  <c r="AZ13" i="5"/>
  <c r="BJ13" i="5"/>
  <c r="CI5" i="5"/>
  <c r="CK5" i="5"/>
  <c r="CE5" i="5"/>
  <c r="CD5" i="5"/>
  <c r="CG5" i="5"/>
  <c r="BU5" i="5"/>
  <c r="BT5" i="5"/>
  <c r="BQ5" i="5"/>
  <c r="BM5" i="5"/>
  <c r="BI5" i="5"/>
  <c r="BE5" i="5"/>
  <c r="BW5" i="5"/>
  <c r="BS5" i="5"/>
  <c r="BO5" i="5"/>
  <c r="BK5" i="5"/>
  <c r="BG5" i="5"/>
  <c r="BC5" i="5"/>
  <c r="CC5" i="5"/>
  <c r="BD5" i="5"/>
  <c r="BL5" i="5" s="1"/>
  <c r="AY5" i="5"/>
  <c r="BR5" i="5"/>
  <c r="CF5" i="5"/>
  <c r="BY5" i="5"/>
  <c r="BV5" i="5"/>
  <c r="BN5" i="5"/>
  <c r="BZ5" i="5" s="1"/>
  <c r="CA5" i="5"/>
  <c r="BA5" i="5"/>
  <c r="BP5" i="5" s="1"/>
  <c r="CB5" i="5" s="1"/>
  <c r="AZ5" i="5"/>
  <c r="BJ5" i="5"/>
  <c r="BF5" i="5"/>
  <c r="BH5" i="5"/>
  <c r="BB5" i="5"/>
  <c r="AT52" i="5"/>
  <c r="AT44" i="5"/>
  <c r="AT36" i="5"/>
  <c r="AT28" i="5"/>
  <c r="AT20" i="5"/>
  <c r="AT12" i="5"/>
  <c r="AT4" i="5"/>
  <c r="AU25" i="5"/>
  <c r="BB25" i="5" s="1"/>
  <c r="AV17" i="5"/>
  <c r="BO17" i="5" s="1"/>
  <c r="AV53" i="5"/>
  <c r="BC53" i="5" s="1"/>
  <c r="AT51" i="5"/>
  <c r="AT43" i="5"/>
  <c r="AT35" i="5"/>
  <c r="AT27" i="5"/>
  <c r="AT19" i="5"/>
  <c r="AT11" i="5"/>
  <c r="AT3" i="5"/>
  <c r="AU9" i="5"/>
  <c r="BN9" i="5" s="1"/>
  <c r="AU17" i="5"/>
  <c r="BB17" i="5" s="1"/>
  <c r="AU54" i="5"/>
  <c r="BN54" i="5" s="1"/>
  <c r="AV9" i="5"/>
  <c r="BC9" i="5" s="1"/>
  <c r="AV45" i="5"/>
  <c r="AV54" i="5"/>
  <c r="BC54" i="5" s="1"/>
  <c r="BX46" i="5"/>
  <c r="BX38" i="5"/>
  <c r="BX17" i="5"/>
  <c r="BL46" i="5"/>
  <c r="BL30" i="5"/>
  <c r="BL14" i="5"/>
  <c r="BL6" i="5"/>
  <c r="C12" i="7"/>
  <c r="C13" i="7"/>
  <c r="C14" i="7"/>
  <c r="E51" i="9"/>
  <c r="BZ38" i="5" l="1"/>
  <c r="CB25" i="5"/>
  <c r="BX25" i="5"/>
  <c r="CB6" i="5"/>
  <c r="BX6" i="5"/>
  <c r="CB30" i="5"/>
  <c r="BX30" i="5"/>
  <c r="CB14" i="5"/>
  <c r="BX14" i="5"/>
  <c r="CB9" i="5"/>
  <c r="BX9" i="5"/>
  <c r="CI19" i="5"/>
  <c r="CA19" i="5"/>
  <c r="CK19" i="5"/>
  <c r="BR19" i="5"/>
  <c r="BN19" i="5"/>
  <c r="BJ19" i="5"/>
  <c r="BF19" i="5"/>
  <c r="CE19" i="5"/>
  <c r="BW19" i="5"/>
  <c r="BH19" i="5"/>
  <c r="BD19" i="5"/>
  <c r="CD19" i="5"/>
  <c r="BY19" i="5"/>
  <c r="CF19" i="5"/>
  <c r="BT19" i="5"/>
  <c r="BI19" i="5"/>
  <c r="AZ19" i="5"/>
  <c r="CG19" i="5"/>
  <c r="BU19" i="5"/>
  <c r="BV19" i="5"/>
  <c r="BS19" i="5"/>
  <c r="CC19" i="5"/>
  <c r="BQ19" i="5"/>
  <c r="BM19" i="5"/>
  <c r="BE19" i="5"/>
  <c r="BA19" i="5"/>
  <c r="BP19" i="5" s="1"/>
  <c r="CB19" i="5" s="1"/>
  <c r="AY19" i="5"/>
  <c r="BK19" i="5"/>
  <c r="BG19" i="5"/>
  <c r="AU19" i="5"/>
  <c r="BB19" i="5" s="1"/>
  <c r="BZ19" i="5" s="1"/>
  <c r="AV19" i="5"/>
  <c r="BC19" i="5" s="1"/>
  <c r="CB13" i="5"/>
  <c r="BB21" i="5"/>
  <c r="BZ21" i="5" s="1"/>
  <c r="BY7" i="5"/>
  <c r="BW7" i="5"/>
  <c r="CG7" i="5"/>
  <c r="BH7" i="5"/>
  <c r="BD7" i="5"/>
  <c r="CD7" i="5"/>
  <c r="BR7" i="5"/>
  <c r="BJ7" i="5"/>
  <c r="BF7" i="5"/>
  <c r="CA7" i="5"/>
  <c r="CI7" i="5"/>
  <c r="CC7" i="5"/>
  <c r="CK7" i="5"/>
  <c r="BG7" i="5"/>
  <c r="CE7" i="5"/>
  <c r="BT7" i="5"/>
  <c r="BU7" i="5"/>
  <c r="CF7" i="5"/>
  <c r="BQ7" i="5"/>
  <c r="BV7" i="5"/>
  <c r="AZ7" i="5"/>
  <c r="BA7" i="5"/>
  <c r="BP7" i="5" s="1"/>
  <c r="CB7" i="5" s="1"/>
  <c r="BI7" i="5"/>
  <c r="AY7" i="5"/>
  <c r="BE7" i="5"/>
  <c r="BM7" i="5"/>
  <c r="BK7" i="5"/>
  <c r="BS7" i="5"/>
  <c r="AV7" i="5"/>
  <c r="BO7" i="5" s="1"/>
  <c r="AU7" i="5"/>
  <c r="BN7" i="5" s="1"/>
  <c r="CJ27" i="5"/>
  <c r="CF27" i="5"/>
  <c r="CE27" i="5"/>
  <c r="BV27" i="5"/>
  <c r="BU27" i="5"/>
  <c r="BR27" i="5"/>
  <c r="BJ27" i="5"/>
  <c r="BF27" i="5"/>
  <c r="CK27" i="5"/>
  <c r="CI27" i="5"/>
  <c r="CG27" i="5"/>
  <c r="BH27" i="5"/>
  <c r="BD27" i="5"/>
  <c r="CH27" i="5"/>
  <c r="CA27" i="5"/>
  <c r="CC27" i="5"/>
  <c r="BL27" i="5"/>
  <c r="BE27" i="5"/>
  <c r="AZ27" i="5"/>
  <c r="CD27" i="5"/>
  <c r="BX27" i="5"/>
  <c r="BS27" i="5"/>
  <c r="BW27" i="5"/>
  <c r="BY27" i="5"/>
  <c r="BZ27" i="5"/>
  <c r="BT27" i="5"/>
  <c r="BM27" i="5"/>
  <c r="BK27" i="5"/>
  <c r="BA27" i="5"/>
  <c r="BP27" i="5" s="1"/>
  <c r="CB27" i="5" s="1"/>
  <c r="AY27" i="5"/>
  <c r="BG27" i="5"/>
  <c r="BI27" i="5"/>
  <c r="BQ27" i="5"/>
  <c r="AV27" i="5"/>
  <c r="BO27" i="5" s="1"/>
  <c r="AU27" i="5"/>
  <c r="BN27" i="5" s="1"/>
  <c r="CK12" i="5"/>
  <c r="CD12" i="5"/>
  <c r="BW12" i="5"/>
  <c r="CF12" i="5"/>
  <c r="CG12" i="5"/>
  <c r="BT12" i="5"/>
  <c r="BY12" i="5"/>
  <c r="BV12" i="5"/>
  <c r="CE12" i="5"/>
  <c r="CI12" i="5"/>
  <c r="BU12" i="5"/>
  <c r="CA12" i="5"/>
  <c r="BQ12" i="5"/>
  <c r="BP12" i="5"/>
  <c r="CB12" i="5" s="1"/>
  <c r="CC12" i="5"/>
  <c r="BG12" i="5"/>
  <c r="BL12" i="5" s="1"/>
  <c r="BF12" i="5"/>
  <c r="BK12" i="5"/>
  <c r="BR12" i="5"/>
  <c r="BH12" i="5"/>
  <c r="BD12" i="5"/>
  <c r="BB12" i="5"/>
  <c r="BI12" i="5"/>
  <c r="BA12" i="5"/>
  <c r="AZ12" i="5"/>
  <c r="BM12" i="5"/>
  <c r="BJ12" i="5"/>
  <c r="BE12" i="5"/>
  <c r="AY12" i="5"/>
  <c r="BS12" i="5"/>
  <c r="AV12" i="5"/>
  <c r="BC12" i="5" s="1"/>
  <c r="AU12" i="5"/>
  <c r="BN12" i="5" s="1"/>
  <c r="BZ12" i="5" s="1"/>
  <c r="BX29" i="5"/>
  <c r="BO53" i="5"/>
  <c r="BN14" i="5"/>
  <c r="BZ14" i="5" s="1"/>
  <c r="CK15" i="5"/>
  <c r="CD15" i="5"/>
  <c r="CC15" i="5"/>
  <c r="BY15" i="5"/>
  <c r="BT15" i="5"/>
  <c r="BH15" i="5"/>
  <c r="BD15" i="5"/>
  <c r="CF15" i="5"/>
  <c r="BR15" i="5"/>
  <c r="BJ15" i="5"/>
  <c r="BF15" i="5"/>
  <c r="CE15" i="5"/>
  <c r="BW15" i="5"/>
  <c r="CG15" i="5"/>
  <c r="BU15" i="5"/>
  <c r="CA15" i="5"/>
  <c r="BS15" i="5"/>
  <c r="CI15" i="5"/>
  <c r="BV15" i="5"/>
  <c r="BQ15" i="5"/>
  <c r="BM15" i="5"/>
  <c r="BK15" i="5"/>
  <c r="AZ15" i="5"/>
  <c r="BE15" i="5"/>
  <c r="AY15" i="5"/>
  <c r="BG15" i="5"/>
  <c r="BI15" i="5"/>
  <c r="BL15" i="5" s="1"/>
  <c r="AV15" i="5"/>
  <c r="BO15" i="5" s="1"/>
  <c r="BA15" i="5"/>
  <c r="BP15" i="5" s="1"/>
  <c r="CB15" i="5" s="1"/>
  <c r="AU15" i="5"/>
  <c r="BN15" i="5" s="1"/>
  <c r="CF8" i="5"/>
  <c r="CK8" i="5"/>
  <c r="CD8" i="5"/>
  <c r="BW8" i="5"/>
  <c r="CI8" i="5"/>
  <c r="CA8" i="5"/>
  <c r="BV8" i="5"/>
  <c r="BX8" i="5" s="1"/>
  <c r="BT8" i="5"/>
  <c r="BY8" i="5"/>
  <c r="CC8" i="5"/>
  <c r="BI8" i="5"/>
  <c r="BH8" i="5"/>
  <c r="CE8" i="5"/>
  <c r="BU8" i="5"/>
  <c r="BS8" i="5"/>
  <c r="BR8" i="5"/>
  <c r="CG8" i="5"/>
  <c r="BQ8" i="5"/>
  <c r="BP8" i="5"/>
  <c r="CB8" i="5" s="1"/>
  <c r="BD8" i="5"/>
  <c r="BA8" i="5"/>
  <c r="AZ8" i="5"/>
  <c r="AY8" i="5"/>
  <c r="BJ8" i="5"/>
  <c r="BE8" i="5"/>
  <c r="BM8" i="5"/>
  <c r="BF8" i="5"/>
  <c r="BK8" i="5"/>
  <c r="BG8" i="5"/>
  <c r="AV8" i="5"/>
  <c r="BC8" i="5" s="1"/>
  <c r="AU8" i="5"/>
  <c r="BB8" i="5" s="1"/>
  <c r="BN25" i="5"/>
  <c r="BZ25" i="5" s="1"/>
  <c r="CJ35" i="5"/>
  <c r="BX35" i="5"/>
  <c r="CI35" i="5"/>
  <c r="CA35" i="5"/>
  <c r="CG35" i="5"/>
  <c r="BR35" i="5"/>
  <c r="BJ35" i="5"/>
  <c r="BF35" i="5"/>
  <c r="CD35" i="5"/>
  <c r="BP35" i="5"/>
  <c r="CB35" i="5" s="1"/>
  <c r="BH35" i="5"/>
  <c r="BD35" i="5"/>
  <c r="CE35" i="5"/>
  <c r="BW35" i="5"/>
  <c r="CH35" i="5"/>
  <c r="BY35" i="5"/>
  <c r="CF35" i="5"/>
  <c r="BZ35" i="5"/>
  <c r="BS35" i="5"/>
  <c r="BQ35" i="5"/>
  <c r="AZ35" i="5"/>
  <c r="BT35" i="5"/>
  <c r="BU35" i="5"/>
  <c r="CC35" i="5"/>
  <c r="CK35" i="5"/>
  <c r="BV35" i="5"/>
  <c r="BI35" i="5"/>
  <c r="BE35" i="5"/>
  <c r="BL35" i="5"/>
  <c r="BK35" i="5"/>
  <c r="BC35" i="5"/>
  <c r="BG35" i="5"/>
  <c r="BA35" i="5"/>
  <c r="BM35" i="5"/>
  <c r="AY35" i="5"/>
  <c r="AU35" i="5"/>
  <c r="BB35" i="5" s="1"/>
  <c r="AV35" i="5"/>
  <c r="BO35" i="5" s="1"/>
  <c r="CK20" i="5"/>
  <c r="CD20" i="5"/>
  <c r="BZ20" i="5"/>
  <c r="BW20" i="5"/>
  <c r="CH20" i="5"/>
  <c r="CF20" i="5"/>
  <c r="BX20" i="5"/>
  <c r="CC20" i="5"/>
  <c r="BT20" i="5"/>
  <c r="BV20" i="5"/>
  <c r="CI20" i="5"/>
  <c r="CG20" i="5"/>
  <c r="CJ20" i="5"/>
  <c r="BQ20" i="5"/>
  <c r="BP20" i="5"/>
  <c r="CB20" i="5" s="1"/>
  <c r="CE20" i="5"/>
  <c r="BM20" i="5"/>
  <c r="BY20" i="5"/>
  <c r="BK20" i="5"/>
  <c r="BJ20" i="5"/>
  <c r="CA20" i="5"/>
  <c r="BU20" i="5"/>
  <c r="BS20" i="5"/>
  <c r="BR20" i="5"/>
  <c r="BL20" i="5"/>
  <c r="BO20" i="5"/>
  <c r="BI20" i="5"/>
  <c r="BD20" i="5"/>
  <c r="BE20" i="5"/>
  <c r="BA20" i="5"/>
  <c r="AZ20" i="5"/>
  <c r="BF20" i="5"/>
  <c r="AY20" i="5"/>
  <c r="BG20" i="5"/>
  <c r="BH20" i="5"/>
  <c r="AU20" i="5"/>
  <c r="BB20" i="5" s="1"/>
  <c r="AV20" i="5"/>
  <c r="BC20" i="5" s="1"/>
  <c r="BL13" i="5"/>
  <c r="BN29" i="5"/>
  <c r="BZ29" i="5" s="1"/>
  <c r="BN30" i="5"/>
  <c r="BZ30" i="5" s="1"/>
  <c r="BB54" i="5"/>
  <c r="CG23" i="5"/>
  <c r="BY23" i="5"/>
  <c r="BW23" i="5"/>
  <c r="CF23" i="5"/>
  <c r="CA23" i="5"/>
  <c r="BP23" i="5"/>
  <c r="CB23" i="5" s="1"/>
  <c r="BH23" i="5"/>
  <c r="BD23" i="5"/>
  <c r="BR23" i="5"/>
  <c r="BN23" i="5"/>
  <c r="BZ23" i="5" s="1"/>
  <c r="BJ23" i="5"/>
  <c r="BF23" i="5"/>
  <c r="CI23" i="5"/>
  <c r="BV23" i="5"/>
  <c r="CC23" i="5"/>
  <c r="CK23" i="5"/>
  <c r="CD23" i="5"/>
  <c r="BQ23" i="5"/>
  <c r="CE23" i="5"/>
  <c r="BT23" i="5"/>
  <c r="BU23" i="5"/>
  <c r="BG23" i="5"/>
  <c r="AZ23" i="5"/>
  <c r="BS23" i="5"/>
  <c r="BM23" i="5"/>
  <c r="BI23" i="5"/>
  <c r="BL23" i="5" s="1"/>
  <c r="BE23" i="5"/>
  <c r="BA23" i="5"/>
  <c r="BK23" i="5"/>
  <c r="AY23" i="5"/>
  <c r="AV23" i="5"/>
  <c r="BO23" i="5" s="1"/>
  <c r="AU23" i="5"/>
  <c r="BB23" i="5" s="1"/>
  <c r="CF16" i="5"/>
  <c r="CK16" i="5"/>
  <c r="CD16" i="5"/>
  <c r="BW16" i="5"/>
  <c r="BV16" i="5"/>
  <c r="CE16" i="5"/>
  <c r="BT16" i="5"/>
  <c r="BU16" i="5"/>
  <c r="CA16" i="5"/>
  <c r="BY16" i="5"/>
  <c r="CG16" i="5"/>
  <c r="BE16" i="5"/>
  <c r="BD16" i="5"/>
  <c r="BS16" i="5"/>
  <c r="BR16" i="5"/>
  <c r="BX16" i="5" s="1"/>
  <c r="CI16" i="5"/>
  <c r="CC16" i="5"/>
  <c r="BM16" i="5"/>
  <c r="BJ16" i="5"/>
  <c r="BA16" i="5"/>
  <c r="AZ16" i="5"/>
  <c r="AY16" i="5"/>
  <c r="BK16" i="5"/>
  <c r="BF16" i="5"/>
  <c r="BQ16" i="5"/>
  <c r="BG16" i="5"/>
  <c r="BH16" i="5"/>
  <c r="BP16" i="5"/>
  <c r="BI16" i="5"/>
  <c r="BB16" i="5"/>
  <c r="AV16" i="5"/>
  <c r="BC16" i="5" s="1"/>
  <c r="AU16" i="5"/>
  <c r="BN16" i="5" s="1"/>
  <c r="BZ16" i="5" s="1"/>
  <c r="BC17" i="5"/>
  <c r="CI3" i="5"/>
  <c r="CA3" i="5"/>
  <c r="CC3" i="5"/>
  <c r="BR3" i="5"/>
  <c r="BN3" i="5"/>
  <c r="BZ3" i="5" s="1"/>
  <c r="BJ3" i="5"/>
  <c r="BF3" i="5"/>
  <c r="BH3" i="5"/>
  <c r="BL3" i="5" s="1"/>
  <c r="BD3" i="5"/>
  <c r="CK3" i="5"/>
  <c r="CD3" i="5"/>
  <c r="BT3" i="5"/>
  <c r="BS3" i="5"/>
  <c r="CE3" i="5"/>
  <c r="BY3" i="5"/>
  <c r="BW3" i="5"/>
  <c r="BU3" i="5"/>
  <c r="BQ3" i="5"/>
  <c r="AZ3" i="5"/>
  <c r="CF3" i="5"/>
  <c r="CG3" i="5"/>
  <c r="BV3" i="5"/>
  <c r="BI3" i="5"/>
  <c r="BB3" i="5"/>
  <c r="BE3" i="5"/>
  <c r="BM3" i="5"/>
  <c r="BK3" i="5"/>
  <c r="BG3" i="5"/>
  <c r="BA3" i="5"/>
  <c r="BP3" i="5" s="1"/>
  <c r="CB3" i="5" s="1"/>
  <c r="AY3" i="5"/>
  <c r="AV3" i="5"/>
  <c r="BO3" i="5" s="1"/>
  <c r="AU3" i="5"/>
  <c r="CK4" i="5"/>
  <c r="CD4" i="5"/>
  <c r="BW4" i="5"/>
  <c r="CF4" i="5"/>
  <c r="BT4" i="5"/>
  <c r="CC4" i="5"/>
  <c r="BV4" i="5"/>
  <c r="CE4" i="5"/>
  <c r="CI4" i="5"/>
  <c r="BS4" i="5"/>
  <c r="BR4" i="5"/>
  <c r="BC4" i="5"/>
  <c r="BY4" i="5"/>
  <c r="BU4" i="5"/>
  <c r="BQ4" i="5"/>
  <c r="CG4" i="5"/>
  <c r="CA4" i="5"/>
  <c r="BM4" i="5"/>
  <c r="BK4" i="5"/>
  <c r="BJ4" i="5"/>
  <c r="BI4" i="5"/>
  <c r="BD4" i="5"/>
  <c r="AY4" i="5"/>
  <c r="BE4" i="5"/>
  <c r="BF4" i="5"/>
  <c r="BG4" i="5"/>
  <c r="BH4" i="5"/>
  <c r="BA4" i="5"/>
  <c r="BP4" i="5" s="1"/>
  <c r="CB4" i="5" s="1"/>
  <c r="AZ4" i="5"/>
  <c r="AV4" i="5"/>
  <c r="BO4" i="5" s="1"/>
  <c r="AU4" i="5"/>
  <c r="BN4" i="5" s="1"/>
  <c r="CJ43" i="5"/>
  <c r="CF43" i="5"/>
  <c r="CE43" i="5"/>
  <c r="BX43" i="5"/>
  <c r="CD43" i="5"/>
  <c r="BY43" i="5"/>
  <c r="BR43" i="5"/>
  <c r="BN43" i="5"/>
  <c r="BJ43" i="5"/>
  <c r="BF43" i="5"/>
  <c r="BV43" i="5"/>
  <c r="BU43" i="5"/>
  <c r="BP43" i="5"/>
  <c r="BL43" i="5"/>
  <c r="BH43" i="5"/>
  <c r="BD43" i="5"/>
  <c r="CI43" i="5"/>
  <c r="BT43" i="5"/>
  <c r="BS43" i="5"/>
  <c r="CC43" i="5"/>
  <c r="CK43" i="5"/>
  <c r="CH43" i="5"/>
  <c r="BM43" i="5"/>
  <c r="AZ43" i="5"/>
  <c r="BW43" i="5"/>
  <c r="CG43" i="5"/>
  <c r="BZ43" i="5"/>
  <c r="CA43" i="5"/>
  <c r="BE43" i="5"/>
  <c r="BQ43" i="5"/>
  <c r="BK43" i="5"/>
  <c r="BG43" i="5"/>
  <c r="BA43" i="5"/>
  <c r="AY43" i="5"/>
  <c r="BI43" i="5"/>
  <c r="AU43" i="5"/>
  <c r="BB43" i="5" s="1"/>
  <c r="AV43" i="5"/>
  <c r="BC43" i="5" s="1"/>
  <c r="BO54" i="5"/>
  <c r="CH31" i="5"/>
  <c r="CD31" i="5"/>
  <c r="CC31" i="5"/>
  <c r="CK31" i="5"/>
  <c r="CJ31" i="5"/>
  <c r="BP31" i="5"/>
  <c r="BH31" i="5"/>
  <c r="BD31" i="5"/>
  <c r="CA31" i="5"/>
  <c r="BT31" i="5"/>
  <c r="BR31" i="5"/>
  <c r="BJ31" i="5"/>
  <c r="BF31" i="5"/>
  <c r="CF31" i="5"/>
  <c r="BQ31" i="5"/>
  <c r="CG31" i="5"/>
  <c r="BZ31" i="5"/>
  <c r="BM31" i="5"/>
  <c r="CI31" i="5"/>
  <c r="BU31" i="5"/>
  <c r="BK31" i="5"/>
  <c r="BX31" i="5"/>
  <c r="BV31" i="5"/>
  <c r="CE31" i="5"/>
  <c r="BY31" i="5"/>
  <c r="BW31" i="5"/>
  <c r="BS31" i="5"/>
  <c r="AZ31" i="5"/>
  <c r="BE31" i="5"/>
  <c r="BC31" i="5"/>
  <c r="BL31" i="5"/>
  <c r="BA31" i="5"/>
  <c r="BG31" i="5"/>
  <c r="AY31" i="5"/>
  <c r="AV31" i="5"/>
  <c r="BO31" i="5" s="1"/>
  <c r="BI31" i="5"/>
  <c r="AU31" i="5"/>
  <c r="BN31" i="5" s="1"/>
  <c r="CF24" i="5"/>
  <c r="CK24" i="5"/>
  <c r="CD24" i="5"/>
  <c r="BZ24" i="5"/>
  <c r="BW24" i="5"/>
  <c r="BX24" i="5"/>
  <c r="BV24" i="5"/>
  <c r="CI24" i="5"/>
  <c r="CA24" i="5"/>
  <c r="BT24" i="5"/>
  <c r="CC24" i="5"/>
  <c r="CJ24" i="5"/>
  <c r="BS24" i="5"/>
  <c r="BR24" i="5"/>
  <c r="BQ24" i="5"/>
  <c r="BP24" i="5"/>
  <c r="CB24" i="5" s="1"/>
  <c r="CE24" i="5"/>
  <c r="BY24" i="5"/>
  <c r="CG24" i="5"/>
  <c r="CH24" i="5"/>
  <c r="BU24" i="5"/>
  <c r="BI24" i="5"/>
  <c r="BH24" i="5"/>
  <c r="BG24" i="5"/>
  <c r="BL24" i="5"/>
  <c r="BM24" i="5"/>
  <c r="BD24" i="5"/>
  <c r="BJ24" i="5"/>
  <c r="BE24" i="5"/>
  <c r="BF24" i="5"/>
  <c r="BA24" i="5"/>
  <c r="AZ24" i="5"/>
  <c r="BK24" i="5"/>
  <c r="AY24" i="5"/>
  <c r="AU24" i="5"/>
  <c r="BN24" i="5" s="1"/>
  <c r="AV24" i="5"/>
  <c r="BO24" i="5" s="1"/>
  <c r="BL9" i="5"/>
  <c r="BN17" i="5"/>
  <c r="BZ17" i="5" s="1"/>
  <c r="BB41" i="5"/>
  <c r="CE10" i="5"/>
  <c r="CA10" i="5"/>
  <c r="CG10" i="5"/>
  <c r="CC10" i="5"/>
  <c r="BY10" i="5"/>
  <c r="CD10" i="5"/>
  <c r="BU10" i="5"/>
  <c r="CK10" i="5"/>
  <c r="BT10" i="5"/>
  <c r="BR10" i="5"/>
  <c r="BQ10" i="5"/>
  <c r="BV10" i="5"/>
  <c r="CI10" i="5"/>
  <c r="BM10" i="5"/>
  <c r="BK10" i="5"/>
  <c r="BW10" i="5"/>
  <c r="CF10" i="5"/>
  <c r="BS10" i="5"/>
  <c r="BD10" i="5"/>
  <c r="BG10" i="5"/>
  <c r="BH10" i="5"/>
  <c r="BI10" i="5"/>
  <c r="BA10" i="5"/>
  <c r="BP10" i="5" s="1"/>
  <c r="CB10" i="5" s="1"/>
  <c r="AZ10" i="5"/>
  <c r="AY10" i="5"/>
  <c r="BJ10" i="5"/>
  <c r="BE10" i="5"/>
  <c r="BF10" i="5"/>
  <c r="AV10" i="5"/>
  <c r="BC10" i="5" s="1"/>
  <c r="AU10" i="5"/>
  <c r="BN10" i="5" s="1"/>
  <c r="CF11" i="5"/>
  <c r="CE11" i="5"/>
  <c r="BW11" i="5"/>
  <c r="BR11" i="5"/>
  <c r="BJ11" i="5"/>
  <c r="BF11" i="5"/>
  <c r="BL11" i="5" s="1"/>
  <c r="CC11" i="5"/>
  <c r="BV11" i="5"/>
  <c r="BU11" i="5"/>
  <c r="BH11" i="5"/>
  <c r="BD11" i="5"/>
  <c r="BS11" i="5"/>
  <c r="CG11" i="5"/>
  <c r="CA11" i="5"/>
  <c r="CI11" i="5"/>
  <c r="BM11" i="5"/>
  <c r="AZ11" i="5"/>
  <c r="CK11" i="5"/>
  <c r="CD11" i="5"/>
  <c r="BT11" i="5"/>
  <c r="BY11" i="5"/>
  <c r="BE11" i="5"/>
  <c r="BB11" i="5"/>
  <c r="BG11" i="5"/>
  <c r="BQ11" i="5"/>
  <c r="BI11" i="5"/>
  <c r="BA11" i="5"/>
  <c r="BP11" i="5" s="1"/>
  <c r="CB11" i="5" s="1"/>
  <c r="AY11" i="5"/>
  <c r="BK11" i="5"/>
  <c r="AV11" i="5"/>
  <c r="BC11" i="5" s="1"/>
  <c r="AU11" i="5"/>
  <c r="BN11" i="5" s="1"/>
  <c r="BZ11" i="5" s="1"/>
  <c r="CK28" i="5"/>
  <c r="CH28" i="5"/>
  <c r="CD28" i="5"/>
  <c r="BZ28" i="5"/>
  <c r="BX28" i="5"/>
  <c r="BW28" i="5"/>
  <c r="CF28" i="5"/>
  <c r="BY28" i="5"/>
  <c r="BT28" i="5"/>
  <c r="CG28" i="5"/>
  <c r="BV28" i="5"/>
  <c r="BL28" i="5"/>
  <c r="CA28" i="5"/>
  <c r="BU28" i="5"/>
  <c r="CJ28" i="5"/>
  <c r="CI28" i="5"/>
  <c r="CC28" i="5"/>
  <c r="BG28" i="5"/>
  <c r="BF28" i="5"/>
  <c r="CE28" i="5"/>
  <c r="BQ28" i="5"/>
  <c r="BP28" i="5"/>
  <c r="CB28" i="5" s="1"/>
  <c r="BN28" i="5"/>
  <c r="BB28" i="5"/>
  <c r="BK28" i="5"/>
  <c r="BA28" i="5"/>
  <c r="AZ28" i="5"/>
  <c r="BS28" i="5"/>
  <c r="AY28" i="5"/>
  <c r="BR28" i="5"/>
  <c r="BM28" i="5"/>
  <c r="BH28" i="5"/>
  <c r="BD28" i="5"/>
  <c r="BI28" i="5"/>
  <c r="BJ28" i="5"/>
  <c r="BE28" i="5"/>
  <c r="AU28" i="5"/>
  <c r="AV28" i="5"/>
  <c r="BO28" i="5" s="1"/>
  <c r="BX13" i="5"/>
  <c r="CI51" i="5"/>
  <c r="CA51" i="5"/>
  <c r="CF51" i="5"/>
  <c r="BR51" i="5"/>
  <c r="BN51" i="5"/>
  <c r="BJ51" i="5"/>
  <c r="BF51" i="5"/>
  <c r="BY51" i="5"/>
  <c r="BT51" i="5"/>
  <c r="BP51" i="5"/>
  <c r="BH51" i="5"/>
  <c r="BD51" i="5"/>
  <c r="BL51" i="5" s="1"/>
  <c r="BV51" i="5"/>
  <c r="CG51" i="5"/>
  <c r="BW51" i="5"/>
  <c r="BI51" i="5"/>
  <c r="AZ51" i="5"/>
  <c r="CC51" i="5"/>
  <c r="CK51" i="5"/>
  <c r="CD51" i="5"/>
  <c r="BU51" i="5"/>
  <c r="BS51" i="5"/>
  <c r="CE51" i="5"/>
  <c r="BQ51" i="5"/>
  <c r="BA51" i="5"/>
  <c r="AY51" i="5"/>
  <c r="BE51" i="5"/>
  <c r="BM51" i="5"/>
  <c r="BK51" i="5"/>
  <c r="BG51" i="5"/>
  <c r="AU51" i="5"/>
  <c r="BB51" i="5" s="1"/>
  <c r="BZ51" i="5" s="1"/>
  <c r="AV51" i="5"/>
  <c r="BC51" i="5" s="1"/>
  <c r="CK36" i="5"/>
  <c r="CD36" i="5"/>
  <c r="CF36" i="5"/>
  <c r="BT36" i="5"/>
  <c r="CC36" i="5"/>
  <c r="BV36" i="5"/>
  <c r="BL36" i="5"/>
  <c r="BY36" i="5"/>
  <c r="CE36" i="5"/>
  <c r="BW36" i="5"/>
  <c r="CG36" i="5"/>
  <c r="BS36" i="5"/>
  <c r="BR36" i="5"/>
  <c r="CA36" i="5"/>
  <c r="BQ36" i="5"/>
  <c r="CI36" i="5"/>
  <c r="BU36" i="5"/>
  <c r="BM36" i="5"/>
  <c r="BK36" i="5"/>
  <c r="BJ36" i="5"/>
  <c r="BH36" i="5"/>
  <c r="AY36" i="5"/>
  <c r="BI36" i="5"/>
  <c r="BD36" i="5"/>
  <c r="BE36" i="5"/>
  <c r="BF36" i="5"/>
  <c r="BG36" i="5"/>
  <c r="BA36" i="5"/>
  <c r="BP36" i="5" s="1"/>
  <c r="CB36" i="5" s="1"/>
  <c r="AZ36" i="5"/>
  <c r="AV36" i="5"/>
  <c r="BO36" i="5" s="1"/>
  <c r="AU36" i="5"/>
  <c r="BN36" i="5" s="1"/>
  <c r="BX5" i="5"/>
  <c r="CB21" i="5"/>
  <c r="BZ39" i="5"/>
  <c r="BY39" i="5"/>
  <c r="CG39" i="5"/>
  <c r="BW39" i="5"/>
  <c r="BP39" i="5"/>
  <c r="CB39" i="5" s="1"/>
  <c r="BH39" i="5"/>
  <c r="BD39" i="5"/>
  <c r="CC39" i="5"/>
  <c r="BR39" i="5"/>
  <c r="BN39" i="5"/>
  <c r="BJ39" i="5"/>
  <c r="BF39" i="5"/>
  <c r="CK39" i="5"/>
  <c r="CD39" i="5"/>
  <c r="BV39" i="5"/>
  <c r="CH39" i="5"/>
  <c r="CE39" i="5"/>
  <c r="CF39" i="5"/>
  <c r="BG39" i="5"/>
  <c r="CJ39" i="5"/>
  <c r="CA39" i="5"/>
  <c r="BT39" i="5"/>
  <c r="BQ39" i="5"/>
  <c r="CI39" i="5"/>
  <c r="BX39" i="5"/>
  <c r="BU39" i="5"/>
  <c r="AZ39" i="5"/>
  <c r="BM39" i="5"/>
  <c r="BA39" i="5"/>
  <c r="AY39" i="5"/>
  <c r="BS39" i="5"/>
  <c r="BI39" i="5"/>
  <c r="BE39" i="5"/>
  <c r="BL39" i="5"/>
  <c r="AV39" i="5"/>
  <c r="BO39" i="5" s="1"/>
  <c r="BK39" i="5"/>
  <c r="AU39" i="5"/>
  <c r="BB39" i="5" s="1"/>
  <c r="CF32" i="5"/>
  <c r="CK32" i="5"/>
  <c r="CD32" i="5"/>
  <c r="BW32" i="5"/>
  <c r="CE32" i="5"/>
  <c r="BV32" i="5"/>
  <c r="BT32" i="5"/>
  <c r="CC32" i="5"/>
  <c r="BU32" i="5"/>
  <c r="BY32" i="5"/>
  <c r="BS32" i="5"/>
  <c r="BR32" i="5"/>
  <c r="CG32" i="5"/>
  <c r="CA32" i="5"/>
  <c r="BN32" i="5"/>
  <c r="BZ32" i="5" s="1"/>
  <c r="BM32" i="5"/>
  <c r="CI32" i="5"/>
  <c r="BE32" i="5"/>
  <c r="BD32" i="5"/>
  <c r="BI32" i="5"/>
  <c r="BJ32" i="5"/>
  <c r="BK32" i="5"/>
  <c r="BF32" i="5"/>
  <c r="BB32" i="5"/>
  <c r="BA32" i="5"/>
  <c r="BP32" i="5" s="1"/>
  <c r="AZ32" i="5"/>
  <c r="BG32" i="5"/>
  <c r="AY32" i="5"/>
  <c r="BH32" i="5"/>
  <c r="BQ32" i="5"/>
  <c r="AU32" i="5"/>
  <c r="AV32" i="5"/>
  <c r="BC32" i="5" s="1"/>
  <c r="BB9" i="5"/>
  <c r="BZ9" i="5" s="1"/>
  <c r="BC49" i="5"/>
  <c r="CE18" i="5"/>
  <c r="CA18" i="5"/>
  <c r="CG18" i="5"/>
  <c r="CC18" i="5"/>
  <c r="BY18" i="5"/>
  <c r="BW18" i="5"/>
  <c r="BU18" i="5"/>
  <c r="CK18" i="5"/>
  <c r="CD18" i="5"/>
  <c r="CF18" i="5"/>
  <c r="BT18" i="5"/>
  <c r="BH18" i="5"/>
  <c r="BG18" i="5"/>
  <c r="BV18" i="5"/>
  <c r="CI18" i="5"/>
  <c r="BR18" i="5"/>
  <c r="BQ18" i="5"/>
  <c r="BP18" i="5"/>
  <c r="CB18" i="5" s="1"/>
  <c r="BS18" i="5"/>
  <c r="BM18" i="5"/>
  <c r="BI18" i="5"/>
  <c r="BD18" i="5"/>
  <c r="BC18" i="5"/>
  <c r="BE18" i="5"/>
  <c r="BA18" i="5"/>
  <c r="BJ18" i="5"/>
  <c r="AZ18" i="5"/>
  <c r="AY18" i="5"/>
  <c r="BK18" i="5"/>
  <c r="BF18" i="5"/>
  <c r="AV18" i="5"/>
  <c r="BO18" i="5" s="1"/>
  <c r="AU18" i="5"/>
  <c r="BN18" i="5" s="1"/>
  <c r="CK44" i="5"/>
  <c r="CD44" i="5"/>
  <c r="CF44" i="5"/>
  <c r="CG44" i="5"/>
  <c r="BT44" i="5"/>
  <c r="BY44" i="5"/>
  <c r="BV44" i="5"/>
  <c r="CA44" i="5"/>
  <c r="BW44" i="5"/>
  <c r="CI44" i="5"/>
  <c r="CC44" i="5"/>
  <c r="BU44" i="5"/>
  <c r="BQ44" i="5"/>
  <c r="BP44" i="5"/>
  <c r="CE44" i="5"/>
  <c r="BG44" i="5"/>
  <c r="BF44" i="5"/>
  <c r="BJ44" i="5"/>
  <c r="BE44" i="5"/>
  <c r="BM44" i="5"/>
  <c r="BK44" i="5"/>
  <c r="BS44" i="5"/>
  <c r="BH44" i="5"/>
  <c r="BA44" i="5"/>
  <c r="AZ44" i="5"/>
  <c r="BD44" i="5"/>
  <c r="AY44" i="5"/>
  <c r="BR44" i="5"/>
  <c r="BI44" i="5"/>
  <c r="AU44" i="5"/>
  <c r="BN44" i="5" s="1"/>
  <c r="AV44" i="5"/>
  <c r="BO44" i="5" s="1"/>
  <c r="BL29" i="5"/>
  <c r="CK47" i="5"/>
  <c r="CD47" i="5"/>
  <c r="CC47" i="5"/>
  <c r="BT47" i="5"/>
  <c r="BP47" i="5"/>
  <c r="CB47" i="5" s="1"/>
  <c r="BH47" i="5"/>
  <c r="BD47" i="5"/>
  <c r="CJ47" i="5"/>
  <c r="CH47" i="5"/>
  <c r="CE47" i="5"/>
  <c r="BZ47" i="5"/>
  <c r="BR47" i="5"/>
  <c r="BN47" i="5"/>
  <c r="BJ47" i="5"/>
  <c r="BF47" i="5"/>
  <c r="CG47" i="5"/>
  <c r="CA47" i="5"/>
  <c r="BX47" i="5"/>
  <c r="CI47" i="5"/>
  <c r="BS47" i="5"/>
  <c r="BL47" i="5"/>
  <c r="BB47" i="5"/>
  <c r="BU47" i="5"/>
  <c r="BQ47" i="5"/>
  <c r="BY47" i="5"/>
  <c r="BV47" i="5"/>
  <c r="BM47" i="5"/>
  <c r="CF47" i="5"/>
  <c r="BW47" i="5"/>
  <c r="BK47" i="5"/>
  <c r="AZ47" i="5"/>
  <c r="BI47" i="5"/>
  <c r="AY47" i="5"/>
  <c r="BE47" i="5"/>
  <c r="BG47" i="5"/>
  <c r="AV47" i="5"/>
  <c r="BO47" i="5" s="1"/>
  <c r="BA47" i="5"/>
  <c r="AU47" i="5"/>
  <c r="CF40" i="5"/>
  <c r="CK40" i="5"/>
  <c r="CD40" i="5"/>
  <c r="CI40" i="5"/>
  <c r="CA40" i="5"/>
  <c r="BV40" i="5"/>
  <c r="BT40" i="5"/>
  <c r="CE40" i="5"/>
  <c r="CC40" i="5"/>
  <c r="BU40" i="5"/>
  <c r="BN40" i="5"/>
  <c r="BZ40" i="5" s="1"/>
  <c r="BY40" i="5"/>
  <c r="BW40" i="5"/>
  <c r="BI40" i="5"/>
  <c r="BH40" i="5"/>
  <c r="CG40" i="5"/>
  <c r="BS40" i="5"/>
  <c r="BR40" i="5"/>
  <c r="BQ40" i="5"/>
  <c r="BK40" i="5"/>
  <c r="BM40" i="5"/>
  <c r="BG40" i="5"/>
  <c r="BA40" i="5"/>
  <c r="BP40" i="5" s="1"/>
  <c r="AZ40" i="5"/>
  <c r="AY40" i="5"/>
  <c r="BD40" i="5"/>
  <c r="BJ40" i="5"/>
  <c r="BL40" i="5" s="1"/>
  <c r="BE40" i="5"/>
  <c r="BF40" i="5"/>
  <c r="AU40" i="5"/>
  <c r="BB40" i="5" s="1"/>
  <c r="AV40" i="5"/>
  <c r="BC40" i="5" s="1"/>
  <c r="BO9" i="5"/>
  <c r="BO33" i="5"/>
  <c r="BO41" i="5"/>
  <c r="CE26" i="5"/>
  <c r="CA26" i="5"/>
  <c r="CG26" i="5"/>
  <c r="CC26" i="5"/>
  <c r="BY26" i="5"/>
  <c r="CK26" i="5"/>
  <c r="BU26" i="5"/>
  <c r="CD26" i="5"/>
  <c r="BW26" i="5"/>
  <c r="BT26" i="5"/>
  <c r="CI26" i="5"/>
  <c r="BV26" i="5"/>
  <c r="BS26" i="5"/>
  <c r="BD26" i="5"/>
  <c r="BR26" i="5"/>
  <c r="BQ26" i="5"/>
  <c r="CF26" i="5"/>
  <c r="BM26" i="5"/>
  <c r="BK26" i="5"/>
  <c r="BP26" i="5"/>
  <c r="CB26" i="5" s="1"/>
  <c r="BF26" i="5"/>
  <c r="AZ26" i="5"/>
  <c r="AY26" i="5"/>
  <c r="BG26" i="5"/>
  <c r="BH26" i="5"/>
  <c r="BI26" i="5"/>
  <c r="BJ26" i="5"/>
  <c r="BE26" i="5"/>
  <c r="BB26" i="5"/>
  <c r="BA26" i="5"/>
  <c r="AU26" i="5"/>
  <c r="BN26" i="5" s="1"/>
  <c r="BZ26" i="5" s="1"/>
  <c r="AV26" i="5"/>
  <c r="BO26" i="5" s="1"/>
  <c r="CK52" i="5"/>
  <c r="CD52" i="5"/>
  <c r="CF52" i="5"/>
  <c r="CC52" i="5"/>
  <c r="BV52" i="5"/>
  <c r="CA52" i="5"/>
  <c r="CE52" i="5"/>
  <c r="BY52" i="5"/>
  <c r="BQ52" i="5"/>
  <c r="CG52" i="5"/>
  <c r="BW52" i="5"/>
  <c r="BM52" i="5"/>
  <c r="BK52" i="5"/>
  <c r="BJ52" i="5"/>
  <c r="CI52" i="5"/>
  <c r="BT52" i="5"/>
  <c r="BU52" i="5"/>
  <c r="BS52" i="5"/>
  <c r="BR52" i="5"/>
  <c r="BG52" i="5"/>
  <c r="BH52" i="5"/>
  <c r="BC52" i="5"/>
  <c r="BB52" i="5"/>
  <c r="BI52" i="5"/>
  <c r="BD52" i="5"/>
  <c r="BA52" i="5"/>
  <c r="BP52" i="5" s="1"/>
  <c r="CB52" i="5" s="1"/>
  <c r="AZ52" i="5"/>
  <c r="AY52" i="5"/>
  <c r="BE52" i="5"/>
  <c r="BF52" i="5"/>
  <c r="BO52" i="5"/>
  <c r="AU52" i="5"/>
  <c r="BN52" i="5" s="1"/>
  <c r="BZ52" i="5" s="1"/>
  <c r="AV52" i="5"/>
  <c r="BX21" i="5"/>
  <c r="CB46" i="5"/>
  <c r="CG55" i="5"/>
  <c r="BY55" i="5"/>
  <c r="CE55" i="5"/>
  <c r="BT55" i="5"/>
  <c r="BH55" i="5"/>
  <c r="BD55" i="5"/>
  <c r="CK55" i="5"/>
  <c r="CI55" i="5"/>
  <c r="BW55" i="5"/>
  <c r="BR55" i="5"/>
  <c r="BJ55" i="5"/>
  <c r="BF55" i="5"/>
  <c r="CD55" i="5"/>
  <c r="BU55" i="5"/>
  <c r="CF55" i="5"/>
  <c r="BV55" i="5"/>
  <c r="BQ55" i="5"/>
  <c r="BO55" i="5"/>
  <c r="CA55" i="5"/>
  <c r="CC55" i="5"/>
  <c r="BG55" i="5"/>
  <c r="AZ55" i="5"/>
  <c r="BK55" i="5"/>
  <c r="BC55" i="5"/>
  <c r="BI55" i="5"/>
  <c r="BA55" i="5"/>
  <c r="BP55" i="5" s="1"/>
  <c r="CB55" i="5" s="1"/>
  <c r="BM55" i="5"/>
  <c r="BE55" i="5"/>
  <c r="AY55" i="5"/>
  <c r="AV55" i="5"/>
  <c r="BS55" i="5"/>
  <c r="AU55" i="5"/>
  <c r="BN55" i="5" s="1"/>
  <c r="CF48" i="5"/>
  <c r="CK48" i="5"/>
  <c r="CD48" i="5"/>
  <c r="BV48" i="5"/>
  <c r="CE48" i="5"/>
  <c r="CI48" i="5"/>
  <c r="CG48" i="5"/>
  <c r="BU48" i="5"/>
  <c r="BW48" i="5"/>
  <c r="CA48" i="5"/>
  <c r="CC48" i="5"/>
  <c r="BT48" i="5"/>
  <c r="BE48" i="5"/>
  <c r="BD48" i="5"/>
  <c r="BS48" i="5"/>
  <c r="BR48" i="5"/>
  <c r="BY48" i="5"/>
  <c r="BM48" i="5"/>
  <c r="BA48" i="5"/>
  <c r="BP48" i="5" s="1"/>
  <c r="CB48" i="5" s="1"/>
  <c r="AZ48" i="5"/>
  <c r="BI48" i="5"/>
  <c r="AY48" i="5"/>
  <c r="BQ48" i="5"/>
  <c r="BJ48" i="5"/>
  <c r="BK48" i="5"/>
  <c r="BF48" i="5"/>
  <c r="BG48" i="5"/>
  <c r="BH48" i="5"/>
  <c r="BC48" i="5"/>
  <c r="AU48" i="5"/>
  <c r="BN48" i="5" s="1"/>
  <c r="AV48" i="5"/>
  <c r="BO48" i="5" s="1"/>
  <c r="CB49" i="5"/>
  <c r="CE34" i="5"/>
  <c r="CA34" i="5"/>
  <c r="CG34" i="5"/>
  <c r="CC34" i="5"/>
  <c r="BY34" i="5"/>
  <c r="BU34" i="5"/>
  <c r="BW34" i="5"/>
  <c r="CK34" i="5"/>
  <c r="CI34" i="5"/>
  <c r="CF34" i="5"/>
  <c r="BR34" i="5"/>
  <c r="BQ34" i="5"/>
  <c r="BT34" i="5"/>
  <c r="BV34" i="5"/>
  <c r="CD34" i="5"/>
  <c r="BH34" i="5"/>
  <c r="BG34" i="5"/>
  <c r="BI34" i="5"/>
  <c r="BD34" i="5"/>
  <c r="BE34" i="5"/>
  <c r="BS34" i="5"/>
  <c r="BJ34" i="5"/>
  <c r="BK34" i="5"/>
  <c r="BF34" i="5"/>
  <c r="BA34" i="5"/>
  <c r="BP34" i="5" s="1"/>
  <c r="CB34" i="5" s="1"/>
  <c r="BM34" i="5"/>
  <c r="AZ34" i="5"/>
  <c r="AY34" i="5"/>
  <c r="AU34" i="5"/>
  <c r="BN34" i="5" s="1"/>
  <c r="AV34" i="5"/>
  <c r="BO34" i="5" s="1"/>
  <c r="CB37" i="5"/>
  <c r="CF2" i="5"/>
  <c r="CK2" i="5"/>
  <c r="CD2" i="5"/>
  <c r="BV2" i="5"/>
  <c r="CI2" i="5"/>
  <c r="CA2" i="5"/>
  <c r="CG2" i="5"/>
  <c r="CE2" i="5"/>
  <c r="BU2" i="5"/>
  <c r="BY2" i="5"/>
  <c r="BS2" i="5"/>
  <c r="BR2" i="5"/>
  <c r="BQ2" i="5"/>
  <c r="BP2" i="5"/>
  <c r="CB2" i="5" s="1"/>
  <c r="BW2" i="5"/>
  <c r="CC2" i="5"/>
  <c r="BI2" i="5"/>
  <c r="BH2" i="5"/>
  <c r="BF2" i="5"/>
  <c r="BK2" i="5"/>
  <c r="BN2" i="5"/>
  <c r="BZ2" i="5" s="1"/>
  <c r="BG2" i="5"/>
  <c r="BT2" i="5"/>
  <c r="BD2" i="5"/>
  <c r="BA2" i="5"/>
  <c r="AZ2" i="5"/>
  <c r="BM2" i="5"/>
  <c r="BJ2" i="5"/>
  <c r="BE2" i="5"/>
  <c r="AY2" i="5"/>
  <c r="AV2" i="5"/>
  <c r="BC2" i="5" s="1"/>
  <c r="AU2" i="5"/>
  <c r="BB2" i="5" s="1"/>
  <c r="BL17" i="5"/>
  <c r="CE42" i="5"/>
  <c r="CA42" i="5"/>
  <c r="CG42" i="5"/>
  <c r="CC42" i="5"/>
  <c r="BY42" i="5"/>
  <c r="CD42" i="5"/>
  <c r="BU42" i="5"/>
  <c r="CK42" i="5"/>
  <c r="BW42" i="5"/>
  <c r="CI42" i="5"/>
  <c r="BT42" i="5"/>
  <c r="BR42" i="5"/>
  <c r="BQ42" i="5"/>
  <c r="BN42" i="5"/>
  <c r="BZ42" i="5" s="1"/>
  <c r="BM42" i="5"/>
  <c r="BV42" i="5"/>
  <c r="BK42" i="5"/>
  <c r="CF42" i="5"/>
  <c r="BS42" i="5"/>
  <c r="BD42" i="5"/>
  <c r="BF42" i="5"/>
  <c r="BG42" i="5"/>
  <c r="BP42" i="5"/>
  <c r="BB42" i="5"/>
  <c r="BA42" i="5"/>
  <c r="BH42" i="5"/>
  <c r="AZ42" i="5"/>
  <c r="AY42" i="5"/>
  <c r="BI42" i="5"/>
  <c r="BJ42" i="5"/>
  <c r="BE42" i="5"/>
  <c r="AU42" i="5"/>
  <c r="AV42" i="5"/>
  <c r="BO42" i="5" s="1"/>
  <c r="CE50" i="5"/>
  <c r="CA50" i="5"/>
  <c r="CG50" i="5"/>
  <c r="CC50" i="5"/>
  <c r="BY50" i="5"/>
  <c r="BU50" i="5"/>
  <c r="BW50" i="5"/>
  <c r="CD50" i="5"/>
  <c r="CF50" i="5"/>
  <c r="CI50" i="5"/>
  <c r="BH50" i="5"/>
  <c r="BG50" i="5"/>
  <c r="CK50" i="5"/>
  <c r="BR50" i="5"/>
  <c r="BQ50" i="5"/>
  <c r="BV50" i="5"/>
  <c r="BP50" i="5"/>
  <c r="CB50" i="5" s="1"/>
  <c r="BB50" i="5"/>
  <c r="BA50" i="5"/>
  <c r="BI50" i="5"/>
  <c r="BD50" i="5"/>
  <c r="AZ50" i="5"/>
  <c r="AY50" i="5"/>
  <c r="BE50" i="5"/>
  <c r="BT50" i="5"/>
  <c r="BM50" i="5"/>
  <c r="BJ50" i="5"/>
  <c r="BK50" i="5"/>
  <c r="BF50" i="5"/>
  <c r="BS50" i="5"/>
  <c r="AU50" i="5"/>
  <c r="BN50" i="5" s="1"/>
  <c r="BZ50" i="5" s="1"/>
  <c r="AV50" i="5"/>
  <c r="BO50" i="5" s="1"/>
  <c r="D14" i="7"/>
  <c r="CB32" i="5" l="1"/>
  <c r="BX32" i="5"/>
  <c r="BZ36" i="5"/>
  <c r="CB40" i="5"/>
  <c r="BX40" i="5"/>
  <c r="BZ7" i="5"/>
  <c r="CB42" i="5"/>
  <c r="BX42" i="5"/>
  <c r="BO2" i="5"/>
  <c r="BB34" i="5"/>
  <c r="BZ34" i="5" s="1"/>
  <c r="BL34" i="5"/>
  <c r="BX34" i="5"/>
  <c r="BL48" i="5"/>
  <c r="BL32" i="5"/>
  <c r="BO32" i="5"/>
  <c r="BB36" i="5"/>
  <c r="BX50" i="5"/>
  <c r="BL2" i="5"/>
  <c r="BC34" i="5"/>
  <c r="BB48" i="5"/>
  <c r="BZ48" i="5" s="1"/>
  <c r="BB55" i="5"/>
  <c r="BZ55" i="5" s="1"/>
  <c r="BC26" i="5"/>
  <c r="BL44" i="5"/>
  <c r="BX44" i="5"/>
  <c r="BC36" i="5"/>
  <c r="BO11" i="5"/>
  <c r="BX11" i="5"/>
  <c r="BB24" i="5"/>
  <c r="BL4" i="5"/>
  <c r="CB16" i="5"/>
  <c r="BL8" i="5"/>
  <c r="BC15" i="5"/>
  <c r="BL7" i="5"/>
  <c r="BX7" i="5"/>
  <c r="BX48" i="5"/>
  <c r="BL55" i="5"/>
  <c r="BX52" i="5"/>
  <c r="BX26" i="5"/>
  <c r="BL18" i="5"/>
  <c r="BX18" i="5"/>
  <c r="BC39" i="5"/>
  <c r="CB51" i="5"/>
  <c r="BC24" i="5"/>
  <c r="BX3" i="5"/>
  <c r="BL16" i="5"/>
  <c r="BN20" i="5"/>
  <c r="BN35" i="5"/>
  <c r="BN8" i="5"/>
  <c r="BZ8" i="5" s="1"/>
  <c r="BO12" i="5"/>
  <c r="BB31" i="5"/>
  <c r="BC3" i="5"/>
  <c r="BO8" i="5"/>
  <c r="BB27" i="5"/>
  <c r="BC7" i="5"/>
  <c r="BC50" i="5"/>
  <c r="BO40" i="5"/>
  <c r="BC47" i="5"/>
  <c r="BB44" i="5"/>
  <c r="BZ44" i="5" s="1"/>
  <c r="CB31" i="5"/>
  <c r="BC27" i="5"/>
  <c r="BB7" i="5"/>
  <c r="BX2" i="5"/>
  <c r="BL52" i="5"/>
  <c r="BC44" i="5"/>
  <c r="BX36" i="5"/>
  <c r="BC28" i="5"/>
  <c r="BB10" i="5"/>
  <c r="BZ10" i="5" s="1"/>
  <c r="BO43" i="5"/>
  <c r="BO16" i="5"/>
  <c r="BX23" i="5"/>
  <c r="BB15" i="5"/>
  <c r="BZ15" i="5" s="1"/>
  <c r="BX19" i="5"/>
  <c r="BC42" i="5"/>
  <c r="BX55" i="5"/>
  <c r="BB18" i="5"/>
  <c r="BZ18" i="5" s="1"/>
  <c r="BO51" i="5"/>
  <c r="BO10" i="5"/>
  <c r="BL10" i="5"/>
  <c r="CB43" i="5"/>
  <c r="BC23" i="5"/>
  <c r="BX12" i="5"/>
  <c r="BO19" i="5"/>
  <c r="BL42" i="5"/>
  <c r="BL26" i="5"/>
  <c r="CB44" i="5"/>
  <c r="BX51" i="5"/>
  <c r="BB4" i="5"/>
  <c r="BZ4" i="5" s="1"/>
  <c r="BL19" i="5"/>
  <c r="BL50" i="5"/>
  <c r="BX10" i="5"/>
  <c r="BX4" i="5"/>
  <c r="BX15" i="5"/>
  <c r="AB10" i="9"/>
  <c r="AA11" i="9" l="1"/>
  <c r="AC11" i="9"/>
  <c r="AA10" i="9"/>
  <c r="AC10" i="9" l="1"/>
  <c r="E73" i="9" l="1"/>
  <c r="E72" i="9"/>
  <c r="J79" i="9" l="1"/>
  <c r="J78" i="9"/>
  <c r="J77" i="9"/>
  <c r="H63" i="9" l="1"/>
  <c r="K8" i="9" l="1"/>
  <c r="I35" i="9" l="1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3" i="5" l="1"/>
  <c r="CJ3" i="5" s="1"/>
  <c r="CH11" i="5"/>
  <c r="CJ11" i="5" s="1"/>
  <c r="CH19" i="5"/>
  <c r="CJ19" i="5" s="1"/>
  <c r="CH51" i="5"/>
  <c r="CJ51" i="5" s="1"/>
  <c r="CH4" i="5"/>
  <c r="CJ4" i="5" s="1"/>
  <c r="CH12" i="5"/>
  <c r="CJ12" i="5" s="1"/>
  <c r="CH36" i="5"/>
  <c r="CJ36" i="5" s="1"/>
  <c r="CH44" i="5"/>
  <c r="CJ44" i="5" s="1"/>
  <c r="CH52" i="5"/>
  <c r="CJ52" i="5" s="1"/>
  <c r="CH25" i="5"/>
  <c r="CJ25" i="5" s="1"/>
  <c r="CH5" i="5"/>
  <c r="CJ5" i="5" s="1"/>
  <c r="CH13" i="5"/>
  <c r="CJ13" i="5" s="1"/>
  <c r="CH21" i="5"/>
  <c r="CJ21" i="5" s="1"/>
  <c r="CH29" i="5"/>
  <c r="CJ29" i="5" s="1"/>
  <c r="CH6" i="5"/>
  <c r="CJ6" i="5" s="1"/>
  <c r="CH14" i="5"/>
  <c r="CJ14" i="5" s="1"/>
  <c r="CH30" i="5"/>
  <c r="CJ30" i="5" s="1"/>
  <c r="CH38" i="5"/>
  <c r="CJ38" i="5" s="1"/>
  <c r="CH46" i="5"/>
  <c r="CJ46" i="5" s="1"/>
  <c r="CH7" i="5"/>
  <c r="CJ7" i="5" s="1"/>
  <c r="CH15" i="5"/>
  <c r="CJ15" i="5" s="1"/>
  <c r="CH23" i="5"/>
  <c r="CJ23" i="5" s="1"/>
  <c r="CH55" i="5"/>
  <c r="CJ55" i="5" s="1"/>
  <c r="CH17" i="5"/>
  <c r="CJ17" i="5" s="1"/>
  <c r="CH8" i="5"/>
  <c r="CJ8" i="5" s="1"/>
  <c r="CH16" i="5"/>
  <c r="CJ16" i="5" s="1"/>
  <c r="CH32" i="5"/>
  <c r="CJ32" i="5" s="1"/>
  <c r="CH40" i="5"/>
  <c r="CJ40" i="5" s="1"/>
  <c r="CH48" i="5"/>
  <c r="CJ48" i="5" s="1"/>
  <c r="CH2" i="5"/>
  <c r="CJ2" i="5" s="1"/>
  <c r="CH9" i="5"/>
  <c r="CJ9" i="5" s="1"/>
  <c r="CH10" i="5"/>
  <c r="CJ10" i="5" s="1"/>
  <c r="CH18" i="5"/>
  <c r="CJ18" i="5" s="1"/>
  <c r="CH26" i="5"/>
  <c r="CJ26" i="5" s="1"/>
  <c r="CH34" i="5"/>
  <c r="CJ34" i="5" s="1"/>
  <c r="CH42" i="5"/>
  <c r="CJ42" i="5" s="1"/>
  <c r="CH50" i="5"/>
  <c r="CJ50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F80" i="9" l="1"/>
  <c r="F45" i="9"/>
  <c r="N22" i="9"/>
  <c r="N21" i="9"/>
  <c r="H51" i="9"/>
  <c r="I51" i="9"/>
  <c r="G51" i="9"/>
  <c r="G43" i="9" s="1"/>
  <c r="H52" i="9" l="1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H44" i="9" l="1"/>
  <c r="N41" i="9"/>
  <c r="N38" i="9"/>
  <c r="J43" i="9"/>
  <c r="K43" i="9" s="1"/>
  <c r="I44" i="9"/>
  <c r="I67" i="9"/>
  <c r="I45" i="9" l="1"/>
  <c r="J44" i="9"/>
  <c r="K44" i="9" s="1"/>
  <c r="J67" i="9" l="1"/>
  <c r="G73" i="9" l="1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sharedStrings.xml><?xml version="1.0" encoding="utf-8"?>
<sst xmlns="http://schemas.openxmlformats.org/spreadsheetml/2006/main" count="1439" uniqueCount="464">
  <si>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</si>
  <si>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</si>
  <si>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</si>
  <si>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</si>
  <si>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</si>
  <si>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</si>
  <si>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</si>
  <si>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</si>
  <si>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</si>
  <si>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</si>
  <si>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</si>
  <si>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</si>
  <si>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</si>
  <si>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</si>
  <si>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</si>
  <si>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</si>
  <si>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</si>
  <si>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</si>
  <si>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</si>
  <si>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</si>
  <si>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</si>
  <si>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</si>
  <si>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</si>
  <si>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</si>
  <si>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</si>
  <si>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</si>
  <si>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</si>
  <si>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</si>
  <si>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</si>
  <si>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</si>
  <si>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</si>
  <si>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</si>
  <si>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</si>
  <si>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</si>
  <si>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</si>
  <si>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</si>
  <si>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</si>
  <si>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</si>
  <si>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</si>
  <si>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</si>
  <si>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</si>
  <si>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</si>
  <si>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</si>
  <si>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</si>
  <si>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</si>
  <si>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</si>
  <si>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</si>
  <si>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</si>
  <si>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</si>
  <si>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</si>
  <si>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</si>
  <si>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</si>
  <si>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</si>
  <si>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</si>
  <si>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</si>
  <si>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</si>
  <si>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</si>
  <si>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</si>
  <si>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</si>
  <si>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</si>
  <si>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</si>
  <si>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</si>
  <si>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</si>
  <si>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</si>
  <si>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</si>
  <si>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</si>
  <si>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</si>
  <si>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</si>
  <si>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</si>
  <si>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</si>
  <si>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</si>
  <si>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</si>
  <si>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</si>
  <si>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</si>
  <si>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</si>
  <si>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</si>
  <si>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</si>
  <si>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</si>
  <si>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</si>
  <si>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</si>
  <si>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</si>
  <si>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</si>
  <si>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</si>
  <si>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</si>
  <si>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</si>
  <si>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</si>
  <si>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</si>
  <si>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</si>
  <si>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</si>
  <si>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</si>
  <si>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</si>
  <si>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</si>
  <si>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</si>
  <si>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</si>
  <si>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</si>
  <si>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</si>
  <si>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</si>
  <si>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</si>
  <si>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</si>
  <si>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</si>
  <si>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</si>
  <si>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</si>
  <si>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</si>
  <si>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</si>
  <si>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</si>
  <si>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</si>
  <si>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</si>
  <si>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</si>
  <si>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</si>
  <si>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</si>
  <si>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</si>
  <si>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</si>
  <si>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</si>
  <si>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</si>
  <si>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</si>
  <si>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</si>
  <si>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</si>
  <si>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</si>
  <si>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</si>
  <si>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</si>
  <si>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</si>
  <si>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</si>
  <si>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</si>
  <si>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</si>
  <si>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</si>
  <si>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</si>
  <si>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</si>
  <si>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</si>
  <si>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</si>
  <si>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</si>
  <si>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</si>
  <si>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</si>
  <si>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</si>
  <si>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</si>
  <si>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</si>
  <si>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</si>
  <si>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</si>
  <si>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</si>
  <si>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</si>
  <si>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</si>
  <si>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</si>
  <si>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</si>
  <si>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</si>
  <si>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</si>
  <si>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</si>
  <si>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</si>
  <si>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</si>
  <si>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</si>
  <si>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</si>
  <si>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</si>
  <si>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</si>
  <si>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</si>
  <si>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</si>
  <si>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</si>
  <si>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</si>
  <si>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</si>
  <si>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</si>
  <si>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</si>
  <si>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</si>
  <si>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</si>
  <si>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</si>
  <si>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</si>
  <si>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231</t>
  </si>
  <si>
    <t>4203</t>
  </si>
  <si>
    <t>FINANCIAL SPECIALIST</t>
  </si>
  <si>
    <t>0421</t>
  </si>
  <si>
    <t>01</t>
  </si>
  <si>
    <t>CRAJ</t>
  </si>
  <si>
    <t>001</t>
  </si>
  <si>
    <t>04246</t>
  </si>
  <si>
    <t>K</t>
  </si>
  <si>
    <t>F</t>
  </si>
  <si>
    <t>NR</t>
  </si>
  <si>
    <t>MUNN, SARAH A.</t>
  </si>
  <si>
    <t>MUNN</t>
  </si>
  <si>
    <t>SARAH</t>
  </si>
  <si>
    <t>ANN</t>
  </si>
  <si>
    <t>00000</t>
  </si>
  <si>
    <t>H</t>
  </si>
  <si>
    <t>FS</t>
  </si>
  <si>
    <t>E</t>
  </si>
  <si>
    <t>N</t>
  </si>
  <si>
    <t>Y</t>
  </si>
  <si>
    <t xml:space="preserve">    </t>
  </si>
  <si>
    <t>4269</t>
  </si>
  <si>
    <t xml:space="preserve">CUSTOMER SVC REP 2  </t>
  </si>
  <si>
    <t>01120</t>
  </si>
  <si>
    <t xml:space="preserve">SUTHERLAND, RENEE </t>
  </si>
  <si>
    <t>SUTHERLAND</t>
  </si>
  <si>
    <t>RENEE</t>
  </si>
  <si>
    <t xml:space="preserve">              </t>
  </si>
  <si>
    <t>4202</t>
  </si>
  <si>
    <t xml:space="preserve">FINANCIAL MANAGER   </t>
  </si>
  <si>
    <t>04242</t>
  </si>
  <si>
    <t xml:space="preserve">WILLIS, CARMEN </t>
  </si>
  <si>
    <t>WILLIS</t>
  </si>
  <si>
    <t>CARMEN</t>
  </si>
  <si>
    <t>4268</t>
  </si>
  <si>
    <t>CI JOB TRAINING SPEC</t>
  </si>
  <si>
    <t>21020</t>
  </si>
  <si>
    <t>00</t>
  </si>
  <si>
    <t>WERLINGER, MARK A.</t>
  </si>
  <si>
    <t>WERLINGER</t>
  </si>
  <si>
    <t>MARK</t>
  </si>
  <si>
    <t>ALLEN</t>
  </si>
  <si>
    <t>4201</t>
  </si>
  <si>
    <t>CI SALES REPRESENTAT</t>
  </si>
  <si>
    <t>21026</t>
  </si>
  <si>
    <t>BAKER, BECKY M.</t>
  </si>
  <si>
    <t>BAKER</t>
  </si>
  <si>
    <t>BECKY</t>
  </si>
  <si>
    <t>M</t>
  </si>
  <si>
    <t>4266</t>
  </si>
  <si>
    <t>IT OPS &amp; SUPPORT ANA</t>
  </si>
  <si>
    <t>01709</t>
  </si>
  <si>
    <t>NIELSEN, ERIC E.</t>
  </si>
  <si>
    <t>NIELSEN</t>
  </si>
  <si>
    <t>ERIC</t>
  </si>
  <si>
    <t>EJVEND</t>
  </si>
  <si>
    <t xml:space="preserve">HK   </t>
  </si>
  <si>
    <t>4200</t>
  </si>
  <si>
    <t xml:space="preserve">CI DIVISION CHIEF   </t>
  </si>
  <si>
    <t>21009</t>
  </si>
  <si>
    <t>PLIMPTON, TODD A.</t>
  </si>
  <si>
    <t>PLIMPTON</t>
  </si>
  <si>
    <t>TODD</t>
  </si>
  <si>
    <t>A</t>
  </si>
  <si>
    <t>4265</t>
  </si>
  <si>
    <t>005</t>
  </si>
  <si>
    <t>DETOUR, MATTHEW J.</t>
  </si>
  <si>
    <t>DETOUR</t>
  </si>
  <si>
    <t>MATTHEW</t>
  </si>
  <si>
    <t>JAMES</t>
  </si>
  <si>
    <t>4264</t>
  </si>
  <si>
    <t>CI JOB TRAINING ASSO</t>
  </si>
  <si>
    <t>21032</t>
  </si>
  <si>
    <t xml:space="preserve">BELLINO, YEVGENIYA </t>
  </si>
  <si>
    <t>BELLINO</t>
  </si>
  <si>
    <t>YEVGENIYA</t>
  </si>
  <si>
    <t>4262</t>
  </si>
  <si>
    <t>MATHER, MARK R.</t>
  </si>
  <si>
    <t>MATHER</t>
  </si>
  <si>
    <t>ROBERT</t>
  </si>
  <si>
    <t>4256</t>
  </si>
  <si>
    <t>FREI, TRAVIS E.</t>
  </si>
  <si>
    <t>FREI</t>
  </si>
  <si>
    <t>TRAVIS</t>
  </si>
  <si>
    <t>4254</t>
  </si>
  <si>
    <t xml:space="preserve">DUNSTAN, BRETT </t>
  </si>
  <si>
    <t>DUNSTAN</t>
  </si>
  <si>
    <t>BRETT</t>
  </si>
  <si>
    <t>4252</t>
  </si>
  <si>
    <t>002</t>
  </si>
  <si>
    <t>CRAYS, DARREN W.</t>
  </si>
  <si>
    <t>CRAYS</t>
  </si>
  <si>
    <t>DARREN</t>
  </si>
  <si>
    <t>WILLARD</t>
  </si>
  <si>
    <t>4251</t>
  </si>
  <si>
    <t xml:space="preserve">PURCHASING AGENT    </t>
  </si>
  <si>
    <t>01532</t>
  </si>
  <si>
    <t>L</t>
  </si>
  <si>
    <t>DITLOVE, ERIC A.</t>
  </si>
  <si>
    <t>DITLOVE</t>
  </si>
  <si>
    <t>4250</t>
  </si>
  <si>
    <t xml:space="preserve">PROGRAM SPECIALIST  </t>
  </si>
  <si>
    <t>05274</t>
  </si>
  <si>
    <t>BROWN, ANDREA K.</t>
  </si>
  <si>
    <t>BROWN</t>
  </si>
  <si>
    <t>ANDREA</t>
  </si>
  <si>
    <t>KAY</t>
  </si>
  <si>
    <t>4249</t>
  </si>
  <si>
    <t>KEVAN, MORGEN L.</t>
  </si>
  <si>
    <t>KEVAN</t>
  </si>
  <si>
    <t>MORGEN</t>
  </si>
  <si>
    <t>LYNN</t>
  </si>
  <si>
    <t>4248</t>
  </si>
  <si>
    <t>SUPPLY OPERATIONS SU</t>
  </si>
  <si>
    <t>01540</t>
  </si>
  <si>
    <t>VICE, GREGORY A.</t>
  </si>
  <si>
    <t>VICE</t>
  </si>
  <si>
    <t>GREGORY</t>
  </si>
  <si>
    <t>4247</t>
  </si>
  <si>
    <t xml:space="preserve">STANKO, WILLIAM </t>
  </si>
  <si>
    <t>STANKO</t>
  </si>
  <si>
    <t>WILLIAM</t>
  </si>
  <si>
    <t>9986</t>
  </si>
  <si>
    <t xml:space="preserve">TEMPORARY EMPLOYEES </t>
  </si>
  <si>
    <t>95000</t>
  </si>
  <si>
    <t>V</t>
  </si>
  <si>
    <t>NG</t>
  </si>
  <si>
    <t>4238</t>
  </si>
  <si>
    <t>04245</t>
  </si>
  <si>
    <t>BURTZOFF, ANNETTE S.</t>
  </si>
  <si>
    <t>BURTZOFF</t>
  </si>
  <si>
    <t>ANNETTE</t>
  </si>
  <si>
    <t>S</t>
  </si>
  <si>
    <t xml:space="preserve">HL   </t>
  </si>
  <si>
    <t>9924</t>
  </si>
  <si>
    <t>4236</t>
  </si>
  <si>
    <t>CORR IND SALES &amp; MAR</t>
  </si>
  <si>
    <t>21043</t>
  </si>
  <si>
    <t>LAFONG, MARK B.</t>
  </si>
  <si>
    <t>LAFONG</t>
  </si>
  <si>
    <t>B</t>
  </si>
  <si>
    <t>9923</t>
  </si>
  <si>
    <t>4233</t>
  </si>
  <si>
    <t>FELKEL, BRIAN K.</t>
  </si>
  <si>
    <t>FELKEL</t>
  </si>
  <si>
    <t>BRIAN</t>
  </si>
  <si>
    <t>4230</t>
  </si>
  <si>
    <t>DONALDSON, GEORGE C.</t>
  </si>
  <si>
    <t>DONALDSON</t>
  </si>
  <si>
    <t>GEORGE</t>
  </si>
  <si>
    <t>C</t>
  </si>
  <si>
    <t>9922</t>
  </si>
  <si>
    <t>003</t>
  </si>
  <si>
    <t>9921</t>
  </si>
  <si>
    <t>4226</t>
  </si>
  <si>
    <t>TRACY, TIM C.</t>
  </si>
  <si>
    <t>TRACY</t>
  </si>
  <si>
    <t>TIM</t>
  </si>
  <si>
    <t>4225</t>
  </si>
  <si>
    <t xml:space="preserve">PRODUCTION MANAGER  </t>
  </si>
  <si>
    <t>21036</t>
  </si>
  <si>
    <t>DARON, WILLIAM R.</t>
  </si>
  <si>
    <t>DARON</t>
  </si>
  <si>
    <t>R</t>
  </si>
  <si>
    <t>9920</t>
  </si>
  <si>
    <t>4222</t>
  </si>
  <si>
    <t>THORP, CINDY L.</t>
  </si>
  <si>
    <t>THORP</t>
  </si>
  <si>
    <t>CINDY</t>
  </si>
  <si>
    <t>LOUISE</t>
  </si>
  <si>
    <t>4253</t>
  </si>
  <si>
    <t>4221</t>
  </si>
  <si>
    <t>LEENKNECHT, TYLER P.</t>
  </si>
  <si>
    <t>LEENKNECHT</t>
  </si>
  <si>
    <t>TYLER</t>
  </si>
  <si>
    <t>P</t>
  </si>
  <si>
    <t>4245</t>
  </si>
  <si>
    <t>4218</t>
  </si>
  <si>
    <t xml:space="preserve">HANSON, DONI </t>
  </si>
  <si>
    <t>HANSON</t>
  </si>
  <si>
    <t>DONI</t>
  </si>
  <si>
    <t>4240</t>
  </si>
  <si>
    <t xml:space="preserve">ADMIN ASST 2        </t>
  </si>
  <si>
    <t>01231</t>
  </si>
  <si>
    <t>I</t>
  </si>
  <si>
    <t>4215</t>
  </si>
  <si>
    <t>FINANCIAL TECHNICIAN</t>
  </si>
  <si>
    <t>04249</t>
  </si>
  <si>
    <t>HENDERSON, JESSICA L.</t>
  </si>
  <si>
    <t>HENDERSON</t>
  </si>
  <si>
    <t>JESSICA</t>
  </si>
  <si>
    <t xml:space="preserve">HI   </t>
  </si>
  <si>
    <t>4237</t>
  </si>
  <si>
    <t xml:space="preserve">CI SERVICES MANAGER </t>
  </si>
  <si>
    <t>21007</t>
  </si>
  <si>
    <t>4214</t>
  </si>
  <si>
    <t>BUTLER, ANTHONY W.</t>
  </si>
  <si>
    <t>BUTLER</t>
  </si>
  <si>
    <t>ANTHONY</t>
  </si>
  <si>
    <t>WAYNE</t>
  </si>
  <si>
    <t>4231</t>
  </si>
  <si>
    <t>004</t>
  </si>
  <si>
    <t>4213</t>
  </si>
  <si>
    <t>21030</t>
  </si>
  <si>
    <t>WELKER, JERRY L.</t>
  </si>
  <si>
    <t>WELKER</t>
  </si>
  <si>
    <t>JERRY</t>
  </si>
  <si>
    <t>4228</t>
  </si>
  <si>
    <t>4210</t>
  </si>
  <si>
    <t xml:space="preserve">TRAINING SPEC       </t>
  </si>
  <si>
    <t>05122</t>
  </si>
  <si>
    <t xml:space="preserve">KOERKENMEIER, ALLAN </t>
  </si>
  <si>
    <t>KOERKENMEIER</t>
  </si>
  <si>
    <t>ALLAN</t>
  </si>
  <si>
    <t>4227</t>
  </si>
  <si>
    <t>4209</t>
  </si>
  <si>
    <t xml:space="preserve">MATSUMURA, NICOLE </t>
  </si>
  <si>
    <t>MATSUMURA</t>
  </si>
  <si>
    <t>NICOLE</t>
  </si>
  <si>
    <t>4220</t>
  </si>
  <si>
    <t>04248</t>
  </si>
  <si>
    <t>4208</t>
  </si>
  <si>
    <t>COLETTI, ROBERT D.</t>
  </si>
  <si>
    <t>COLETTI</t>
  </si>
  <si>
    <t>D</t>
  </si>
  <si>
    <t>4204</t>
  </si>
  <si>
    <t xml:space="preserve">BUYER               </t>
  </si>
  <si>
    <t>01536</t>
  </si>
  <si>
    <t>J</t>
  </si>
  <si>
    <t>4207</t>
  </si>
  <si>
    <t>LEAMMON, JEREMIAH W.</t>
  </si>
  <si>
    <t>LEAMMON</t>
  </si>
  <si>
    <t>JEREMIAH</t>
  </si>
  <si>
    <t>W</t>
  </si>
  <si>
    <t>4205</t>
  </si>
  <si>
    <t>HIATT, SARA J.</t>
  </si>
  <si>
    <t>HIATT</t>
  </si>
  <si>
    <t>SARA</t>
  </si>
  <si>
    <t>ÿÿÿÿ</t>
  </si>
  <si>
    <t>ÿÿ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</si>
  <si>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</si>
  <si>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</si>
  <si>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</si>
  <si>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</si>
  <si>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</si>
  <si>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</si>
  <si>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</si>
  <si>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</si>
  <si>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</si>
  <si>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</si>
  <si>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</si>
  <si>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</si>
  <si>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</si>
  <si>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</si>
  <si>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</si>
  <si>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</si>
  <si>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</si>
  <si>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</si>
  <si>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</si>
  <si>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</si>
  <si>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</si>
  <si>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</si>
  <si>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</si>
  <si>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</si>
  <si>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</si>
  <si>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</si>
  <si>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</si>
  <si>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</si>
  <si>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</si>
  <si>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</si>
  <si>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</si>
  <si>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</si>
  <si>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</si>
  <si>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</si>
  <si>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</si>
  <si>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</si>
  <si>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</si>
  <si>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</si>
  <si>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</si>
  <si>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</si>
  <si>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</si>
  <si>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</si>
  <si>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</si>
  <si>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</si>
  <si>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</si>
  <si>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</si>
  <si>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</si>
  <si>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</si>
  <si>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CRAJ 0421-01</t>
  </si>
  <si>
    <t>CRAJ 0421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</si>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</sst>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65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5" fontId="45" fillId="0" borderId="18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7" fillId="0" borderId="0" xfId="7" applyFont="1" applyBorder="1" applyAlignment="1" applyProtection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8" fillId="0" borderId="0" xfId="0" applyFont="1"/>
    <xf numFmtId="0" fontId="49" fillId="0" borderId="0" xfId="0" applyFont="1"/>
    <xf numFmtId="8" fontId="0" fillId="0" borderId="0" xfId="0" applyNumberFormat="1"/>
    <xf numFmtId="43" fontId="0" fillId="0" borderId="0" xfId="0" applyNumberFormat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74"/>
  <sheetViews>
    <sheetView tabSelected="1" workbookViewId="0">
      <pane xSplit="3" ySplit="1" topLeftCell="AM60" activePane="bottomRight" state="frozen"/>
      <selection pane="topRight" activeCell="D1" sqref="D1"/>
      <selection pane="bottomLeft" activeCell="A2" sqref="A2"/>
      <selection pane="bottomRight" activeCell="AS67" sqref="AS67:BA74"/>
    </sheetView>
  </sheetViews>
  <sheetFormatPr defaultRowHeight="14.4" x14ac:dyDescent="0.3"/>
  <cols>
    <col min="45" max="49" width="9" bestFit="1" customWidth="1"/>
    <col min="50" max="51" width="13.44140625" bestFit="1" customWidth="1"/>
    <col min="52" max="53" width="9" bestFit="1" customWidth="1"/>
    <col min="54" max="54" width="11.6640625" bestFit="1" customWidth="1"/>
    <col min="55" max="55" width="9" bestFit="1" customWidth="1"/>
    <col min="56" max="56" width="11.6640625" bestFit="1" customWidth="1"/>
    <col min="57" max="57" width="10.5546875" bestFit="1" customWidth="1"/>
    <col min="58" max="58" width="11.6640625" bestFit="1" customWidth="1"/>
    <col min="59" max="59" width="10.5546875" bestFit="1" customWidth="1"/>
    <col min="60" max="60" width="9.44140625" bestFit="1" customWidth="1"/>
    <col min="61" max="61" width="9" bestFit="1" customWidth="1"/>
    <col min="62" max="62" width="10.5546875" bestFit="1" customWidth="1"/>
    <col min="63" max="63" width="9" bestFit="1" customWidth="1"/>
    <col min="64" max="64" width="11.6640625" bestFit="1" customWidth="1"/>
    <col min="65" max="65" width="9" bestFit="1" customWidth="1"/>
    <col min="66" max="66" width="11.6640625" bestFit="1" customWidth="1"/>
    <col min="67" max="67" width="9" bestFit="1" customWidth="1"/>
    <col min="68" max="68" width="11.6640625" bestFit="1" customWidth="1"/>
    <col min="69" max="69" width="10.5546875" bestFit="1" customWidth="1"/>
    <col min="70" max="70" width="11.6640625" bestFit="1" customWidth="1"/>
    <col min="71" max="71" width="10.5546875" bestFit="1" customWidth="1"/>
    <col min="72" max="73" width="9" bestFit="1" customWidth="1"/>
    <col min="74" max="74" width="10.5546875" bestFit="1" customWidth="1"/>
    <col min="75" max="75" width="9" bestFit="1" customWidth="1"/>
    <col min="76" max="76" width="11.6640625" bestFit="1" customWidth="1"/>
    <col min="77" max="83" width="9" bestFit="1" customWidth="1"/>
    <col min="84" max="84" width="10.109375" bestFit="1" customWidth="1"/>
    <col min="85" max="85" width="9" bestFit="1" customWidth="1"/>
    <col min="86" max="86" width="9.44140625" bestFit="1" customWidth="1"/>
    <col min="87" max="87" width="9" bestFit="1" customWidth="1"/>
    <col min="88" max="88" width="10.109375" bestFit="1" customWidth="1"/>
    <col min="89" max="91" width="9" bestFit="1" customWidth="1"/>
  </cols>
  <sheetData>
    <row r="1" spans="1:92" ht="12.75" customHeight="1" thickBot="1" x14ac:dyDescent="0.35">
      <c r="A1" s="366" t="s">
        <v>118</v>
      </c>
      <c r="B1" s="366" t="s">
        <v>119</v>
      </c>
      <c r="C1" s="366" t="s">
        <v>20</v>
      </c>
      <c r="D1" s="366" t="s">
        <v>120</v>
      </c>
      <c r="E1" s="366" t="s">
        <v>121</v>
      </c>
      <c r="F1" s="367" t="s">
        <v>122</v>
      </c>
      <c r="G1" s="366" t="s">
        <v>123</v>
      </c>
      <c r="H1" s="366" t="s">
        <v>124</v>
      </c>
      <c r="I1" s="366" t="s">
        <v>125</v>
      </c>
      <c r="J1" s="366" t="s">
        <v>126</v>
      </c>
      <c r="K1" s="366" t="s">
        <v>127</v>
      </c>
      <c r="L1" s="366" t="s">
        <v>128</v>
      </c>
      <c r="M1" s="366" t="s">
        <v>129</v>
      </c>
      <c r="N1" s="366" t="s">
        <v>130</v>
      </c>
      <c r="O1" s="366" t="s">
        <v>131</v>
      </c>
      <c r="P1" s="366" t="s">
        <v>132</v>
      </c>
      <c r="Q1" s="366" t="s">
        <v>133</v>
      </c>
      <c r="R1" s="366" t="s">
        <v>134</v>
      </c>
      <c r="S1" s="366" t="s">
        <v>135</v>
      </c>
      <c r="T1" s="366" t="s">
        <v>136</v>
      </c>
      <c r="U1" s="366" t="s">
        <v>137</v>
      </c>
      <c r="V1" s="366" t="s">
        <v>138</v>
      </c>
      <c r="W1" s="366" t="s">
        <v>139</v>
      </c>
      <c r="X1" s="366" t="s">
        <v>140</v>
      </c>
      <c r="Y1" s="366" t="s">
        <v>141</v>
      </c>
      <c r="Z1" s="366" t="s">
        <v>142</v>
      </c>
      <c r="AA1" s="366" t="s">
        <v>143</v>
      </c>
      <c r="AB1" s="366" t="s">
        <v>144</v>
      </c>
      <c r="AC1" s="366" t="s">
        <v>145</v>
      </c>
      <c r="AD1" s="366" t="s">
        <v>146</v>
      </c>
      <c r="AE1" s="366" t="s">
        <v>147</v>
      </c>
      <c r="AF1" s="366" t="s">
        <v>148</v>
      </c>
      <c r="AG1" s="366" t="s">
        <v>149</v>
      </c>
      <c r="AH1" s="366" t="s">
        <v>150</v>
      </c>
      <c r="AI1" s="366" t="s">
        <v>151</v>
      </c>
      <c r="AJ1" s="366" t="s">
        <v>152</v>
      </c>
      <c r="AK1" s="366" t="s">
        <v>153</v>
      </c>
      <c r="AL1" s="366" t="s">
        <v>154</v>
      </c>
      <c r="AM1" s="366" t="s">
        <v>155</v>
      </c>
      <c r="AN1" s="366" t="s">
        <v>156</v>
      </c>
      <c r="AO1" s="366" t="s">
        <v>157</v>
      </c>
      <c r="AP1" s="366" t="s">
        <v>158</v>
      </c>
      <c r="AQ1" s="366" t="s">
        <v>159</v>
      </c>
      <c r="AR1" s="366" t="s">
        <v>160</v>
      </c>
      <c r="AS1" s="452" t="s">
        <v>403</v>
      </c>
      <c r="AT1" s="452" t="s">
        <v>404</v>
      </c>
      <c r="AU1" s="452" t="s">
        <v>405</v>
      </c>
      <c r="AV1" s="452" t="s">
        <v>406</v>
      </c>
      <c r="AW1" s="452" t="s">
        <v>407</v>
      </c>
      <c r="AX1" s="452" t="s">
        <v>408</v>
      </c>
      <c r="AY1" s="452" t="s">
        <v>409</v>
      </c>
      <c r="AZ1" s="452" t="s">
        <v>410</v>
      </c>
      <c r="BA1" s="454" t="s">
        <v>411</v>
      </c>
      <c r="BB1" s="455" t="s">
        <v>412</v>
      </c>
      <c r="BC1" s="455" t="s">
        <v>413</v>
      </c>
      <c r="BD1" s="455" t="s">
        <v>414</v>
      </c>
      <c r="BE1" s="455" t="s">
        <v>415</v>
      </c>
      <c r="BF1" s="455" t="s">
        <v>416</v>
      </c>
      <c r="BG1" s="455" t="s">
        <v>417</v>
      </c>
      <c r="BH1" s="455" t="s">
        <v>418</v>
      </c>
      <c r="BI1" s="455" t="s">
        <v>419</v>
      </c>
      <c r="BJ1" s="455" t="s">
        <v>420</v>
      </c>
      <c r="BK1" s="455" t="s">
        <v>421</v>
      </c>
      <c r="BL1" s="456" t="s">
        <v>422</v>
      </c>
      <c r="BM1" s="456" t="s">
        <v>423</v>
      </c>
      <c r="BN1" s="455" t="s">
        <v>424</v>
      </c>
      <c r="BO1" s="455" t="s">
        <v>425</v>
      </c>
      <c r="BP1" s="455" t="s">
        <v>426</v>
      </c>
      <c r="BQ1" s="455" t="s">
        <v>427</v>
      </c>
      <c r="BR1" s="455" t="s">
        <v>428</v>
      </c>
      <c r="BS1" s="455" t="s">
        <v>429</v>
      </c>
      <c r="BT1" s="455" t="s">
        <v>430</v>
      </c>
      <c r="BU1" s="455" t="s">
        <v>431</v>
      </c>
      <c r="BV1" s="455" t="s">
        <v>432</v>
      </c>
      <c r="BW1" s="455" t="s">
        <v>433</v>
      </c>
      <c r="BX1" s="456" t="s">
        <v>434</v>
      </c>
      <c r="BY1" s="456" t="s">
        <v>435</v>
      </c>
      <c r="BZ1" s="455" t="s">
        <v>436</v>
      </c>
      <c r="CA1" s="455" t="s">
        <v>437</v>
      </c>
      <c r="CB1" s="455" t="s">
        <v>438</v>
      </c>
      <c r="CC1" s="455" t="s">
        <v>439</v>
      </c>
      <c r="CD1" s="455" t="s">
        <v>440</v>
      </c>
      <c r="CE1" s="455" t="s">
        <v>441</v>
      </c>
      <c r="CF1" s="455" t="s">
        <v>442</v>
      </c>
      <c r="CG1" s="455" t="s">
        <v>443</v>
      </c>
      <c r="CH1" s="455" t="s">
        <v>444</v>
      </c>
      <c r="CI1" s="455" t="s">
        <v>445</v>
      </c>
      <c r="CJ1" s="456" t="s">
        <v>446</v>
      </c>
      <c r="CK1" s="456" t="s">
        <v>447</v>
      </c>
      <c r="CL1" s="457" t="s">
        <v>448</v>
      </c>
      <c r="CM1" s="457" t="s">
        <v>449</v>
      </c>
      <c r="CN1" s="457" t="s">
        <v>450</v>
      </c>
    </row>
    <row r="2" spans="1:92" ht="15" thickBot="1" x14ac:dyDescent="0.35">
      <c r="A2" s="368" t="s">
        <v>161</v>
      </c>
      <c r="B2" s="368" t="s">
        <v>162</v>
      </c>
      <c r="C2" s="368" t="s">
        <v>163</v>
      </c>
      <c r="D2" s="368" t="s">
        <v>164</v>
      </c>
      <c r="E2" s="368" t="s">
        <v>165</v>
      </c>
      <c r="F2" s="369" t="s">
        <v>166</v>
      </c>
      <c r="G2" s="368" t="s">
        <v>167</v>
      </c>
      <c r="H2" s="370"/>
      <c r="I2" s="370"/>
      <c r="J2" s="368" t="s">
        <v>168</v>
      </c>
      <c r="K2" s="368" t="s">
        <v>169</v>
      </c>
      <c r="L2" s="368" t="s">
        <v>170</v>
      </c>
      <c r="M2" s="368" t="s">
        <v>171</v>
      </c>
      <c r="N2" s="368" t="s">
        <v>172</v>
      </c>
      <c r="O2" s="371">
        <v>1</v>
      </c>
      <c r="P2" s="451">
        <v>1</v>
      </c>
      <c r="Q2" s="451">
        <v>1</v>
      </c>
      <c r="R2" s="372">
        <v>80</v>
      </c>
      <c r="S2" s="451">
        <v>1</v>
      </c>
      <c r="T2" s="372">
        <v>42587.9</v>
      </c>
      <c r="U2" s="372">
        <v>0</v>
      </c>
      <c r="V2" s="372">
        <v>21377.02</v>
      </c>
      <c r="W2" s="372">
        <v>45344</v>
      </c>
      <c r="X2" s="372">
        <v>22446.83</v>
      </c>
      <c r="Y2" s="372">
        <v>45344</v>
      </c>
      <c r="Z2" s="372">
        <v>22315.34</v>
      </c>
      <c r="AA2" s="368" t="s">
        <v>173</v>
      </c>
      <c r="AB2" s="368" t="s">
        <v>174</v>
      </c>
      <c r="AC2" s="368" t="s">
        <v>175</v>
      </c>
      <c r="AD2" s="368" t="s">
        <v>176</v>
      </c>
      <c r="AE2" s="368" t="s">
        <v>169</v>
      </c>
      <c r="AF2" s="368" t="s">
        <v>177</v>
      </c>
      <c r="AG2" s="368" t="s">
        <v>178</v>
      </c>
      <c r="AH2" s="373">
        <v>21.8</v>
      </c>
      <c r="AI2" s="373">
        <v>5442.5</v>
      </c>
      <c r="AJ2" s="368" t="s">
        <v>179</v>
      </c>
      <c r="AK2" s="368" t="s">
        <v>180</v>
      </c>
      <c r="AL2" s="368" t="s">
        <v>181</v>
      </c>
      <c r="AM2" s="368" t="s">
        <v>182</v>
      </c>
      <c r="AN2" s="368" t="s">
        <v>68</v>
      </c>
      <c r="AO2" s="371">
        <v>80</v>
      </c>
      <c r="AP2" s="451">
        <v>1</v>
      </c>
      <c r="AQ2" s="451">
        <v>1</v>
      </c>
      <c r="AR2" s="449" t="s">
        <v>183</v>
      </c>
      <c r="AS2" s="453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453">
        <f>IF(AT2=0,"",IF(AND(AT2=1,M2="F",SUMIF(C2:C55,C2,AS2:AS55)&lt;=1),SUMIF(C2:C55,C2,AS2:AS55),IF(AND(AT2=1,M2="F",SUMIF(C2:C55,C2,AS2:AS55)&gt;1),1,"")))</f>
        <v>1</v>
      </c>
      <c r="AV2" s="453" t="str">
        <f>IF(AT2=0,"",IF(AND(AT2=3,M2="F",SUMIF(C2:C55,C2,AS2:AS55)&lt;=1),SUMIF(C2:C55,C2,AS2:AS55),IF(AND(AT2=3,M2="F",SUMIF(C2:C55,C2,AS2:AS55)&gt;1),1,"")))</f>
        <v/>
      </c>
      <c r="AW2" s="453">
        <f>SUMIF(C2:C55,C2,O2:O55)</f>
        <v>1</v>
      </c>
      <c r="AX2" s="453">
        <f>IF(AND(M2="F",AS2&lt;&gt;0),SUMIF(C2:C55,C2,W2:W55),0)</f>
        <v>45344</v>
      </c>
      <c r="AY2" s="453">
        <f>IF(AT2=1,W2,"")</f>
        <v>45344</v>
      </c>
      <c r="AZ2" s="453" t="str">
        <f>IF(AT2=3,W2,"")</f>
        <v/>
      </c>
      <c r="BA2" s="453">
        <f>IF(AT2=1,Y2-W2,0)</f>
        <v>0</v>
      </c>
      <c r="BB2" s="453">
        <f>IF(AND(AT2=1,AK2="E",AU2&gt;=0.75,AW2=1),Health,IF(AND(AT2=1,AK2="E",AU2&gt;=0.75),Health*P2,IF(AND(AT2=1,AK2="E",AU2&gt;=0.5,AW2=1),PTHealth,IF(AND(AT2=1,AK2="E",AU2&gt;=0.5),PTHealth*P2,0))))</f>
        <v>11650</v>
      </c>
      <c r="BC2" s="453">
        <f>IF(AND(AT2=3,AK2="E",AV2&gt;=0.75,AW2=1),Health,IF(AND(AT2=3,AK2="E",AV2&gt;=0.75),Health*P2,IF(AND(AT2=3,AK2="E",AV2&gt;=0.5,AW2=1),PTHealth,IF(AND(AT2=3,AK2="E",AV2&gt;=0.5),PTHealth*P2,0))))</f>
        <v>0</v>
      </c>
      <c r="BD2" s="453">
        <f>IF(AND(AT2&lt;&gt;0,AX2&gt;=MAXSSDI),SSDI*MAXSSDI*P2,IF(AT2&lt;&gt;0,SSDI*W2,0))</f>
        <v>2811.328</v>
      </c>
      <c r="BE2" s="453">
        <f>IF(AT2&lt;&gt;0,SSHI*W2,0)</f>
        <v>657.48800000000006</v>
      </c>
      <c r="BF2" s="453">
        <f>IF(AND(AT2&lt;&gt;0,AN2&lt;&gt;"NE"),VLOOKUP(AN2,Retirement_Rates,3,FALSE)*W2,0)</f>
        <v>5414.0736000000006</v>
      </c>
      <c r="BG2" s="453">
        <f>IF(AND(AT2&lt;&gt;0,AJ2&lt;&gt;"PF"),Life*W2,0)</f>
        <v>326.93024000000003</v>
      </c>
      <c r="BH2" s="453">
        <f>IF(AND(AT2&lt;&gt;0,AM2="Y"),UI*W2,0)</f>
        <v>222.18559999999999</v>
      </c>
      <c r="BI2" s="453">
        <f>IF(AND(AT2&lt;&gt;0,N2&lt;&gt;"NR"),DHR*W2,0)</f>
        <v>0</v>
      </c>
      <c r="BJ2" s="453">
        <f>IF(AT2&lt;&gt;0,WC*W2,0)</f>
        <v>1364.8543999999999</v>
      </c>
      <c r="BK2" s="453">
        <f>IF(OR(AND(AT2&lt;&gt;0,AJ2&lt;&gt;"PF",AN2&lt;&gt;"NE",AG2&lt;&gt;"A"),AND(AL2="E",OR(AT2=1,AT2=3))),Sick*W2,0)</f>
        <v>0</v>
      </c>
      <c r="BL2" s="453">
        <f>IF(AT2=1,SUM(BD2:BK2),0)</f>
        <v>10796.859840000001</v>
      </c>
      <c r="BM2" s="453">
        <f>IF(AT2=3,SUM(BD2:BK2),0)</f>
        <v>0</v>
      </c>
      <c r="BN2" s="453">
        <f>IF(AND(AT2=1,AK2="E",AU2&gt;=0.75,AW2=1),HealthBY,IF(AND(AT2=1,AK2="E",AU2&gt;=0.75),HealthBY*P2,IF(AND(AT2=1,AK2="E",AU2&gt;=0.5,AW2=1),PTHealthBY,IF(AND(AT2=1,AK2="E",AU2&gt;=0.5),PTHealthBY*P2,0))))</f>
        <v>11650</v>
      </c>
      <c r="BO2" s="453">
        <f>IF(AND(AT2=3,AK2="E",AV2&gt;=0.75,AW2=1),HealthBY,IF(AND(AT2=3,AK2="E",AV2&gt;=0.75),HealthBY*P2,IF(AND(AT2=3,AK2="E",AV2&gt;=0.5,AW2=1),PTHealthBY,IF(AND(AT2=3,AK2="E",AV2&gt;=0.5),PTHealthBY*P2,0))))</f>
        <v>0</v>
      </c>
      <c r="BP2" s="453">
        <f>IF(AND(AT2&lt;&gt;0,(AX2+BA2)&gt;=MAXSSDIBY),SSDIBY*MAXSSDIBY*P2,IF(AT2&lt;&gt;0,SSDIBY*W2,0))</f>
        <v>2811.328</v>
      </c>
      <c r="BQ2" s="453">
        <f>IF(AT2&lt;&gt;0,SSHIBY*W2,0)</f>
        <v>657.48800000000006</v>
      </c>
      <c r="BR2" s="453">
        <f>IF(AND(AT2&lt;&gt;0,AN2&lt;&gt;"NE"),VLOOKUP(AN2,Retirement_Rates,4,FALSE)*W2,0)</f>
        <v>5414.0736000000006</v>
      </c>
      <c r="BS2" s="453">
        <f>IF(AND(AT2&lt;&gt;0,AJ2&lt;&gt;"PF"),LifeBY*W2,0)</f>
        <v>326.93024000000003</v>
      </c>
      <c r="BT2" s="453">
        <f>IF(AND(AT2&lt;&gt;0,AM2="Y"),UIBY*W2,0)</f>
        <v>0</v>
      </c>
      <c r="BU2" s="453">
        <f>IF(AND(AT2&lt;&gt;0,N2&lt;&gt;"NR"),DHRBY*W2,0)</f>
        <v>0</v>
      </c>
      <c r="BV2" s="453">
        <f>IF(AT2&lt;&gt;0,WCBY*W2,0)</f>
        <v>1455.5423999999998</v>
      </c>
      <c r="BW2" s="453">
        <f>IF(OR(AND(AT2&lt;&gt;0,AJ2&lt;&gt;"PF",AN2&lt;&gt;"NE",AG2&lt;&gt;"A"),AND(AL2="E",OR(AT2=1,AT2=3))),SickBY*W2,0)</f>
        <v>0</v>
      </c>
      <c r="BX2" s="453">
        <f>IF(AT2=1,SUM(BP2:BW2),0)</f>
        <v>10665.36224</v>
      </c>
      <c r="BY2" s="453">
        <f>IF(AT2=3,SUM(BP2:BW2),0)</f>
        <v>0</v>
      </c>
      <c r="BZ2" s="453">
        <f>IF(AT2=1,BN2-BB2,0)</f>
        <v>0</v>
      </c>
      <c r="CA2" s="453">
        <f>IF(AT2=3,BO2-BC2,0)</f>
        <v>0</v>
      </c>
      <c r="CB2" s="453">
        <f>BP2-BD2</f>
        <v>0</v>
      </c>
      <c r="CC2" s="453">
        <f>IF(AT2&lt;&gt;0,SSHICHG*Y2,0)</f>
        <v>0</v>
      </c>
      <c r="CD2" s="453">
        <f>IF(AND(AT2&lt;&gt;0,AN2&lt;&gt;"NE"),VLOOKUP(AN2,Retirement_Rates,5,FALSE)*Y2,0)</f>
        <v>0</v>
      </c>
      <c r="CE2" s="453">
        <f>IF(AND(AT2&lt;&gt;0,AJ2&lt;&gt;"PF"),LifeCHG*Y2,0)</f>
        <v>0</v>
      </c>
      <c r="CF2" s="453">
        <f>IF(AND(AT2&lt;&gt;0,AM2="Y"),UICHG*Y2,0)</f>
        <v>-222.18559999999999</v>
      </c>
      <c r="CG2" s="453">
        <f>IF(AND(AT2&lt;&gt;0,N2&lt;&gt;"NR"),DHRCHG*Y2,0)</f>
        <v>0</v>
      </c>
      <c r="CH2" s="453">
        <f>IF(AT2&lt;&gt;0,WCCHG*Y2,0)</f>
        <v>90.687999999999917</v>
      </c>
      <c r="CI2" s="453">
        <f>IF(OR(AND(AT2&lt;&gt;0,AJ2&lt;&gt;"PF",AN2&lt;&gt;"NE",AG2&lt;&gt;"A"),AND(AL2="E",OR(AT2=1,AT2=3))),SickCHG*Y2,0)</f>
        <v>0</v>
      </c>
      <c r="CJ2" s="453">
        <f>IF(AT2=1,SUM(CB2:CI2),0)</f>
        <v>-131.49760000000009</v>
      </c>
      <c r="CK2" s="453" t="str">
        <f>IF(AT2=3,SUM(CB2:CI2),"")</f>
        <v/>
      </c>
      <c r="CL2" s="453" t="str">
        <f>IF(OR(N2="NG",AG2="D"),(T2+U2),"")</f>
        <v/>
      </c>
      <c r="CM2" s="453" t="str">
        <f>IF(OR(N2="NG",AG2="D"),V2,"")</f>
        <v/>
      </c>
      <c r="CN2" s="453" t="str">
        <f>E2 &amp; "-" &amp; F2</f>
        <v>0421-01</v>
      </c>
    </row>
    <row r="3" spans="1:92" ht="15" thickBot="1" x14ac:dyDescent="0.35">
      <c r="A3" s="368" t="s">
        <v>161</v>
      </c>
      <c r="B3" s="368" t="s">
        <v>162</v>
      </c>
      <c r="C3" s="368" t="s">
        <v>184</v>
      </c>
      <c r="D3" s="368" t="s">
        <v>185</v>
      </c>
      <c r="E3" s="368" t="s">
        <v>165</v>
      </c>
      <c r="F3" s="369" t="s">
        <v>166</v>
      </c>
      <c r="G3" s="368" t="s">
        <v>167</v>
      </c>
      <c r="H3" s="370"/>
      <c r="I3" s="370"/>
      <c r="J3" s="368" t="s">
        <v>168</v>
      </c>
      <c r="K3" s="368" t="s">
        <v>186</v>
      </c>
      <c r="L3" s="368" t="s">
        <v>178</v>
      </c>
      <c r="M3" s="368" t="s">
        <v>171</v>
      </c>
      <c r="N3" s="368" t="s">
        <v>172</v>
      </c>
      <c r="O3" s="371">
        <v>1</v>
      </c>
      <c r="P3" s="451">
        <v>1</v>
      </c>
      <c r="Q3" s="451">
        <v>1</v>
      </c>
      <c r="R3" s="372">
        <v>80</v>
      </c>
      <c r="S3" s="451">
        <v>1</v>
      </c>
      <c r="T3" s="372">
        <v>35090</v>
      </c>
      <c r="U3" s="372">
        <v>0</v>
      </c>
      <c r="V3" s="372">
        <v>19969.669999999998</v>
      </c>
      <c r="W3" s="372">
        <v>36940.800000000003</v>
      </c>
      <c r="X3" s="372">
        <v>20445.939999999999</v>
      </c>
      <c r="Y3" s="372">
        <v>36940.800000000003</v>
      </c>
      <c r="Z3" s="372">
        <v>20338.82</v>
      </c>
      <c r="AA3" s="368" t="s">
        <v>187</v>
      </c>
      <c r="AB3" s="368" t="s">
        <v>188</v>
      </c>
      <c r="AC3" s="368" t="s">
        <v>189</v>
      </c>
      <c r="AD3" s="368" t="s">
        <v>190</v>
      </c>
      <c r="AE3" s="368" t="s">
        <v>186</v>
      </c>
      <c r="AF3" s="368" t="s">
        <v>177</v>
      </c>
      <c r="AG3" s="368" t="s">
        <v>178</v>
      </c>
      <c r="AH3" s="373">
        <v>17.760000000000002</v>
      </c>
      <c r="AI3" s="371">
        <v>8477</v>
      </c>
      <c r="AJ3" s="368" t="s">
        <v>179</v>
      </c>
      <c r="AK3" s="368" t="s">
        <v>180</v>
      </c>
      <c r="AL3" s="368" t="s">
        <v>181</v>
      </c>
      <c r="AM3" s="368" t="s">
        <v>182</v>
      </c>
      <c r="AN3" s="368" t="s">
        <v>68</v>
      </c>
      <c r="AO3" s="371">
        <v>80</v>
      </c>
      <c r="AP3" s="451">
        <v>1</v>
      </c>
      <c r="AQ3" s="451">
        <v>1</v>
      </c>
      <c r="AR3" s="449" t="s">
        <v>183</v>
      </c>
      <c r="AS3" s="453">
        <f t="shared" ref="AS3:AS55" si="0">IF(((AO3/80)*AP3*P3)&gt;1,AQ3,((AO3/80)*AP3*P3))</f>
        <v>1</v>
      </c>
      <c r="AT3">
        <f t="shared" ref="AT3:AT55" si="1">IF(AND(M3="F",N3&lt;&gt;"NG",AS3&lt;&gt;0,AND(AR3&lt;&gt;6,AR3&lt;&gt;36,AR3&lt;&gt;56),AG3&lt;&gt;"A",OR(AG3="H",AJ3="FS")),1,IF(AND(M3="F",N3&lt;&gt;"NG",AS3&lt;&gt;0,AG3="A"),3,0))</f>
        <v>1</v>
      </c>
      <c r="AU3" s="453">
        <f>IF(AT3=0,"",IF(AND(AT3=1,M3="F",SUMIF(C2:C55,C3,AS2:AS55)&lt;=1),SUMIF(C2:C55,C3,AS2:AS55),IF(AND(AT3=1,M3="F",SUMIF(C2:C55,C3,AS2:AS55)&gt;1),1,"")))</f>
        <v>1</v>
      </c>
      <c r="AV3" s="453" t="str">
        <f>IF(AT3=0,"",IF(AND(AT3=3,M3="F",SUMIF(C2:C55,C3,AS2:AS55)&lt;=1),SUMIF(C2:C55,C3,AS2:AS55),IF(AND(AT3=3,M3="F",SUMIF(C2:C55,C3,AS2:AS55)&gt;1),1,"")))</f>
        <v/>
      </c>
      <c r="AW3" s="453">
        <f>SUMIF(C2:C55,C3,O2:O55)</f>
        <v>1</v>
      </c>
      <c r="AX3" s="453">
        <f>IF(AND(M3="F",AS3&lt;&gt;0),SUMIF(C2:C55,C3,W2:W55),0)</f>
        <v>36940.800000000003</v>
      </c>
      <c r="AY3" s="453">
        <f t="shared" ref="AY3:AY55" si="2">IF(AT3=1,W3,"")</f>
        <v>36940.800000000003</v>
      </c>
      <c r="AZ3" s="453" t="str">
        <f t="shared" ref="AZ3:AZ55" si="3">IF(AT3=3,W3,"")</f>
        <v/>
      </c>
      <c r="BA3" s="453">
        <f t="shared" ref="BA3:BA55" si="4">IF(AT3=1,Y3-W3,0)</f>
        <v>0</v>
      </c>
      <c r="BB3" s="453">
        <f>IF(AND(AT3=1,AK3="E",AU3&gt;=0.75,AW3=1),Health,IF(AND(AT3=1,AK3="E",AU3&gt;=0.75),Health*P3,IF(AND(AT3=1,AK3="E",AU3&gt;=0.5,AW3=1),PTHealth,IF(AND(AT3=1,AK3="E",AU3&gt;=0.5),PTHealth*P3,0))))</f>
        <v>11650</v>
      </c>
      <c r="BC3" s="453">
        <f>IF(AND(AT3=3,AK3="E",AV3&gt;=0.75,AW3=1),Health,IF(AND(AT3=3,AK3="E",AV3&gt;=0.75),Health*P3,IF(AND(AT3=3,AK3="E",AV3&gt;=0.5,AW3=1),PTHealth,IF(AND(AT3=3,AK3="E",AV3&gt;=0.5),PTHealth*P3,0))))</f>
        <v>0</v>
      </c>
      <c r="BD3" s="453">
        <f>IF(AND(AT3&lt;&gt;0,AX3&gt;=MAXSSDI),SSDI*MAXSSDI*P3,IF(AT3&lt;&gt;0,SSDI*W3,0))</f>
        <v>2290.3296</v>
      </c>
      <c r="BE3" s="453">
        <f>IF(AT3&lt;&gt;0,SSHI*W3,0)</f>
        <v>535.64160000000004</v>
      </c>
      <c r="BF3" s="453">
        <f>IF(AND(AT3&lt;&gt;0,AN3&lt;&gt;"NE"),VLOOKUP(AN3,Retirement_Rates,3,FALSE)*W3,0)</f>
        <v>4410.7315200000003</v>
      </c>
      <c r="BG3" s="453">
        <f>IF(AND(AT3&lt;&gt;0,AJ3&lt;&gt;"PF"),Life*W3,0)</f>
        <v>266.34316800000005</v>
      </c>
      <c r="BH3" s="453">
        <f>IF(AND(AT3&lt;&gt;0,AM3="Y"),UI*W3,0)</f>
        <v>181.00992000000002</v>
      </c>
      <c r="BI3" s="453">
        <f>IF(AND(AT3&lt;&gt;0,N3&lt;&gt;"NR"),DHR*W3,0)</f>
        <v>0</v>
      </c>
      <c r="BJ3" s="453">
        <f>IF(AT3&lt;&gt;0,WC*W3,0)</f>
        <v>1111.9180799999999</v>
      </c>
      <c r="BK3" s="453">
        <f>IF(OR(AND(AT3&lt;&gt;0,AJ3&lt;&gt;"PF",AN3&lt;&gt;"NE",AG3&lt;&gt;"A"),AND(AL3="E",OR(AT3=1,AT3=3))),Sick*W3,0)</f>
        <v>0</v>
      </c>
      <c r="BL3" s="453">
        <f t="shared" ref="BL3:BL55" si="5">IF(AT3=1,SUM(BD3:BK3),0)</f>
        <v>8795.9738880000004</v>
      </c>
      <c r="BM3" s="453">
        <f t="shared" ref="BM3:BM55" si="6">IF(AT3=3,SUM(BD3:BK3),0)</f>
        <v>0</v>
      </c>
      <c r="BN3" s="453">
        <f>IF(AND(AT3=1,AK3="E",AU3&gt;=0.75,AW3=1),HealthBY,IF(AND(AT3=1,AK3="E",AU3&gt;=0.75),HealthBY*P3,IF(AND(AT3=1,AK3="E",AU3&gt;=0.5,AW3=1),PTHealthBY,IF(AND(AT3=1,AK3="E",AU3&gt;=0.5),PTHealthBY*P3,0))))</f>
        <v>11650</v>
      </c>
      <c r="BO3" s="453">
        <f>IF(AND(AT3=3,AK3="E",AV3&gt;=0.75,AW3=1),HealthBY,IF(AND(AT3=3,AK3="E",AV3&gt;=0.75),HealthBY*P3,IF(AND(AT3=3,AK3="E",AV3&gt;=0.5,AW3=1),PTHealthBY,IF(AND(AT3=3,AK3="E",AV3&gt;=0.5),PTHealthBY*P3,0))))</f>
        <v>0</v>
      </c>
      <c r="BP3" s="453">
        <f>IF(AND(AT3&lt;&gt;0,(AX3+BA3)&gt;=MAXSSDIBY),SSDIBY*MAXSSDIBY*P3,IF(AT3&lt;&gt;0,SSDIBY*W3,0))</f>
        <v>2290.3296</v>
      </c>
      <c r="BQ3" s="453">
        <f>IF(AT3&lt;&gt;0,SSHIBY*W3,0)</f>
        <v>535.64160000000004</v>
      </c>
      <c r="BR3" s="453">
        <f>IF(AND(AT3&lt;&gt;0,AN3&lt;&gt;"NE"),VLOOKUP(AN3,Retirement_Rates,4,FALSE)*W3,0)</f>
        <v>4410.7315200000003</v>
      </c>
      <c r="BS3" s="453">
        <f>IF(AND(AT3&lt;&gt;0,AJ3&lt;&gt;"PF"),LifeBY*W3,0)</f>
        <v>266.34316800000005</v>
      </c>
      <c r="BT3" s="453">
        <f>IF(AND(AT3&lt;&gt;0,AM3="Y"),UIBY*W3,0)</f>
        <v>0</v>
      </c>
      <c r="BU3" s="453">
        <f>IF(AND(AT3&lt;&gt;0,N3&lt;&gt;"NR"),DHRBY*W3,0)</f>
        <v>0</v>
      </c>
      <c r="BV3" s="453">
        <f>IF(AT3&lt;&gt;0,WCBY*W3,0)</f>
        <v>1185.7996800000001</v>
      </c>
      <c r="BW3" s="453">
        <f>IF(OR(AND(AT3&lt;&gt;0,AJ3&lt;&gt;"PF",AN3&lt;&gt;"NE",AG3&lt;&gt;"A"),AND(AL3="E",OR(AT3=1,AT3=3))),SickBY*W3,0)</f>
        <v>0</v>
      </c>
      <c r="BX3" s="453">
        <f t="shared" ref="BX3:BX55" si="7">IF(AT3=1,SUM(BP3:BW3),0)</f>
        <v>8688.8455680000006</v>
      </c>
      <c r="BY3" s="453">
        <f t="shared" ref="BY3:BY55" si="8">IF(AT3=3,SUM(BP3:BW3),0)</f>
        <v>0</v>
      </c>
      <c r="BZ3" s="453">
        <f t="shared" ref="BZ3:BZ55" si="9">IF(AT3=1,BN3-BB3,0)</f>
        <v>0</v>
      </c>
      <c r="CA3" s="453">
        <f t="shared" ref="CA3:CA55" si="10">IF(AT3=3,BO3-BC3,0)</f>
        <v>0</v>
      </c>
      <c r="CB3" s="453">
        <f t="shared" ref="CB3:CB55" si="11">BP3-BD3</f>
        <v>0</v>
      </c>
      <c r="CC3" s="453">
        <f>IF(AT3&lt;&gt;0,SSHICHG*Y3,0)</f>
        <v>0</v>
      </c>
      <c r="CD3" s="453">
        <f>IF(AND(AT3&lt;&gt;0,AN3&lt;&gt;"NE"),VLOOKUP(AN3,Retirement_Rates,5,FALSE)*Y3,0)</f>
        <v>0</v>
      </c>
      <c r="CE3" s="453">
        <f>IF(AND(AT3&lt;&gt;0,AJ3&lt;&gt;"PF"),LifeCHG*Y3,0)</f>
        <v>0</v>
      </c>
      <c r="CF3" s="453">
        <f>IF(AND(AT3&lt;&gt;0,AM3="Y"),UICHG*Y3,0)</f>
        <v>-181.00992000000002</v>
      </c>
      <c r="CG3" s="453">
        <f>IF(AND(AT3&lt;&gt;0,N3&lt;&gt;"NR"),DHRCHG*Y3,0)</f>
        <v>0</v>
      </c>
      <c r="CH3" s="453">
        <f>IF(AT3&lt;&gt;0,WCCHG*Y3,0)</f>
        <v>73.881599999999949</v>
      </c>
      <c r="CI3" s="453">
        <f>IF(OR(AND(AT3&lt;&gt;0,AJ3&lt;&gt;"PF",AN3&lt;&gt;"NE",AG3&lt;&gt;"A"),AND(AL3="E",OR(AT3=1,AT3=3))),SickCHG*Y3,0)</f>
        <v>0</v>
      </c>
      <c r="CJ3" s="453">
        <f t="shared" ref="CJ3:CJ55" si="12">IF(AT3=1,SUM(CB3:CI3),0)</f>
        <v>-107.12832000000007</v>
      </c>
      <c r="CK3" s="453" t="str">
        <f t="shared" ref="CK3:CK55" si="13">IF(AT3=3,SUM(CB3:CI3),"")</f>
        <v/>
      </c>
      <c r="CL3" s="453" t="str">
        <f t="shared" ref="CL3:CL55" si="14">IF(OR(N3="NG",AG3="D"),(T3+U3),"")</f>
        <v/>
      </c>
      <c r="CM3" s="453" t="str">
        <f t="shared" ref="CM3:CM55" si="15">IF(OR(N3="NG",AG3="D"),V3,"")</f>
        <v/>
      </c>
      <c r="CN3" s="453" t="str">
        <f t="shared" ref="CN3:CN55" si="16">E3 &amp; "-" &amp; F3</f>
        <v>0421-01</v>
      </c>
    </row>
    <row r="4" spans="1:92" ht="15" thickBot="1" x14ac:dyDescent="0.35">
      <c r="A4" s="368" t="s">
        <v>161</v>
      </c>
      <c r="B4" s="368" t="s">
        <v>162</v>
      </c>
      <c r="C4" s="368" t="s">
        <v>191</v>
      </c>
      <c r="D4" s="368" t="s">
        <v>192</v>
      </c>
      <c r="E4" s="368" t="s">
        <v>165</v>
      </c>
      <c r="F4" s="369" t="s">
        <v>166</v>
      </c>
      <c r="G4" s="368" t="s">
        <v>167</v>
      </c>
      <c r="H4" s="370"/>
      <c r="I4" s="370"/>
      <c r="J4" s="368" t="s">
        <v>168</v>
      </c>
      <c r="K4" s="368" t="s">
        <v>193</v>
      </c>
      <c r="L4" s="368" t="s">
        <v>181</v>
      </c>
      <c r="M4" s="368" t="s">
        <v>171</v>
      </c>
      <c r="N4" s="368" t="s">
        <v>172</v>
      </c>
      <c r="O4" s="371">
        <v>1</v>
      </c>
      <c r="P4" s="451">
        <v>1</v>
      </c>
      <c r="Q4" s="451">
        <v>1</v>
      </c>
      <c r="R4" s="372">
        <v>80</v>
      </c>
      <c r="S4" s="451">
        <v>1</v>
      </c>
      <c r="T4" s="372">
        <v>66544.17</v>
      </c>
      <c r="U4" s="372">
        <v>0</v>
      </c>
      <c r="V4" s="372">
        <v>26430.28</v>
      </c>
      <c r="W4" s="372">
        <v>70283.199999999997</v>
      </c>
      <c r="X4" s="372">
        <v>28385.1</v>
      </c>
      <c r="Y4" s="372">
        <v>70283.199999999997</v>
      </c>
      <c r="Z4" s="372">
        <v>28181.29</v>
      </c>
      <c r="AA4" s="368" t="s">
        <v>194</v>
      </c>
      <c r="AB4" s="368" t="s">
        <v>195</v>
      </c>
      <c r="AC4" s="368" t="s">
        <v>196</v>
      </c>
      <c r="AD4" s="368" t="s">
        <v>190</v>
      </c>
      <c r="AE4" s="368" t="s">
        <v>193</v>
      </c>
      <c r="AF4" s="368" t="s">
        <v>177</v>
      </c>
      <c r="AG4" s="368" t="s">
        <v>178</v>
      </c>
      <c r="AH4" s="373">
        <v>33.79</v>
      </c>
      <c r="AI4" s="373">
        <v>8416.2000000000007</v>
      </c>
      <c r="AJ4" s="368" t="s">
        <v>179</v>
      </c>
      <c r="AK4" s="368" t="s">
        <v>180</v>
      </c>
      <c r="AL4" s="368" t="s">
        <v>181</v>
      </c>
      <c r="AM4" s="368" t="s">
        <v>182</v>
      </c>
      <c r="AN4" s="368" t="s">
        <v>68</v>
      </c>
      <c r="AO4" s="371">
        <v>80</v>
      </c>
      <c r="AP4" s="451">
        <v>1</v>
      </c>
      <c r="AQ4" s="451">
        <v>1</v>
      </c>
      <c r="AR4" s="449" t="s">
        <v>183</v>
      </c>
      <c r="AS4" s="453">
        <f t="shared" si="0"/>
        <v>1</v>
      </c>
      <c r="AT4">
        <f t="shared" si="1"/>
        <v>1</v>
      </c>
      <c r="AU4" s="453">
        <f>IF(AT4=0,"",IF(AND(AT4=1,M4="F",SUMIF(C2:C55,C4,AS2:AS55)&lt;=1),SUMIF(C2:C55,C4,AS2:AS55),IF(AND(AT4=1,M4="F",SUMIF(C2:C55,C4,AS2:AS55)&gt;1),1,"")))</f>
        <v>1</v>
      </c>
      <c r="AV4" s="453" t="str">
        <f>IF(AT4=0,"",IF(AND(AT4=3,M4="F",SUMIF(C2:C55,C4,AS2:AS55)&lt;=1),SUMIF(C2:C55,C4,AS2:AS55),IF(AND(AT4=3,M4="F",SUMIF(C2:C55,C4,AS2:AS55)&gt;1),1,"")))</f>
        <v/>
      </c>
      <c r="AW4" s="453">
        <f>SUMIF(C2:C55,C4,O2:O55)</f>
        <v>1</v>
      </c>
      <c r="AX4" s="453">
        <f>IF(AND(M4="F",AS4&lt;&gt;0),SUMIF(C2:C55,C4,W2:W55),0)</f>
        <v>70283.199999999997</v>
      </c>
      <c r="AY4" s="453">
        <f t="shared" si="2"/>
        <v>70283.199999999997</v>
      </c>
      <c r="AZ4" s="453" t="str">
        <f t="shared" si="3"/>
        <v/>
      </c>
      <c r="BA4" s="453">
        <f t="shared" si="4"/>
        <v>0</v>
      </c>
      <c r="BB4" s="453">
        <f>IF(AND(AT4=1,AK4="E",AU4&gt;=0.75,AW4=1),Health,IF(AND(AT4=1,AK4="E",AU4&gt;=0.75),Health*P4,IF(AND(AT4=1,AK4="E",AU4&gt;=0.5,AW4=1),PTHealth,IF(AND(AT4=1,AK4="E",AU4&gt;=0.5),PTHealth*P4,0))))</f>
        <v>11650</v>
      </c>
      <c r="BC4" s="453">
        <f>IF(AND(AT4=3,AK4="E",AV4&gt;=0.75,AW4=1),Health,IF(AND(AT4=3,AK4="E",AV4&gt;=0.75),Health*P4,IF(AND(AT4=3,AK4="E",AV4&gt;=0.5,AW4=1),PTHealth,IF(AND(AT4=3,AK4="E",AV4&gt;=0.5),PTHealth*P4,0))))</f>
        <v>0</v>
      </c>
      <c r="BD4" s="453">
        <f>IF(AND(AT4&lt;&gt;0,AX4&gt;=MAXSSDI),SSDI*MAXSSDI*P4,IF(AT4&lt;&gt;0,SSDI*W4,0))</f>
        <v>4357.5583999999999</v>
      </c>
      <c r="BE4" s="453">
        <f>IF(AT4&lt;&gt;0,SSHI*W4,0)</f>
        <v>1019.1064</v>
      </c>
      <c r="BF4" s="453">
        <f>IF(AND(AT4&lt;&gt;0,AN4&lt;&gt;"NE"),VLOOKUP(AN4,Retirement_Rates,3,FALSE)*W4,0)</f>
        <v>8391.8140800000001</v>
      </c>
      <c r="BG4" s="453">
        <f>IF(AND(AT4&lt;&gt;0,AJ4&lt;&gt;"PF"),Life*W4,0)</f>
        <v>506.741872</v>
      </c>
      <c r="BH4" s="453">
        <f>IF(AND(AT4&lt;&gt;0,AM4="Y"),UI*W4,0)</f>
        <v>344.38767999999999</v>
      </c>
      <c r="BI4" s="453">
        <f>IF(AND(AT4&lt;&gt;0,N4&lt;&gt;"NR"),DHR*W4,0)</f>
        <v>0</v>
      </c>
      <c r="BJ4" s="453">
        <f>IF(AT4&lt;&gt;0,WC*W4,0)</f>
        <v>2115.52432</v>
      </c>
      <c r="BK4" s="453">
        <f>IF(OR(AND(AT4&lt;&gt;0,AJ4&lt;&gt;"PF",AN4&lt;&gt;"NE",AG4&lt;&gt;"A"),AND(AL4="E",OR(AT4=1,AT4=3))),Sick*W4,0)</f>
        <v>0</v>
      </c>
      <c r="BL4" s="453">
        <f t="shared" si="5"/>
        <v>16735.132751999998</v>
      </c>
      <c r="BM4" s="453">
        <f t="shared" si="6"/>
        <v>0</v>
      </c>
      <c r="BN4" s="453">
        <f>IF(AND(AT4=1,AK4="E",AU4&gt;=0.75,AW4=1),HealthBY,IF(AND(AT4=1,AK4="E",AU4&gt;=0.75),HealthBY*P4,IF(AND(AT4=1,AK4="E",AU4&gt;=0.5,AW4=1),PTHealthBY,IF(AND(AT4=1,AK4="E",AU4&gt;=0.5),PTHealthBY*P4,0))))</f>
        <v>11650</v>
      </c>
      <c r="BO4" s="453">
        <f>IF(AND(AT4=3,AK4="E",AV4&gt;=0.75,AW4=1),HealthBY,IF(AND(AT4=3,AK4="E",AV4&gt;=0.75),HealthBY*P4,IF(AND(AT4=3,AK4="E",AV4&gt;=0.5,AW4=1),PTHealthBY,IF(AND(AT4=3,AK4="E",AV4&gt;=0.5),PTHealthBY*P4,0))))</f>
        <v>0</v>
      </c>
      <c r="BP4" s="453">
        <f>IF(AND(AT4&lt;&gt;0,(AX4+BA4)&gt;=MAXSSDIBY),SSDIBY*MAXSSDIBY*P4,IF(AT4&lt;&gt;0,SSDIBY*W4,0))</f>
        <v>4357.5583999999999</v>
      </c>
      <c r="BQ4" s="453">
        <f>IF(AT4&lt;&gt;0,SSHIBY*W4,0)</f>
        <v>1019.1064</v>
      </c>
      <c r="BR4" s="453">
        <f>IF(AND(AT4&lt;&gt;0,AN4&lt;&gt;"NE"),VLOOKUP(AN4,Retirement_Rates,4,FALSE)*W4,0)</f>
        <v>8391.8140800000001</v>
      </c>
      <c r="BS4" s="453">
        <f>IF(AND(AT4&lt;&gt;0,AJ4&lt;&gt;"PF"),LifeBY*W4,0)</f>
        <v>506.741872</v>
      </c>
      <c r="BT4" s="453">
        <f>IF(AND(AT4&lt;&gt;0,AM4="Y"),UIBY*W4,0)</f>
        <v>0</v>
      </c>
      <c r="BU4" s="453">
        <f>IF(AND(AT4&lt;&gt;0,N4&lt;&gt;"NR"),DHRBY*W4,0)</f>
        <v>0</v>
      </c>
      <c r="BV4" s="453">
        <f>IF(AT4&lt;&gt;0,WCBY*W4,0)</f>
        <v>2256.0907199999997</v>
      </c>
      <c r="BW4" s="453">
        <f>IF(OR(AND(AT4&lt;&gt;0,AJ4&lt;&gt;"PF",AN4&lt;&gt;"NE",AG4&lt;&gt;"A"),AND(AL4="E",OR(AT4=1,AT4=3))),SickBY*W4,0)</f>
        <v>0</v>
      </c>
      <c r="BX4" s="453">
        <f t="shared" si="7"/>
        <v>16531.311471999998</v>
      </c>
      <c r="BY4" s="453">
        <f t="shared" si="8"/>
        <v>0</v>
      </c>
      <c r="BZ4" s="453">
        <f t="shared" si="9"/>
        <v>0</v>
      </c>
      <c r="CA4" s="453">
        <f t="shared" si="10"/>
        <v>0</v>
      </c>
      <c r="CB4" s="453">
        <f t="shared" si="11"/>
        <v>0</v>
      </c>
      <c r="CC4" s="453">
        <f>IF(AT4&lt;&gt;0,SSHICHG*Y4,0)</f>
        <v>0</v>
      </c>
      <c r="CD4" s="453">
        <f>IF(AND(AT4&lt;&gt;0,AN4&lt;&gt;"NE"),VLOOKUP(AN4,Retirement_Rates,5,FALSE)*Y4,0)</f>
        <v>0</v>
      </c>
      <c r="CE4" s="453">
        <f>IF(AND(AT4&lt;&gt;0,AJ4&lt;&gt;"PF"),LifeCHG*Y4,0)</f>
        <v>0</v>
      </c>
      <c r="CF4" s="453">
        <f>IF(AND(AT4&lt;&gt;0,AM4="Y"),UICHG*Y4,0)</f>
        <v>-344.38767999999999</v>
      </c>
      <c r="CG4" s="453">
        <f>IF(AND(AT4&lt;&gt;0,N4&lt;&gt;"NR"),DHRCHG*Y4,0)</f>
        <v>0</v>
      </c>
      <c r="CH4" s="453">
        <f>IF(AT4&lt;&gt;0,WCCHG*Y4,0)</f>
        <v>140.56639999999987</v>
      </c>
      <c r="CI4" s="453">
        <f>IF(OR(AND(AT4&lt;&gt;0,AJ4&lt;&gt;"PF",AN4&lt;&gt;"NE",AG4&lt;&gt;"A"),AND(AL4="E",OR(AT4=1,AT4=3))),SickCHG*Y4,0)</f>
        <v>0</v>
      </c>
      <c r="CJ4" s="453">
        <f t="shared" si="12"/>
        <v>-203.82128000000012</v>
      </c>
      <c r="CK4" s="453" t="str">
        <f t="shared" si="13"/>
        <v/>
      </c>
      <c r="CL4" s="453" t="str">
        <f t="shared" si="14"/>
        <v/>
      </c>
      <c r="CM4" s="453" t="str">
        <f t="shared" si="15"/>
        <v/>
      </c>
      <c r="CN4" s="453" t="str">
        <f t="shared" si="16"/>
        <v>0421-01</v>
      </c>
    </row>
    <row r="5" spans="1:92" ht="15" thickBot="1" x14ac:dyDescent="0.35">
      <c r="A5" s="368" t="s">
        <v>161</v>
      </c>
      <c r="B5" s="368" t="s">
        <v>162</v>
      </c>
      <c r="C5" s="368" t="s">
        <v>197</v>
      </c>
      <c r="D5" s="368" t="s">
        <v>198</v>
      </c>
      <c r="E5" s="368" t="s">
        <v>165</v>
      </c>
      <c r="F5" s="369" t="s">
        <v>166</v>
      </c>
      <c r="G5" s="368" t="s">
        <v>167</v>
      </c>
      <c r="H5" s="370"/>
      <c r="I5" s="370"/>
      <c r="J5" s="368" t="s">
        <v>168</v>
      </c>
      <c r="K5" s="368" t="s">
        <v>199</v>
      </c>
      <c r="L5" s="368" t="s">
        <v>200</v>
      </c>
      <c r="M5" s="368" t="s">
        <v>171</v>
      </c>
      <c r="N5" s="368" t="s">
        <v>172</v>
      </c>
      <c r="O5" s="371">
        <v>1</v>
      </c>
      <c r="P5" s="451">
        <v>1</v>
      </c>
      <c r="Q5" s="451">
        <v>1</v>
      </c>
      <c r="R5" s="372">
        <v>80</v>
      </c>
      <c r="S5" s="451">
        <v>1</v>
      </c>
      <c r="T5" s="372">
        <v>46426.04</v>
      </c>
      <c r="U5" s="372">
        <v>105.02</v>
      </c>
      <c r="V5" s="372">
        <v>22139.42</v>
      </c>
      <c r="W5" s="372">
        <v>49774.400000000001</v>
      </c>
      <c r="X5" s="372">
        <v>23501.75</v>
      </c>
      <c r="Y5" s="372">
        <v>49774.400000000001</v>
      </c>
      <c r="Z5" s="372">
        <v>23357.41</v>
      </c>
      <c r="AA5" s="368" t="s">
        <v>201</v>
      </c>
      <c r="AB5" s="368" t="s">
        <v>202</v>
      </c>
      <c r="AC5" s="368" t="s">
        <v>203</v>
      </c>
      <c r="AD5" s="368" t="s">
        <v>204</v>
      </c>
      <c r="AE5" s="368" t="s">
        <v>199</v>
      </c>
      <c r="AF5" s="368" t="s">
        <v>177</v>
      </c>
      <c r="AG5" s="368" t="s">
        <v>178</v>
      </c>
      <c r="AH5" s="373">
        <v>23.93</v>
      </c>
      <c r="AI5" s="373">
        <v>14495.4</v>
      </c>
      <c r="AJ5" s="368" t="s">
        <v>179</v>
      </c>
      <c r="AK5" s="368" t="s">
        <v>180</v>
      </c>
      <c r="AL5" s="368" t="s">
        <v>181</v>
      </c>
      <c r="AM5" s="368" t="s">
        <v>182</v>
      </c>
      <c r="AN5" s="368" t="s">
        <v>68</v>
      </c>
      <c r="AO5" s="371">
        <v>80</v>
      </c>
      <c r="AP5" s="451">
        <v>1</v>
      </c>
      <c r="AQ5" s="451">
        <v>1</v>
      </c>
      <c r="AR5" s="449" t="s">
        <v>183</v>
      </c>
      <c r="AS5" s="453">
        <f t="shared" si="0"/>
        <v>1</v>
      </c>
      <c r="AT5">
        <f t="shared" si="1"/>
        <v>1</v>
      </c>
      <c r="AU5" s="453">
        <f>IF(AT5=0,"",IF(AND(AT5=1,M5="F",SUMIF(C2:C55,C5,AS2:AS55)&lt;=1),SUMIF(C2:C55,C5,AS2:AS55),IF(AND(AT5=1,M5="F",SUMIF(C2:C55,C5,AS2:AS55)&gt;1),1,"")))</f>
        <v>1</v>
      </c>
      <c r="AV5" s="453" t="str">
        <f>IF(AT5=0,"",IF(AND(AT5=3,M5="F",SUMIF(C2:C55,C5,AS2:AS55)&lt;=1),SUMIF(C2:C55,C5,AS2:AS55),IF(AND(AT5=3,M5="F",SUMIF(C2:C55,C5,AS2:AS55)&gt;1),1,"")))</f>
        <v/>
      </c>
      <c r="AW5" s="453">
        <f>SUMIF(C2:C55,C5,O2:O55)</f>
        <v>1</v>
      </c>
      <c r="AX5" s="453">
        <f>IF(AND(M5="F",AS5&lt;&gt;0),SUMIF(C2:C55,C5,W2:W55),0)</f>
        <v>49774.400000000001</v>
      </c>
      <c r="AY5" s="453">
        <f t="shared" si="2"/>
        <v>49774.400000000001</v>
      </c>
      <c r="AZ5" s="453" t="str">
        <f t="shared" si="3"/>
        <v/>
      </c>
      <c r="BA5" s="453">
        <f t="shared" si="4"/>
        <v>0</v>
      </c>
      <c r="BB5" s="453">
        <f>IF(AND(AT5=1,AK5="E",AU5&gt;=0.75,AW5=1),Health,IF(AND(AT5=1,AK5="E",AU5&gt;=0.75),Health*P5,IF(AND(AT5=1,AK5="E",AU5&gt;=0.5,AW5=1),PTHealth,IF(AND(AT5=1,AK5="E",AU5&gt;=0.5),PTHealth*P5,0))))</f>
        <v>11650</v>
      </c>
      <c r="BC5" s="453">
        <f>IF(AND(AT5=3,AK5="E",AV5&gt;=0.75,AW5=1),Health,IF(AND(AT5=3,AK5="E",AV5&gt;=0.75),Health*P5,IF(AND(AT5=3,AK5="E",AV5&gt;=0.5,AW5=1),PTHealth,IF(AND(AT5=3,AK5="E",AV5&gt;=0.5),PTHealth*P5,0))))</f>
        <v>0</v>
      </c>
      <c r="BD5" s="453">
        <f>IF(AND(AT5&lt;&gt;0,AX5&gt;=MAXSSDI),SSDI*MAXSSDI*P5,IF(AT5&lt;&gt;0,SSDI*W5,0))</f>
        <v>3086.0128</v>
      </c>
      <c r="BE5" s="453">
        <f>IF(AT5&lt;&gt;0,SSHI*W5,0)</f>
        <v>721.72880000000009</v>
      </c>
      <c r="BF5" s="453">
        <f>IF(AND(AT5&lt;&gt;0,AN5&lt;&gt;"NE"),VLOOKUP(AN5,Retirement_Rates,3,FALSE)*W5,0)</f>
        <v>5943.0633600000001</v>
      </c>
      <c r="BG5" s="453">
        <f>IF(AND(AT5&lt;&gt;0,AJ5&lt;&gt;"PF"),Life*W5,0)</f>
        <v>358.873424</v>
      </c>
      <c r="BH5" s="453">
        <f>IF(AND(AT5&lt;&gt;0,AM5="Y"),UI*W5,0)</f>
        <v>243.89456000000001</v>
      </c>
      <c r="BI5" s="453">
        <f>IF(AND(AT5&lt;&gt;0,N5&lt;&gt;"NR"),DHR*W5,0)</f>
        <v>0</v>
      </c>
      <c r="BJ5" s="453">
        <f>IF(AT5&lt;&gt;0,WC*W5,0)</f>
        <v>1498.2094399999999</v>
      </c>
      <c r="BK5" s="453">
        <f>IF(OR(AND(AT5&lt;&gt;0,AJ5&lt;&gt;"PF",AN5&lt;&gt;"NE",AG5&lt;&gt;"A"),AND(AL5="E",OR(AT5=1,AT5=3))),Sick*W5,0)</f>
        <v>0</v>
      </c>
      <c r="BL5" s="453">
        <f t="shared" si="5"/>
        <v>11851.782384000002</v>
      </c>
      <c r="BM5" s="453">
        <f t="shared" si="6"/>
        <v>0</v>
      </c>
      <c r="BN5" s="453">
        <f>IF(AND(AT5=1,AK5="E",AU5&gt;=0.75,AW5=1),HealthBY,IF(AND(AT5=1,AK5="E",AU5&gt;=0.75),HealthBY*P5,IF(AND(AT5=1,AK5="E",AU5&gt;=0.5,AW5=1),PTHealthBY,IF(AND(AT5=1,AK5="E",AU5&gt;=0.5),PTHealthBY*P5,0))))</f>
        <v>11650</v>
      </c>
      <c r="BO5" s="453">
        <f>IF(AND(AT5=3,AK5="E",AV5&gt;=0.75,AW5=1),HealthBY,IF(AND(AT5=3,AK5="E",AV5&gt;=0.75),HealthBY*P5,IF(AND(AT5=3,AK5="E",AV5&gt;=0.5,AW5=1),PTHealthBY,IF(AND(AT5=3,AK5="E",AV5&gt;=0.5),PTHealthBY*P5,0))))</f>
        <v>0</v>
      </c>
      <c r="BP5" s="453">
        <f>IF(AND(AT5&lt;&gt;0,(AX5+BA5)&gt;=MAXSSDIBY),SSDIBY*MAXSSDIBY*P5,IF(AT5&lt;&gt;0,SSDIBY*W5,0))</f>
        <v>3086.0128</v>
      </c>
      <c r="BQ5" s="453">
        <f>IF(AT5&lt;&gt;0,SSHIBY*W5,0)</f>
        <v>721.72880000000009</v>
      </c>
      <c r="BR5" s="453">
        <f>IF(AND(AT5&lt;&gt;0,AN5&lt;&gt;"NE"),VLOOKUP(AN5,Retirement_Rates,4,FALSE)*W5,0)</f>
        <v>5943.0633600000001</v>
      </c>
      <c r="BS5" s="453">
        <f>IF(AND(AT5&lt;&gt;0,AJ5&lt;&gt;"PF"),LifeBY*W5,0)</f>
        <v>358.873424</v>
      </c>
      <c r="BT5" s="453">
        <f>IF(AND(AT5&lt;&gt;0,AM5="Y"),UIBY*W5,0)</f>
        <v>0</v>
      </c>
      <c r="BU5" s="453">
        <f>IF(AND(AT5&lt;&gt;0,N5&lt;&gt;"NR"),DHRBY*W5,0)</f>
        <v>0</v>
      </c>
      <c r="BV5" s="453">
        <f>IF(AT5&lt;&gt;0,WCBY*W5,0)</f>
        <v>1597.7582399999999</v>
      </c>
      <c r="BW5" s="453">
        <f>IF(OR(AND(AT5&lt;&gt;0,AJ5&lt;&gt;"PF",AN5&lt;&gt;"NE",AG5&lt;&gt;"A"),AND(AL5="E",OR(AT5=1,AT5=3))),SickBY*W5,0)</f>
        <v>0</v>
      </c>
      <c r="BX5" s="453">
        <f t="shared" si="7"/>
        <v>11707.436624</v>
      </c>
      <c r="BY5" s="453">
        <f t="shared" si="8"/>
        <v>0</v>
      </c>
      <c r="BZ5" s="453">
        <f t="shared" si="9"/>
        <v>0</v>
      </c>
      <c r="CA5" s="453">
        <f t="shared" si="10"/>
        <v>0</v>
      </c>
      <c r="CB5" s="453">
        <f t="shared" si="11"/>
        <v>0</v>
      </c>
      <c r="CC5" s="453">
        <f>IF(AT5&lt;&gt;0,SSHICHG*Y5,0)</f>
        <v>0</v>
      </c>
      <c r="CD5" s="453">
        <f>IF(AND(AT5&lt;&gt;0,AN5&lt;&gt;"NE"),VLOOKUP(AN5,Retirement_Rates,5,FALSE)*Y5,0)</f>
        <v>0</v>
      </c>
      <c r="CE5" s="453">
        <f>IF(AND(AT5&lt;&gt;0,AJ5&lt;&gt;"PF"),LifeCHG*Y5,0)</f>
        <v>0</v>
      </c>
      <c r="CF5" s="453">
        <f>IF(AND(AT5&lt;&gt;0,AM5="Y"),UICHG*Y5,0)</f>
        <v>-243.89456000000001</v>
      </c>
      <c r="CG5" s="453">
        <f>IF(AND(AT5&lt;&gt;0,N5&lt;&gt;"NR"),DHRCHG*Y5,0)</f>
        <v>0</v>
      </c>
      <c r="CH5" s="453">
        <f>IF(AT5&lt;&gt;0,WCCHG*Y5,0)</f>
        <v>99.548799999999915</v>
      </c>
      <c r="CI5" s="453">
        <f>IF(OR(AND(AT5&lt;&gt;0,AJ5&lt;&gt;"PF",AN5&lt;&gt;"NE",AG5&lt;&gt;"A"),AND(AL5="E",OR(AT5=1,AT5=3))),SickCHG*Y5,0)</f>
        <v>0</v>
      </c>
      <c r="CJ5" s="453">
        <f t="shared" si="12"/>
        <v>-144.3457600000001</v>
      </c>
      <c r="CK5" s="453" t="str">
        <f t="shared" si="13"/>
        <v/>
      </c>
      <c r="CL5" s="453" t="str">
        <f t="shared" si="14"/>
        <v/>
      </c>
      <c r="CM5" s="453" t="str">
        <f t="shared" si="15"/>
        <v/>
      </c>
      <c r="CN5" s="453" t="str">
        <f t="shared" si="16"/>
        <v>0421-01</v>
      </c>
    </row>
    <row r="6" spans="1:92" ht="15" thickBot="1" x14ac:dyDescent="0.35">
      <c r="A6" s="368" t="s">
        <v>161</v>
      </c>
      <c r="B6" s="368" t="s">
        <v>162</v>
      </c>
      <c r="C6" s="368" t="s">
        <v>205</v>
      </c>
      <c r="D6" s="368" t="s">
        <v>206</v>
      </c>
      <c r="E6" s="368" t="s">
        <v>165</v>
      </c>
      <c r="F6" s="369" t="s">
        <v>166</v>
      </c>
      <c r="G6" s="368" t="s">
        <v>167</v>
      </c>
      <c r="H6" s="370"/>
      <c r="I6" s="370"/>
      <c r="J6" s="368" t="s">
        <v>168</v>
      </c>
      <c r="K6" s="368" t="s">
        <v>207</v>
      </c>
      <c r="L6" s="368" t="s">
        <v>200</v>
      </c>
      <c r="M6" s="368" t="s">
        <v>171</v>
      </c>
      <c r="N6" s="368" t="s">
        <v>172</v>
      </c>
      <c r="O6" s="371">
        <v>1</v>
      </c>
      <c r="P6" s="451">
        <v>1</v>
      </c>
      <c r="Q6" s="451">
        <v>1</v>
      </c>
      <c r="R6" s="372">
        <v>80</v>
      </c>
      <c r="S6" s="451">
        <v>1</v>
      </c>
      <c r="T6" s="372">
        <v>67728.55</v>
      </c>
      <c r="U6" s="372">
        <v>0</v>
      </c>
      <c r="V6" s="372">
        <v>26196.55</v>
      </c>
      <c r="W6" s="372">
        <v>29952</v>
      </c>
      <c r="X6" s="372">
        <v>18781.84</v>
      </c>
      <c r="Y6" s="372">
        <v>29952</v>
      </c>
      <c r="Z6" s="372">
        <v>18694.98</v>
      </c>
      <c r="AA6" s="368" t="s">
        <v>208</v>
      </c>
      <c r="AB6" s="368" t="s">
        <v>209</v>
      </c>
      <c r="AC6" s="368" t="s">
        <v>210</v>
      </c>
      <c r="AD6" s="368" t="s">
        <v>211</v>
      </c>
      <c r="AE6" s="368" t="s">
        <v>207</v>
      </c>
      <c r="AF6" s="368" t="s">
        <v>177</v>
      </c>
      <c r="AG6" s="368" t="s">
        <v>178</v>
      </c>
      <c r="AH6" s="373">
        <v>14.4</v>
      </c>
      <c r="AI6" s="373">
        <v>34414.9</v>
      </c>
      <c r="AJ6" s="368" t="s">
        <v>179</v>
      </c>
      <c r="AK6" s="368" t="s">
        <v>180</v>
      </c>
      <c r="AL6" s="368" t="s">
        <v>181</v>
      </c>
      <c r="AM6" s="368" t="s">
        <v>182</v>
      </c>
      <c r="AN6" s="368" t="s">
        <v>68</v>
      </c>
      <c r="AO6" s="371">
        <v>80</v>
      </c>
      <c r="AP6" s="451">
        <v>1</v>
      </c>
      <c r="AQ6" s="451">
        <v>1</v>
      </c>
      <c r="AR6" s="449" t="s">
        <v>183</v>
      </c>
      <c r="AS6" s="453">
        <f t="shared" si="0"/>
        <v>1</v>
      </c>
      <c r="AT6">
        <f t="shared" si="1"/>
        <v>1</v>
      </c>
      <c r="AU6" s="453">
        <f>IF(AT6=0,"",IF(AND(AT6=1,M6="F",SUMIF(C2:C55,C6,AS2:AS55)&lt;=1),SUMIF(C2:C55,C6,AS2:AS55),IF(AND(AT6=1,M6="F",SUMIF(C2:C55,C6,AS2:AS55)&gt;1),1,"")))</f>
        <v>1</v>
      </c>
      <c r="AV6" s="453" t="str">
        <f>IF(AT6=0,"",IF(AND(AT6=3,M6="F",SUMIF(C2:C55,C6,AS2:AS55)&lt;=1),SUMIF(C2:C55,C6,AS2:AS55),IF(AND(AT6=3,M6="F",SUMIF(C2:C55,C6,AS2:AS55)&gt;1),1,"")))</f>
        <v/>
      </c>
      <c r="AW6" s="453">
        <f>SUMIF(C2:C55,C6,O2:O55)</f>
        <v>1</v>
      </c>
      <c r="AX6" s="453">
        <f>IF(AND(M6="F",AS6&lt;&gt;0),SUMIF(C2:C55,C6,W2:W55),0)</f>
        <v>29952</v>
      </c>
      <c r="AY6" s="453">
        <f t="shared" si="2"/>
        <v>29952</v>
      </c>
      <c r="AZ6" s="453" t="str">
        <f t="shared" si="3"/>
        <v/>
      </c>
      <c r="BA6" s="453">
        <f t="shared" si="4"/>
        <v>0</v>
      </c>
      <c r="BB6" s="453">
        <f>IF(AND(AT6=1,AK6="E",AU6&gt;=0.75,AW6=1),Health,IF(AND(AT6=1,AK6="E",AU6&gt;=0.75),Health*P6,IF(AND(AT6=1,AK6="E",AU6&gt;=0.5,AW6=1),PTHealth,IF(AND(AT6=1,AK6="E",AU6&gt;=0.5),PTHealth*P6,0))))</f>
        <v>11650</v>
      </c>
      <c r="BC6" s="453">
        <f>IF(AND(AT6=3,AK6="E",AV6&gt;=0.75,AW6=1),Health,IF(AND(AT6=3,AK6="E",AV6&gt;=0.75),Health*P6,IF(AND(AT6=3,AK6="E",AV6&gt;=0.5,AW6=1),PTHealth,IF(AND(AT6=3,AK6="E",AV6&gt;=0.5),PTHealth*P6,0))))</f>
        <v>0</v>
      </c>
      <c r="BD6" s="453">
        <f>IF(AND(AT6&lt;&gt;0,AX6&gt;=MAXSSDI),SSDI*MAXSSDI*P6,IF(AT6&lt;&gt;0,SSDI*W6,0))</f>
        <v>1857.0239999999999</v>
      </c>
      <c r="BE6" s="453">
        <f>IF(AT6&lt;&gt;0,SSHI*W6,0)</f>
        <v>434.30400000000003</v>
      </c>
      <c r="BF6" s="453">
        <f>IF(AND(AT6&lt;&gt;0,AN6&lt;&gt;"NE"),VLOOKUP(AN6,Retirement_Rates,3,FALSE)*W6,0)</f>
        <v>3576.2688000000003</v>
      </c>
      <c r="BG6" s="453">
        <f>IF(AND(AT6&lt;&gt;0,AJ6&lt;&gt;"PF"),Life*W6,0)</f>
        <v>215.95392000000001</v>
      </c>
      <c r="BH6" s="453">
        <f>IF(AND(AT6&lt;&gt;0,AM6="Y"),UI*W6,0)</f>
        <v>146.76480000000001</v>
      </c>
      <c r="BI6" s="453">
        <f>IF(AND(AT6&lt;&gt;0,N6&lt;&gt;"NR"),DHR*W6,0)</f>
        <v>0</v>
      </c>
      <c r="BJ6" s="453">
        <f>IF(AT6&lt;&gt;0,WC*W6,0)</f>
        <v>901.5551999999999</v>
      </c>
      <c r="BK6" s="453">
        <f>IF(OR(AND(AT6&lt;&gt;0,AJ6&lt;&gt;"PF",AN6&lt;&gt;"NE",AG6&lt;&gt;"A"),AND(AL6="E",OR(AT6=1,AT6=3))),Sick*W6,0)</f>
        <v>0</v>
      </c>
      <c r="BL6" s="453">
        <f t="shared" si="5"/>
        <v>7131.8707199999999</v>
      </c>
      <c r="BM6" s="453">
        <f t="shared" si="6"/>
        <v>0</v>
      </c>
      <c r="BN6" s="453">
        <f>IF(AND(AT6=1,AK6="E",AU6&gt;=0.75,AW6=1),HealthBY,IF(AND(AT6=1,AK6="E",AU6&gt;=0.75),HealthBY*P6,IF(AND(AT6=1,AK6="E",AU6&gt;=0.5,AW6=1),PTHealthBY,IF(AND(AT6=1,AK6="E",AU6&gt;=0.5),PTHealthBY*P6,0))))</f>
        <v>11650</v>
      </c>
      <c r="BO6" s="453">
        <f>IF(AND(AT6=3,AK6="E",AV6&gt;=0.75,AW6=1),HealthBY,IF(AND(AT6=3,AK6="E",AV6&gt;=0.75),HealthBY*P6,IF(AND(AT6=3,AK6="E",AV6&gt;=0.5,AW6=1),PTHealthBY,IF(AND(AT6=3,AK6="E",AV6&gt;=0.5),PTHealthBY*P6,0))))</f>
        <v>0</v>
      </c>
      <c r="BP6" s="453">
        <f>IF(AND(AT6&lt;&gt;0,(AX6+BA6)&gt;=MAXSSDIBY),SSDIBY*MAXSSDIBY*P6,IF(AT6&lt;&gt;0,SSDIBY*W6,0))</f>
        <v>1857.0239999999999</v>
      </c>
      <c r="BQ6" s="453">
        <f>IF(AT6&lt;&gt;0,SSHIBY*W6,0)</f>
        <v>434.30400000000003</v>
      </c>
      <c r="BR6" s="453">
        <f>IF(AND(AT6&lt;&gt;0,AN6&lt;&gt;"NE"),VLOOKUP(AN6,Retirement_Rates,4,FALSE)*W6,0)</f>
        <v>3576.2688000000003</v>
      </c>
      <c r="BS6" s="453">
        <f>IF(AND(AT6&lt;&gt;0,AJ6&lt;&gt;"PF"),LifeBY*W6,0)</f>
        <v>215.95392000000001</v>
      </c>
      <c r="BT6" s="453">
        <f>IF(AND(AT6&lt;&gt;0,AM6="Y"),UIBY*W6,0)</f>
        <v>0</v>
      </c>
      <c r="BU6" s="453">
        <f>IF(AND(AT6&lt;&gt;0,N6&lt;&gt;"NR"),DHRBY*W6,0)</f>
        <v>0</v>
      </c>
      <c r="BV6" s="453">
        <f>IF(AT6&lt;&gt;0,WCBY*W6,0)</f>
        <v>961.4591999999999</v>
      </c>
      <c r="BW6" s="453">
        <f>IF(OR(AND(AT6&lt;&gt;0,AJ6&lt;&gt;"PF",AN6&lt;&gt;"NE",AG6&lt;&gt;"A"),AND(AL6="E",OR(AT6=1,AT6=3))),SickBY*W6,0)</f>
        <v>0</v>
      </c>
      <c r="BX6" s="453">
        <f t="shared" si="7"/>
        <v>7045.0099200000004</v>
      </c>
      <c r="BY6" s="453">
        <f t="shared" si="8"/>
        <v>0</v>
      </c>
      <c r="BZ6" s="453">
        <f t="shared" si="9"/>
        <v>0</v>
      </c>
      <c r="CA6" s="453">
        <f t="shared" si="10"/>
        <v>0</v>
      </c>
      <c r="CB6" s="453">
        <f t="shared" si="11"/>
        <v>0</v>
      </c>
      <c r="CC6" s="453">
        <f>IF(AT6&lt;&gt;0,SSHICHG*Y6,0)</f>
        <v>0</v>
      </c>
      <c r="CD6" s="453">
        <f>IF(AND(AT6&lt;&gt;0,AN6&lt;&gt;"NE"),VLOOKUP(AN6,Retirement_Rates,5,FALSE)*Y6,0)</f>
        <v>0</v>
      </c>
      <c r="CE6" s="453">
        <f>IF(AND(AT6&lt;&gt;0,AJ6&lt;&gt;"PF"),LifeCHG*Y6,0)</f>
        <v>0</v>
      </c>
      <c r="CF6" s="453">
        <f>IF(AND(AT6&lt;&gt;0,AM6="Y"),UICHG*Y6,0)</f>
        <v>-146.76480000000001</v>
      </c>
      <c r="CG6" s="453">
        <f>IF(AND(AT6&lt;&gt;0,N6&lt;&gt;"NR"),DHRCHG*Y6,0)</f>
        <v>0</v>
      </c>
      <c r="CH6" s="453">
        <f>IF(AT6&lt;&gt;0,WCCHG*Y6,0)</f>
        <v>59.903999999999947</v>
      </c>
      <c r="CI6" s="453">
        <f>IF(OR(AND(AT6&lt;&gt;0,AJ6&lt;&gt;"PF",AN6&lt;&gt;"NE",AG6&lt;&gt;"A"),AND(AL6="E",OR(AT6=1,AT6=3))),SickCHG*Y6,0)</f>
        <v>0</v>
      </c>
      <c r="CJ6" s="453">
        <f t="shared" si="12"/>
        <v>-86.860800000000069</v>
      </c>
      <c r="CK6" s="453" t="str">
        <f t="shared" si="13"/>
        <v/>
      </c>
      <c r="CL6" s="453" t="str">
        <f t="shared" si="14"/>
        <v/>
      </c>
      <c r="CM6" s="453" t="str">
        <f t="shared" si="15"/>
        <v/>
      </c>
      <c r="CN6" s="453" t="str">
        <f t="shared" si="16"/>
        <v>0421-01</v>
      </c>
    </row>
    <row r="7" spans="1:92" ht="15" thickBot="1" x14ac:dyDescent="0.35">
      <c r="A7" s="368" t="s">
        <v>161</v>
      </c>
      <c r="B7" s="368" t="s">
        <v>162</v>
      </c>
      <c r="C7" s="368" t="s">
        <v>212</v>
      </c>
      <c r="D7" s="368" t="s">
        <v>213</v>
      </c>
      <c r="E7" s="368" t="s">
        <v>165</v>
      </c>
      <c r="F7" s="369" t="s">
        <v>166</v>
      </c>
      <c r="G7" s="368" t="s">
        <v>167</v>
      </c>
      <c r="H7" s="370"/>
      <c r="I7" s="370"/>
      <c r="J7" s="368" t="s">
        <v>168</v>
      </c>
      <c r="K7" s="368" t="s">
        <v>214</v>
      </c>
      <c r="L7" s="368" t="s">
        <v>170</v>
      </c>
      <c r="M7" s="368" t="s">
        <v>171</v>
      </c>
      <c r="N7" s="368" t="s">
        <v>172</v>
      </c>
      <c r="O7" s="371">
        <v>1</v>
      </c>
      <c r="P7" s="451">
        <v>1</v>
      </c>
      <c r="Q7" s="451">
        <v>1</v>
      </c>
      <c r="R7" s="372">
        <v>80</v>
      </c>
      <c r="S7" s="451">
        <v>1</v>
      </c>
      <c r="T7" s="372">
        <v>51874.1</v>
      </c>
      <c r="U7" s="372">
        <v>0</v>
      </c>
      <c r="V7" s="372">
        <v>23375.7</v>
      </c>
      <c r="W7" s="372">
        <v>54184</v>
      </c>
      <c r="X7" s="372">
        <v>24551.71</v>
      </c>
      <c r="Y7" s="372">
        <v>54184</v>
      </c>
      <c r="Z7" s="372">
        <v>24394.58</v>
      </c>
      <c r="AA7" s="368" t="s">
        <v>215</v>
      </c>
      <c r="AB7" s="368" t="s">
        <v>216</v>
      </c>
      <c r="AC7" s="368" t="s">
        <v>217</v>
      </c>
      <c r="AD7" s="368" t="s">
        <v>218</v>
      </c>
      <c r="AE7" s="368" t="s">
        <v>214</v>
      </c>
      <c r="AF7" s="368" t="s">
        <v>219</v>
      </c>
      <c r="AG7" s="368" t="s">
        <v>178</v>
      </c>
      <c r="AH7" s="373">
        <v>26.05</v>
      </c>
      <c r="AI7" s="373">
        <v>25028.799999999999</v>
      </c>
      <c r="AJ7" s="368" t="s">
        <v>179</v>
      </c>
      <c r="AK7" s="368" t="s">
        <v>180</v>
      </c>
      <c r="AL7" s="368" t="s">
        <v>181</v>
      </c>
      <c r="AM7" s="368" t="s">
        <v>182</v>
      </c>
      <c r="AN7" s="368" t="s">
        <v>68</v>
      </c>
      <c r="AO7" s="371">
        <v>80</v>
      </c>
      <c r="AP7" s="451">
        <v>1</v>
      </c>
      <c r="AQ7" s="451">
        <v>1</v>
      </c>
      <c r="AR7" s="449" t="s">
        <v>183</v>
      </c>
      <c r="AS7" s="453">
        <f t="shared" si="0"/>
        <v>1</v>
      </c>
      <c r="AT7">
        <f t="shared" si="1"/>
        <v>1</v>
      </c>
      <c r="AU7" s="453">
        <f>IF(AT7=0,"",IF(AND(AT7=1,M7="F",SUMIF(C2:C55,C7,AS2:AS55)&lt;=1),SUMIF(C2:C55,C7,AS2:AS55),IF(AND(AT7=1,M7="F",SUMIF(C2:C55,C7,AS2:AS55)&gt;1),1,"")))</f>
        <v>1</v>
      </c>
      <c r="AV7" s="453" t="str">
        <f>IF(AT7=0,"",IF(AND(AT7=3,M7="F",SUMIF(C2:C55,C7,AS2:AS55)&lt;=1),SUMIF(C2:C55,C7,AS2:AS55),IF(AND(AT7=3,M7="F",SUMIF(C2:C55,C7,AS2:AS55)&gt;1),1,"")))</f>
        <v/>
      </c>
      <c r="AW7" s="453">
        <f>SUMIF(C2:C55,C7,O2:O55)</f>
        <v>1</v>
      </c>
      <c r="AX7" s="453">
        <f>IF(AND(M7="F",AS7&lt;&gt;0),SUMIF(C2:C55,C7,W2:W55),0)</f>
        <v>54184</v>
      </c>
      <c r="AY7" s="453">
        <f t="shared" si="2"/>
        <v>54184</v>
      </c>
      <c r="AZ7" s="453" t="str">
        <f t="shared" si="3"/>
        <v/>
      </c>
      <c r="BA7" s="453">
        <f t="shared" si="4"/>
        <v>0</v>
      </c>
      <c r="BB7" s="453">
        <f>IF(AND(AT7=1,AK7="E",AU7&gt;=0.75,AW7=1),Health,IF(AND(AT7=1,AK7="E",AU7&gt;=0.75),Health*P7,IF(AND(AT7=1,AK7="E",AU7&gt;=0.5,AW7=1),PTHealth,IF(AND(AT7=1,AK7="E",AU7&gt;=0.5),PTHealth*P7,0))))</f>
        <v>11650</v>
      </c>
      <c r="BC7" s="453">
        <f>IF(AND(AT7=3,AK7="E",AV7&gt;=0.75,AW7=1),Health,IF(AND(AT7=3,AK7="E",AV7&gt;=0.75),Health*P7,IF(AND(AT7=3,AK7="E",AV7&gt;=0.5,AW7=1),PTHealth,IF(AND(AT7=3,AK7="E",AV7&gt;=0.5),PTHealth*P7,0))))</f>
        <v>0</v>
      </c>
      <c r="BD7" s="453">
        <f>IF(AND(AT7&lt;&gt;0,AX7&gt;=MAXSSDI),SSDI*MAXSSDI*P7,IF(AT7&lt;&gt;0,SSDI*W7,0))</f>
        <v>3359.4079999999999</v>
      </c>
      <c r="BE7" s="453">
        <f>IF(AT7&lt;&gt;0,SSHI*W7,0)</f>
        <v>785.66800000000001</v>
      </c>
      <c r="BF7" s="453">
        <f>IF(AND(AT7&lt;&gt;0,AN7&lt;&gt;"NE"),VLOOKUP(AN7,Retirement_Rates,3,FALSE)*W7,0)</f>
        <v>6469.5696000000007</v>
      </c>
      <c r="BG7" s="453">
        <f>IF(AND(AT7&lt;&gt;0,AJ7&lt;&gt;"PF"),Life*W7,0)</f>
        <v>390.66664000000003</v>
      </c>
      <c r="BH7" s="453">
        <f>IF(AND(AT7&lt;&gt;0,AM7="Y"),UI*W7,0)</f>
        <v>265.5016</v>
      </c>
      <c r="BI7" s="453">
        <f>IF(AND(AT7&lt;&gt;0,N7&lt;&gt;"NR"),DHR*W7,0)</f>
        <v>0</v>
      </c>
      <c r="BJ7" s="453">
        <f>IF(AT7&lt;&gt;0,WC*W7,0)</f>
        <v>1630.9384</v>
      </c>
      <c r="BK7" s="453">
        <f>IF(OR(AND(AT7&lt;&gt;0,AJ7&lt;&gt;"PF",AN7&lt;&gt;"NE",AG7&lt;&gt;"A"),AND(AL7="E",OR(AT7=1,AT7=3))),Sick*W7,0)</f>
        <v>0</v>
      </c>
      <c r="BL7" s="453">
        <f t="shared" si="5"/>
        <v>12901.752239999998</v>
      </c>
      <c r="BM7" s="453">
        <f t="shared" si="6"/>
        <v>0</v>
      </c>
      <c r="BN7" s="453">
        <f>IF(AND(AT7=1,AK7="E",AU7&gt;=0.75,AW7=1),HealthBY,IF(AND(AT7=1,AK7="E",AU7&gt;=0.75),HealthBY*P7,IF(AND(AT7=1,AK7="E",AU7&gt;=0.5,AW7=1),PTHealthBY,IF(AND(AT7=1,AK7="E",AU7&gt;=0.5),PTHealthBY*P7,0))))</f>
        <v>11650</v>
      </c>
      <c r="BO7" s="453">
        <f>IF(AND(AT7=3,AK7="E",AV7&gt;=0.75,AW7=1),HealthBY,IF(AND(AT7=3,AK7="E",AV7&gt;=0.75),HealthBY*P7,IF(AND(AT7=3,AK7="E",AV7&gt;=0.5,AW7=1),PTHealthBY,IF(AND(AT7=3,AK7="E",AV7&gt;=0.5),PTHealthBY*P7,0))))</f>
        <v>0</v>
      </c>
      <c r="BP7" s="453">
        <f>IF(AND(AT7&lt;&gt;0,(AX7+BA7)&gt;=MAXSSDIBY),SSDIBY*MAXSSDIBY*P7,IF(AT7&lt;&gt;0,SSDIBY*W7,0))</f>
        <v>3359.4079999999999</v>
      </c>
      <c r="BQ7" s="453">
        <f>IF(AT7&lt;&gt;0,SSHIBY*W7,0)</f>
        <v>785.66800000000001</v>
      </c>
      <c r="BR7" s="453">
        <f>IF(AND(AT7&lt;&gt;0,AN7&lt;&gt;"NE"),VLOOKUP(AN7,Retirement_Rates,4,FALSE)*W7,0)</f>
        <v>6469.5696000000007</v>
      </c>
      <c r="BS7" s="453">
        <f>IF(AND(AT7&lt;&gt;0,AJ7&lt;&gt;"PF"),LifeBY*W7,0)</f>
        <v>390.66664000000003</v>
      </c>
      <c r="BT7" s="453">
        <f>IF(AND(AT7&lt;&gt;0,AM7="Y"),UIBY*W7,0)</f>
        <v>0</v>
      </c>
      <c r="BU7" s="453">
        <f>IF(AND(AT7&lt;&gt;0,N7&lt;&gt;"NR"),DHRBY*W7,0)</f>
        <v>0</v>
      </c>
      <c r="BV7" s="453">
        <f>IF(AT7&lt;&gt;0,WCBY*W7,0)</f>
        <v>1739.3063999999997</v>
      </c>
      <c r="BW7" s="453">
        <f>IF(OR(AND(AT7&lt;&gt;0,AJ7&lt;&gt;"PF",AN7&lt;&gt;"NE",AG7&lt;&gt;"A"),AND(AL7="E",OR(AT7=1,AT7=3))),SickBY*W7,0)</f>
        <v>0</v>
      </c>
      <c r="BX7" s="453">
        <f t="shared" si="7"/>
        <v>12744.618639999999</v>
      </c>
      <c r="BY7" s="453">
        <f t="shared" si="8"/>
        <v>0</v>
      </c>
      <c r="BZ7" s="453">
        <f t="shared" si="9"/>
        <v>0</v>
      </c>
      <c r="CA7" s="453">
        <f t="shared" si="10"/>
        <v>0</v>
      </c>
      <c r="CB7" s="453">
        <f t="shared" si="11"/>
        <v>0</v>
      </c>
      <c r="CC7" s="453">
        <f>IF(AT7&lt;&gt;0,SSHICHG*Y7,0)</f>
        <v>0</v>
      </c>
      <c r="CD7" s="453">
        <f>IF(AND(AT7&lt;&gt;0,AN7&lt;&gt;"NE"),VLOOKUP(AN7,Retirement_Rates,5,FALSE)*Y7,0)</f>
        <v>0</v>
      </c>
      <c r="CE7" s="453">
        <f>IF(AND(AT7&lt;&gt;0,AJ7&lt;&gt;"PF"),LifeCHG*Y7,0)</f>
        <v>0</v>
      </c>
      <c r="CF7" s="453">
        <f>IF(AND(AT7&lt;&gt;0,AM7="Y"),UICHG*Y7,0)</f>
        <v>-265.5016</v>
      </c>
      <c r="CG7" s="453">
        <f>IF(AND(AT7&lt;&gt;0,N7&lt;&gt;"NR"),DHRCHG*Y7,0)</f>
        <v>0</v>
      </c>
      <c r="CH7" s="453">
        <f>IF(AT7&lt;&gt;0,WCCHG*Y7,0)</f>
        <v>108.36799999999991</v>
      </c>
      <c r="CI7" s="453">
        <f>IF(OR(AND(AT7&lt;&gt;0,AJ7&lt;&gt;"PF",AN7&lt;&gt;"NE",AG7&lt;&gt;"A"),AND(AL7="E",OR(AT7=1,AT7=3))),SickCHG*Y7,0)</f>
        <v>0</v>
      </c>
      <c r="CJ7" s="453">
        <f t="shared" si="12"/>
        <v>-157.13360000000009</v>
      </c>
      <c r="CK7" s="453" t="str">
        <f t="shared" si="13"/>
        <v/>
      </c>
      <c r="CL7" s="453" t="str">
        <f t="shared" si="14"/>
        <v/>
      </c>
      <c r="CM7" s="453" t="str">
        <f t="shared" si="15"/>
        <v/>
      </c>
      <c r="CN7" s="453" t="str">
        <f t="shared" si="16"/>
        <v>0421-01</v>
      </c>
    </row>
    <row r="8" spans="1:92" ht="15" thickBot="1" x14ac:dyDescent="0.35">
      <c r="A8" s="368" t="s">
        <v>161</v>
      </c>
      <c r="B8" s="368" t="s">
        <v>162</v>
      </c>
      <c r="C8" s="368" t="s">
        <v>220</v>
      </c>
      <c r="D8" s="368" t="s">
        <v>221</v>
      </c>
      <c r="E8" s="368" t="s">
        <v>165</v>
      </c>
      <c r="F8" s="369" t="s">
        <v>166</v>
      </c>
      <c r="G8" s="368" t="s">
        <v>167</v>
      </c>
      <c r="H8" s="370"/>
      <c r="I8" s="370"/>
      <c r="J8" s="368" t="s">
        <v>168</v>
      </c>
      <c r="K8" s="368" t="s">
        <v>222</v>
      </c>
      <c r="L8" s="368" t="s">
        <v>200</v>
      </c>
      <c r="M8" s="368" t="s">
        <v>171</v>
      </c>
      <c r="N8" s="368" t="s">
        <v>172</v>
      </c>
      <c r="O8" s="371">
        <v>1</v>
      </c>
      <c r="P8" s="451">
        <v>1</v>
      </c>
      <c r="Q8" s="451">
        <v>1</v>
      </c>
      <c r="R8" s="372">
        <v>80</v>
      </c>
      <c r="S8" s="451">
        <v>1</v>
      </c>
      <c r="T8" s="372">
        <v>76147.199999999997</v>
      </c>
      <c r="U8" s="372">
        <v>0</v>
      </c>
      <c r="V8" s="372">
        <v>25114.639999999999</v>
      </c>
      <c r="W8" s="372">
        <v>116584</v>
      </c>
      <c r="X8" s="372">
        <v>38838.519999999997</v>
      </c>
      <c r="Y8" s="372">
        <v>116584</v>
      </c>
      <c r="Z8" s="372">
        <v>39071.69</v>
      </c>
      <c r="AA8" s="368" t="s">
        <v>223</v>
      </c>
      <c r="AB8" s="368" t="s">
        <v>224</v>
      </c>
      <c r="AC8" s="368" t="s">
        <v>225</v>
      </c>
      <c r="AD8" s="368" t="s">
        <v>226</v>
      </c>
      <c r="AE8" s="368" t="s">
        <v>222</v>
      </c>
      <c r="AF8" s="368" t="s">
        <v>177</v>
      </c>
      <c r="AG8" s="368" t="s">
        <v>178</v>
      </c>
      <c r="AH8" s="373">
        <v>56.05</v>
      </c>
      <c r="AI8" s="371">
        <v>1520</v>
      </c>
      <c r="AJ8" s="368" t="s">
        <v>179</v>
      </c>
      <c r="AK8" s="368" t="s">
        <v>180</v>
      </c>
      <c r="AL8" s="368" t="s">
        <v>181</v>
      </c>
      <c r="AM8" s="368" t="s">
        <v>181</v>
      </c>
      <c r="AN8" s="368" t="s">
        <v>68</v>
      </c>
      <c r="AO8" s="371">
        <v>80</v>
      </c>
      <c r="AP8" s="451">
        <v>1</v>
      </c>
      <c r="AQ8" s="451">
        <v>1</v>
      </c>
      <c r="AR8" s="449" t="s">
        <v>183</v>
      </c>
      <c r="AS8" s="453">
        <f t="shared" si="0"/>
        <v>1</v>
      </c>
      <c r="AT8">
        <f t="shared" si="1"/>
        <v>1</v>
      </c>
      <c r="AU8" s="453">
        <f>IF(AT8=0,"",IF(AND(AT8=1,M8="F",SUMIF(C2:C55,C8,AS2:AS55)&lt;=1),SUMIF(C2:C55,C8,AS2:AS55),IF(AND(AT8=1,M8="F",SUMIF(C2:C55,C8,AS2:AS55)&gt;1),1,"")))</f>
        <v>1</v>
      </c>
      <c r="AV8" s="453" t="str">
        <f>IF(AT8=0,"",IF(AND(AT8=3,M8="F",SUMIF(C2:C55,C8,AS2:AS55)&lt;=1),SUMIF(C2:C55,C8,AS2:AS55),IF(AND(AT8=3,M8="F",SUMIF(C2:C55,C8,AS2:AS55)&gt;1),1,"")))</f>
        <v/>
      </c>
      <c r="AW8" s="453">
        <f>SUMIF(C2:C55,C8,O2:O55)</f>
        <v>1</v>
      </c>
      <c r="AX8" s="453">
        <f>IF(AND(M8="F",AS8&lt;&gt;0),SUMIF(C2:C55,C8,W2:W55),0)</f>
        <v>116584</v>
      </c>
      <c r="AY8" s="453">
        <f t="shared" si="2"/>
        <v>116584</v>
      </c>
      <c r="AZ8" s="453" t="str">
        <f t="shared" si="3"/>
        <v/>
      </c>
      <c r="BA8" s="453">
        <f t="shared" si="4"/>
        <v>0</v>
      </c>
      <c r="BB8" s="453">
        <f>IF(AND(AT8=1,AK8="E",AU8&gt;=0.75,AW8=1),Health,IF(AND(AT8=1,AK8="E",AU8&gt;=0.75),Health*P8,IF(AND(AT8=1,AK8="E",AU8&gt;=0.5,AW8=1),PTHealth,IF(AND(AT8=1,AK8="E",AU8&gt;=0.5),PTHealth*P8,0))))</f>
        <v>11650</v>
      </c>
      <c r="BC8" s="453">
        <f>IF(AND(AT8=3,AK8="E",AV8&gt;=0.75,AW8=1),Health,IF(AND(AT8=3,AK8="E",AV8&gt;=0.75),Health*P8,IF(AND(AT8=3,AK8="E",AV8&gt;=0.5,AW8=1),PTHealth,IF(AND(AT8=3,AK8="E",AV8&gt;=0.5),PTHealth*P8,0))))</f>
        <v>0</v>
      </c>
      <c r="BD8" s="453">
        <f>IF(AND(AT8&lt;&gt;0,AX8&gt;=MAXSSDI),SSDI*MAXSSDI*P8,IF(AT8&lt;&gt;0,SSDI*W8,0))</f>
        <v>7228.2079999999996</v>
      </c>
      <c r="BE8" s="453">
        <f>IF(AT8&lt;&gt;0,SSHI*W8,0)</f>
        <v>1690.4680000000001</v>
      </c>
      <c r="BF8" s="453">
        <f>IF(AND(AT8&lt;&gt;0,AN8&lt;&gt;"NE"),VLOOKUP(AN8,Retirement_Rates,3,FALSE)*W8,0)</f>
        <v>13920.1296</v>
      </c>
      <c r="BG8" s="453">
        <f>IF(AND(AT8&lt;&gt;0,AJ8&lt;&gt;"PF"),Life*W8,0)</f>
        <v>840.57064000000003</v>
      </c>
      <c r="BH8" s="453">
        <f>IF(AND(AT8&lt;&gt;0,AM8="Y"),UI*W8,0)</f>
        <v>0</v>
      </c>
      <c r="BI8" s="453">
        <f>IF(AND(AT8&lt;&gt;0,N8&lt;&gt;"NR"),DHR*W8,0)</f>
        <v>0</v>
      </c>
      <c r="BJ8" s="453">
        <f>IF(AT8&lt;&gt;0,WC*W8,0)</f>
        <v>3509.1783999999998</v>
      </c>
      <c r="BK8" s="453">
        <f>IF(OR(AND(AT8&lt;&gt;0,AJ8&lt;&gt;"PF",AN8&lt;&gt;"NE",AG8&lt;&gt;"A"),AND(AL8="E",OR(AT8=1,AT8=3))),Sick*W8,0)</f>
        <v>0</v>
      </c>
      <c r="BL8" s="453">
        <f t="shared" si="5"/>
        <v>27188.554640000002</v>
      </c>
      <c r="BM8" s="453">
        <f t="shared" si="6"/>
        <v>0</v>
      </c>
      <c r="BN8" s="453">
        <f>IF(AND(AT8=1,AK8="E",AU8&gt;=0.75,AW8=1),HealthBY,IF(AND(AT8=1,AK8="E",AU8&gt;=0.75),HealthBY*P8,IF(AND(AT8=1,AK8="E",AU8&gt;=0.5,AW8=1),PTHealthBY,IF(AND(AT8=1,AK8="E",AU8&gt;=0.5),PTHealthBY*P8,0))))</f>
        <v>11650</v>
      </c>
      <c r="BO8" s="453">
        <f>IF(AND(AT8=3,AK8="E",AV8&gt;=0.75,AW8=1),HealthBY,IF(AND(AT8=3,AK8="E",AV8&gt;=0.75),HealthBY*P8,IF(AND(AT8=3,AK8="E",AV8&gt;=0.5,AW8=1),PTHealthBY,IF(AND(AT8=3,AK8="E",AV8&gt;=0.5),PTHealthBY*P8,0))))</f>
        <v>0</v>
      </c>
      <c r="BP8" s="453">
        <f>IF(AND(AT8&lt;&gt;0,(AX8+BA8)&gt;=MAXSSDIBY),SSDIBY*MAXSSDIBY*P8,IF(AT8&lt;&gt;0,SSDIBY*W8,0))</f>
        <v>7228.2079999999996</v>
      </c>
      <c r="BQ8" s="453">
        <f>IF(AT8&lt;&gt;0,SSHIBY*W8,0)</f>
        <v>1690.4680000000001</v>
      </c>
      <c r="BR8" s="453">
        <f>IF(AND(AT8&lt;&gt;0,AN8&lt;&gt;"NE"),VLOOKUP(AN8,Retirement_Rates,4,FALSE)*W8,0)</f>
        <v>13920.1296</v>
      </c>
      <c r="BS8" s="453">
        <f>IF(AND(AT8&lt;&gt;0,AJ8&lt;&gt;"PF"),LifeBY*W8,0)</f>
        <v>840.57064000000003</v>
      </c>
      <c r="BT8" s="453">
        <f>IF(AND(AT8&lt;&gt;0,AM8="Y"),UIBY*W8,0)</f>
        <v>0</v>
      </c>
      <c r="BU8" s="453">
        <f>IF(AND(AT8&lt;&gt;0,N8&lt;&gt;"NR"),DHRBY*W8,0)</f>
        <v>0</v>
      </c>
      <c r="BV8" s="453">
        <f>IF(AT8&lt;&gt;0,WCBY*W8,0)</f>
        <v>3742.3463999999994</v>
      </c>
      <c r="BW8" s="453">
        <f>IF(OR(AND(AT8&lt;&gt;0,AJ8&lt;&gt;"PF",AN8&lt;&gt;"NE",AG8&lt;&gt;"A"),AND(AL8="E",OR(AT8=1,AT8=3))),SickBY*W8,0)</f>
        <v>0</v>
      </c>
      <c r="BX8" s="453">
        <f t="shared" si="7"/>
        <v>27421.72264</v>
      </c>
      <c r="BY8" s="453">
        <f t="shared" si="8"/>
        <v>0</v>
      </c>
      <c r="BZ8" s="453">
        <f t="shared" si="9"/>
        <v>0</v>
      </c>
      <c r="CA8" s="453">
        <f t="shared" si="10"/>
        <v>0</v>
      </c>
      <c r="CB8" s="453">
        <f t="shared" si="11"/>
        <v>0</v>
      </c>
      <c r="CC8" s="453">
        <f>IF(AT8&lt;&gt;0,SSHICHG*Y8,0)</f>
        <v>0</v>
      </c>
      <c r="CD8" s="453">
        <f>IF(AND(AT8&lt;&gt;0,AN8&lt;&gt;"NE"),VLOOKUP(AN8,Retirement_Rates,5,FALSE)*Y8,0)</f>
        <v>0</v>
      </c>
      <c r="CE8" s="453">
        <f>IF(AND(AT8&lt;&gt;0,AJ8&lt;&gt;"PF"),LifeCHG*Y8,0)</f>
        <v>0</v>
      </c>
      <c r="CF8" s="453">
        <f>IF(AND(AT8&lt;&gt;0,AM8="Y"),UICHG*Y8,0)</f>
        <v>0</v>
      </c>
      <c r="CG8" s="453">
        <f>IF(AND(AT8&lt;&gt;0,N8&lt;&gt;"NR"),DHRCHG*Y8,0)</f>
        <v>0</v>
      </c>
      <c r="CH8" s="453">
        <f>IF(AT8&lt;&gt;0,WCCHG*Y8,0)</f>
        <v>233.16799999999981</v>
      </c>
      <c r="CI8" s="453">
        <f>IF(OR(AND(AT8&lt;&gt;0,AJ8&lt;&gt;"PF",AN8&lt;&gt;"NE",AG8&lt;&gt;"A"),AND(AL8="E",OR(AT8=1,AT8=3))),SickCHG*Y8,0)</f>
        <v>0</v>
      </c>
      <c r="CJ8" s="453">
        <f t="shared" si="12"/>
        <v>233.16799999999981</v>
      </c>
      <c r="CK8" s="453" t="str">
        <f t="shared" si="13"/>
        <v/>
      </c>
      <c r="CL8" s="453" t="str">
        <f t="shared" si="14"/>
        <v/>
      </c>
      <c r="CM8" s="453" t="str">
        <f t="shared" si="15"/>
        <v/>
      </c>
      <c r="CN8" s="453" t="str">
        <f t="shared" si="16"/>
        <v>0421-01</v>
      </c>
    </row>
    <row r="9" spans="1:92" ht="15" thickBot="1" x14ac:dyDescent="0.35">
      <c r="A9" s="368" t="s">
        <v>161</v>
      </c>
      <c r="B9" s="368" t="s">
        <v>162</v>
      </c>
      <c r="C9" s="368" t="s">
        <v>227</v>
      </c>
      <c r="D9" s="368" t="s">
        <v>198</v>
      </c>
      <c r="E9" s="368" t="s">
        <v>165</v>
      </c>
      <c r="F9" s="369" t="s">
        <v>166</v>
      </c>
      <c r="G9" s="368" t="s">
        <v>167</v>
      </c>
      <c r="H9" s="370"/>
      <c r="I9" s="370"/>
      <c r="J9" s="368" t="s">
        <v>228</v>
      </c>
      <c r="K9" s="368" t="s">
        <v>199</v>
      </c>
      <c r="L9" s="368" t="s">
        <v>200</v>
      </c>
      <c r="M9" s="368" t="s">
        <v>171</v>
      </c>
      <c r="N9" s="368" t="s">
        <v>172</v>
      </c>
      <c r="O9" s="371">
        <v>1</v>
      </c>
      <c r="P9" s="451">
        <v>1</v>
      </c>
      <c r="Q9" s="451">
        <v>1</v>
      </c>
      <c r="R9" s="372">
        <v>80</v>
      </c>
      <c r="S9" s="451">
        <v>1</v>
      </c>
      <c r="T9" s="372">
        <v>44493.2</v>
      </c>
      <c r="U9" s="372">
        <v>320.16000000000003</v>
      </c>
      <c r="V9" s="372">
        <v>21942.6</v>
      </c>
      <c r="W9" s="372">
        <v>49774.400000000001</v>
      </c>
      <c r="X9" s="372">
        <v>23670.95</v>
      </c>
      <c r="Y9" s="372">
        <v>49774.400000000001</v>
      </c>
      <c r="Z9" s="372">
        <v>23526.61</v>
      </c>
      <c r="AA9" s="368" t="s">
        <v>229</v>
      </c>
      <c r="AB9" s="368" t="s">
        <v>230</v>
      </c>
      <c r="AC9" s="368" t="s">
        <v>231</v>
      </c>
      <c r="AD9" s="368" t="s">
        <v>232</v>
      </c>
      <c r="AE9" s="368" t="s">
        <v>199</v>
      </c>
      <c r="AF9" s="368" t="s">
        <v>177</v>
      </c>
      <c r="AG9" s="368" t="s">
        <v>178</v>
      </c>
      <c r="AH9" s="373">
        <v>23.93</v>
      </c>
      <c r="AI9" s="373">
        <v>15964.2</v>
      </c>
      <c r="AJ9" s="368" t="s">
        <v>179</v>
      </c>
      <c r="AK9" s="368" t="s">
        <v>180</v>
      </c>
      <c r="AL9" s="368" t="s">
        <v>181</v>
      </c>
      <c r="AM9" s="368" t="s">
        <v>182</v>
      </c>
      <c r="AN9" s="368" t="s">
        <v>70</v>
      </c>
      <c r="AO9" s="371">
        <v>80</v>
      </c>
      <c r="AP9" s="451">
        <v>1</v>
      </c>
      <c r="AQ9" s="451">
        <v>1</v>
      </c>
      <c r="AR9" s="449" t="s">
        <v>183</v>
      </c>
      <c r="AS9" s="453">
        <f t="shared" si="0"/>
        <v>1</v>
      </c>
      <c r="AT9">
        <f t="shared" si="1"/>
        <v>1</v>
      </c>
      <c r="AU9" s="453">
        <f>IF(AT9=0,"",IF(AND(AT9=1,M9="F",SUMIF(C2:C55,C9,AS2:AS55)&lt;=1),SUMIF(C2:C55,C9,AS2:AS55),IF(AND(AT9=1,M9="F",SUMIF(C2:C55,C9,AS2:AS55)&gt;1),1,"")))</f>
        <v>1</v>
      </c>
      <c r="AV9" s="453" t="str">
        <f>IF(AT9=0,"",IF(AND(AT9=3,M9="F",SUMIF(C2:C55,C9,AS2:AS55)&lt;=1),SUMIF(C2:C55,C9,AS2:AS55),IF(AND(AT9=3,M9="F",SUMIF(C2:C55,C9,AS2:AS55)&gt;1),1,"")))</f>
        <v/>
      </c>
      <c r="AW9" s="453">
        <f>SUMIF(C2:C55,C9,O2:O55)</f>
        <v>1</v>
      </c>
      <c r="AX9" s="453">
        <f>IF(AND(M9="F",AS9&lt;&gt;0),SUMIF(C2:C55,C9,W2:W55),0)</f>
        <v>49774.400000000001</v>
      </c>
      <c r="AY9" s="453">
        <f t="shared" si="2"/>
        <v>49774.400000000001</v>
      </c>
      <c r="AZ9" s="453" t="str">
        <f t="shared" si="3"/>
        <v/>
      </c>
      <c r="BA9" s="453">
        <f t="shared" si="4"/>
        <v>0</v>
      </c>
      <c r="BB9" s="453">
        <f>IF(AND(AT9=1,AK9="E",AU9&gt;=0.75,AW9=1),Health,IF(AND(AT9=1,AK9="E",AU9&gt;=0.75),Health*P9,IF(AND(AT9=1,AK9="E",AU9&gt;=0.5,AW9=1),PTHealth,IF(AND(AT9=1,AK9="E",AU9&gt;=0.5),PTHealth*P9,0))))</f>
        <v>11650</v>
      </c>
      <c r="BC9" s="453">
        <f>IF(AND(AT9=3,AK9="E",AV9&gt;=0.75,AW9=1),Health,IF(AND(AT9=3,AK9="E",AV9&gt;=0.75),Health*P9,IF(AND(AT9=3,AK9="E",AV9&gt;=0.5,AW9=1),PTHealth,IF(AND(AT9=3,AK9="E",AV9&gt;=0.5),PTHealth*P9,0))))</f>
        <v>0</v>
      </c>
      <c r="BD9" s="453">
        <f>IF(AND(AT9&lt;&gt;0,AX9&gt;=MAXSSDI),SSDI*MAXSSDI*P9,IF(AT9&lt;&gt;0,SSDI*W9,0))</f>
        <v>3086.0128</v>
      </c>
      <c r="BE9" s="453">
        <f>IF(AT9&lt;&gt;0,SSHI*W9,0)</f>
        <v>721.72880000000009</v>
      </c>
      <c r="BF9" s="453">
        <f>IF(AND(AT9&lt;&gt;0,AN9&lt;&gt;"NE"),VLOOKUP(AN9,Retirement_Rates,3,FALSE)*W9,0)</f>
        <v>6112.2963200000004</v>
      </c>
      <c r="BG9" s="453">
        <f>IF(AND(AT9&lt;&gt;0,AJ9&lt;&gt;"PF"),Life*W9,0)</f>
        <v>358.873424</v>
      </c>
      <c r="BH9" s="453">
        <f>IF(AND(AT9&lt;&gt;0,AM9="Y"),UI*W9,0)</f>
        <v>243.89456000000001</v>
      </c>
      <c r="BI9" s="453">
        <f>IF(AND(AT9&lt;&gt;0,N9&lt;&gt;"NR"),DHR*W9,0)</f>
        <v>0</v>
      </c>
      <c r="BJ9" s="453">
        <f>IF(AT9&lt;&gt;0,WC*W9,0)</f>
        <v>1498.2094399999999</v>
      </c>
      <c r="BK9" s="453">
        <f>IF(OR(AND(AT9&lt;&gt;0,AJ9&lt;&gt;"PF",AN9&lt;&gt;"NE",AG9&lt;&gt;"A"),AND(AL9="E",OR(AT9=1,AT9=3))),Sick*W9,0)</f>
        <v>0</v>
      </c>
      <c r="BL9" s="453">
        <f t="shared" si="5"/>
        <v>12021.015344000001</v>
      </c>
      <c r="BM9" s="453">
        <f t="shared" si="6"/>
        <v>0</v>
      </c>
      <c r="BN9" s="453">
        <f>IF(AND(AT9=1,AK9="E",AU9&gt;=0.75,AW9=1),HealthBY,IF(AND(AT9=1,AK9="E",AU9&gt;=0.75),HealthBY*P9,IF(AND(AT9=1,AK9="E",AU9&gt;=0.5,AW9=1),PTHealthBY,IF(AND(AT9=1,AK9="E",AU9&gt;=0.5),PTHealthBY*P9,0))))</f>
        <v>11650</v>
      </c>
      <c r="BO9" s="453">
        <f>IF(AND(AT9=3,AK9="E",AV9&gt;=0.75,AW9=1),HealthBY,IF(AND(AT9=3,AK9="E",AV9&gt;=0.75),HealthBY*P9,IF(AND(AT9=3,AK9="E",AV9&gt;=0.5,AW9=1),PTHealthBY,IF(AND(AT9=3,AK9="E",AV9&gt;=0.5),PTHealthBY*P9,0))))</f>
        <v>0</v>
      </c>
      <c r="BP9" s="453">
        <f>IF(AND(AT9&lt;&gt;0,(AX9+BA9)&gt;=MAXSSDIBY),SSDIBY*MAXSSDIBY*P9,IF(AT9&lt;&gt;0,SSDIBY*W9,0))</f>
        <v>3086.0128</v>
      </c>
      <c r="BQ9" s="453">
        <f>IF(AT9&lt;&gt;0,SSHIBY*W9,0)</f>
        <v>721.72880000000009</v>
      </c>
      <c r="BR9" s="453">
        <f>IF(AND(AT9&lt;&gt;0,AN9&lt;&gt;"NE"),VLOOKUP(AN9,Retirement_Rates,4,FALSE)*W9,0)</f>
        <v>6112.2963200000004</v>
      </c>
      <c r="BS9" s="453">
        <f>IF(AND(AT9&lt;&gt;0,AJ9&lt;&gt;"PF"),LifeBY*W9,0)</f>
        <v>358.873424</v>
      </c>
      <c r="BT9" s="453">
        <f>IF(AND(AT9&lt;&gt;0,AM9="Y"),UIBY*W9,0)</f>
        <v>0</v>
      </c>
      <c r="BU9" s="453">
        <f>IF(AND(AT9&lt;&gt;0,N9&lt;&gt;"NR"),DHRBY*W9,0)</f>
        <v>0</v>
      </c>
      <c r="BV9" s="453">
        <f>IF(AT9&lt;&gt;0,WCBY*W9,0)</f>
        <v>1597.7582399999999</v>
      </c>
      <c r="BW9" s="453">
        <f>IF(OR(AND(AT9&lt;&gt;0,AJ9&lt;&gt;"PF",AN9&lt;&gt;"NE",AG9&lt;&gt;"A"),AND(AL9="E",OR(AT9=1,AT9=3))),SickBY*W9,0)</f>
        <v>0</v>
      </c>
      <c r="BX9" s="453">
        <f t="shared" si="7"/>
        <v>11876.669583999999</v>
      </c>
      <c r="BY9" s="453">
        <f t="shared" si="8"/>
        <v>0</v>
      </c>
      <c r="BZ9" s="453">
        <f t="shared" si="9"/>
        <v>0</v>
      </c>
      <c r="CA9" s="453">
        <f t="shared" si="10"/>
        <v>0</v>
      </c>
      <c r="CB9" s="453">
        <f t="shared" si="11"/>
        <v>0</v>
      </c>
      <c r="CC9" s="453">
        <f>IF(AT9&lt;&gt;0,SSHICHG*Y9,0)</f>
        <v>0</v>
      </c>
      <c r="CD9" s="453">
        <f>IF(AND(AT9&lt;&gt;0,AN9&lt;&gt;"NE"),VLOOKUP(AN9,Retirement_Rates,5,FALSE)*Y9,0)</f>
        <v>0</v>
      </c>
      <c r="CE9" s="453">
        <f>IF(AND(AT9&lt;&gt;0,AJ9&lt;&gt;"PF"),LifeCHG*Y9,0)</f>
        <v>0</v>
      </c>
      <c r="CF9" s="453">
        <f>IF(AND(AT9&lt;&gt;0,AM9="Y"),UICHG*Y9,0)</f>
        <v>-243.89456000000001</v>
      </c>
      <c r="CG9" s="453">
        <f>IF(AND(AT9&lt;&gt;0,N9&lt;&gt;"NR"),DHRCHG*Y9,0)</f>
        <v>0</v>
      </c>
      <c r="CH9" s="453">
        <f>IF(AT9&lt;&gt;0,WCCHG*Y9,0)</f>
        <v>99.548799999999915</v>
      </c>
      <c r="CI9" s="453">
        <f>IF(OR(AND(AT9&lt;&gt;0,AJ9&lt;&gt;"PF",AN9&lt;&gt;"NE",AG9&lt;&gt;"A"),AND(AL9="E",OR(AT9=1,AT9=3))),SickCHG*Y9,0)</f>
        <v>0</v>
      </c>
      <c r="CJ9" s="453">
        <f t="shared" si="12"/>
        <v>-144.3457600000001</v>
      </c>
      <c r="CK9" s="453" t="str">
        <f t="shared" si="13"/>
        <v/>
      </c>
      <c r="CL9" s="453" t="str">
        <f t="shared" si="14"/>
        <v/>
      </c>
      <c r="CM9" s="453" t="str">
        <f t="shared" si="15"/>
        <v/>
      </c>
      <c r="CN9" s="453" t="str">
        <f t="shared" si="16"/>
        <v>0421-01</v>
      </c>
    </row>
    <row r="10" spans="1:92" ht="15" thickBot="1" x14ac:dyDescent="0.35">
      <c r="A10" s="368" t="s">
        <v>161</v>
      </c>
      <c r="B10" s="368" t="s">
        <v>162</v>
      </c>
      <c r="C10" s="368" t="s">
        <v>233</v>
      </c>
      <c r="D10" s="368" t="s">
        <v>234</v>
      </c>
      <c r="E10" s="368" t="s">
        <v>165</v>
      </c>
      <c r="F10" s="369" t="s">
        <v>166</v>
      </c>
      <c r="G10" s="368" t="s">
        <v>167</v>
      </c>
      <c r="H10" s="370"/>
      <c r="I10" s="370"/>
      <c r="J10" s="368" t="s">
        <v>228</v>
      </c>
      <c r="K10" s="368" t="s">
        <v>235</v>
      </c>
      <c r="L10" s="368" t="s">
        <v>200</v>
      </c>
      <c r="M10" s="368" t="s">
        <v>171</v>
      </c>
      <c r="N10" s="368" t="s">
        <v>172</v>
      </c>
      <c r="O10" s="371">
        <v>1</v>
      </c>
      <c r="P10" s="451">
        <v>1</v>
      </c>
      <c r="Q10" s="451">
        <v>1</v>
      </c>
      <c r="R10" s="372">
        <v>80</v>
      </c>
      <c r="S10" s="451">
        <v>1</v>
      </c>
      <c r="T10" s="372">
        <v>34206.19</v>
      </c>
      <c r="U10" s="372">
        <v>224.76</v>
      </c>
      <c r="V10" s="372">
        <v>18057.7</v>
      </c>
      <c r="W10" s="372">
        <v>42494.400000000001</v>
      </c>
      <c r="X10" s="372">
        <v>21768.3</v>
      </c>
      <c r="Y10" s="372">
        <v>42494.400000000001</v>
      </c>
      <c r="Z10" s="372">
        <v>21645.05</v>
      </c>
      <c r="AA10" s="368" t="s">
        <v>236</v>
      </c>
      <c r="AB10" s="368" t="s">
        <v>237</v>
      </c>
      <c r="AC10" s="368" t="s">
        <v>238</v>
      </c>
      <c r="AD10" s="368" t="s">
        <v>190</v>
      </c>
      <c r="AE10" s="368" t="s">
        <v>235</v>
      </c>
      <c r="AF10" s="368" t="s">
        <v>177</v>
      </c>
      <c r="AG10" s="368" t="s">
        <v>178</v>
      </c>
      <c r="AH10" s="373">
        <v>20.43</v>
      </c>
      <c r="AI10" s="373">
        <v>5441.3</v>
      </c>
      <c r="AJ10" s="368" t="s">
        <v>179</v>
      </c>
      <c r="AK10" s="368" t="s">
        <v>180</v>
      </c>
      <c r="AL10" s="368" t="s">
        <v>181</v>
      </c>
      <c r="AM10" s="368" t="s">
        <v>182</v>
      </c>
      <c r="AN10" s="368" t="s">
        <v>68</v>
      </c>
      <c r="AO10" s="371">
        <v>80</v>
      </c>
      <c r="AP10" s="451">
        <v>1</v>
      </c>
      <c r="AQ10" s="451">
        <v>1</v>
      </c>
      <c r="AR10" s="449" t="s">
        <v>183</v>
      </c>
      <c r="AS10" s="453">
        <f t="shared" si="0"/>
        <v>1</v>
      </c>
      <c r="AT10">
        <f t="shared" si="1"/>
        <v>1</v>
      </c>
      <c r="AU10" s="453">
        <f>IF(AT10=0,"",IF(AND(AT10=1,M10="F",SUMIF(C2:C55,C10,AS2:AS55)&lt;=1),SUMIF(C2:C55,C10,AS2:AS55),IF(AND(AT10=1,M10="F",SUMIF(C2:C55,C10,AS2:AS55)&gt;1),1,"")))</f>
        <v>1</v>
      </c>
      <c r="AV10" s="453" t="str">
        <f>IF(AT10=0,"",IF(AND(AT10=3,M10="F",SUMIF(C2:C55,C10,AS2:AS55)&lt;=1),SUMIF(C2:C55,C10,AS2:AS55),IF(AND(AT10=3,M10="F",SUMIF(C2:C55,C10,AS2:AS55)&gt;1),1,"")))</f>
        <v/>
      </c>
      <c r="AW10" s="453">
        <f>SUMIF(C2:C55,C10,O2:O55)</f>
        <v>1</v>
      </c>
      <c r="AX10" s="453">
        <f>IF(AND(M10="F",AS10&lt;&gt;0),SUMIF(C2:C55,C10,W2:W55),0)</f>
        <v>42494.400000000001</v>
      </c>
      <c r="AY10" s="453">
        <f t="shared" si="2"/>
        <v>42494.400000000001</v>
      </c>
      <c r="AZ10" s="453" t="str">
        <f t="shared" si="3"/>
        <v/>
      </c>
      <c r="BA10" s="453">
        <f t="shared" si="4"/>
        <v>0</v>
      </c>
      <c r="BB10" s="453">
        <f>IF(AND(AT10=1,AK10="E",AU10&gt;=0.75,AW10=1),Health,IF(AND(AT10=1,AK10="E",AU10&gt;=0.75),Health*P10,IF(AND(AT10=1,AK10="E",AU10&gt;=0.5,AW10=1),PTHealth,IF(AND(AT10=1,AK10="E",AU10&gt;=0.5),PTHealth*P10,0))))</f>
        <v>11650</v>
      </c>
      <c r="BC10" s="453">
        <f>IF(AND(AT10=3,AK10="E",AV10&gt;=0.75,AW10=1),Health,IF(AND(AT10=3,AK10="E",AV10&gt;=0.75),Health*P10,IF(AND(AT10=3,AK10="E",AV10&gt;=0.5,AW10=1),PTHealth,IF(AND(AT10=3,AK10="E",AV10&gt;=0.5),PTHealth*P10,0))))</f>
        <v>0</v>
      </c>
      <c r="BD10" s="453">
        <f>IF(AND(AT10&lt;&gt;0,AX10&gt;=MAXSSDI),SSDI*MAXSSDI*P10,IF(AT10&lt;&gt;0,SSDI*W10,0))</f>
        <v>2634.6528000000003</v>
      </c>
      <c r="BE10" s="453">
        <f>IF(AT10&lt;&gt;0,SSHI*W10,0)</f>
        <v>616.16880000000003</v>
      </c>
      <c r="BF10" s="453">
        <f>IF(AND(AT10&lt;&gt;0,AN10&lt;&gt;"NE"),VLOOKUP(AN10,Retirement_Rates,3,FALSE)*W10,0)</f>
        <v>5073.8313600000001</v>
      </c>
      <c r="BG10" s="453">
        <f>IF(AND(AT10&lt;&gt;0,AJ10&lt;&gt;"PF"),Life*W10,0)</f>
        <v>306.38462400000003</v>
      </c>
      <c r="BH10" s="453">
        <f>IF(AND(AT10&lt;&gt;0,AM10="Y"),UI*W10,0)</f>
        <v>208.22255999999999</v>
      </c>
      <c r="BI10" s="453">
        <f>IF(AND(AT10&lt;&gt;0,N10&lt;&gt;"NR"),DHR*W10,0)</f>
        <v>0</v>
      </c>
      <c r="BJ10" s="453">
        <f>IF(AT10&lt;&gt;0,WC*W10,0)</f>
        <v>1279.0814399999999</v>
      </c>
      <c r="BK10" s="453">
        <f>IF(OR(AND(AT10&lt;&gt;0,AJ10&lt;&gt;"PF",AN10&lt;&gt;"NE",AG10&lt;&gt;"A"),AND(AL10="E",OR(AT10=1,AT10=3))),Sick*W10,0)</f>
        <v>0</v>
      </c>
      <c r="BL10" s="453">
        <f t="shared" si="5"/>
        <v>10118.341584</v>
      </c>
      <c r="BM10" s="453">
        <f t="shared" si="6"/>
        <v>0</v>
      </c>
      <c r="BN10" s="453">
        <f>IF(AND(AT10=1,AK10="E",AU10&gt;=0.75,AW10=1),HealthBY,IF(AND(AT10=1,AK10="E",AU10&gt;=0.75),HealthBY*P10,IF(AND(AT10=1,AK10="E",AU10&gt;=0.5,AW10=1),PTHealthBY,IF(AND(AT10=1,AK10="E",AU10&gt;=0.5),PTHealthBY*P10,0))))</f>
        <v>11650</v>
      </c>
      <c r="BO10" s="453">
        <f>IF(AND(AT10=3,AK10="E",AV10&gt;=0.75,AW10=1),HealthBY,IF(AND(AT10=3,AK10="E",AV10&gt;=0.75),HealthBY*P10,IF(AND(AT10=3,AK10="E",AV10&gt;=0.5,AW10=1),PTHealthBY,IF(AND(AT10=3,AK10="E",AV10&gt;=0.5),PTHealthBY*P10,0))))</f>
        <v>0</v>
      </c>
      <c r="BP10" s="453">
        <f>IF(AND(AT10&lt;&gt;0,(AX10+BA10)&gt;=MAXSSDIBY),SSDIBY*MAXSSDIBY*P10,IF(AT10&lt;&gt;0,SSDIBY*W10,0))</f>
        <v>2634.6528000000003</v>
      </c>
      <c r="BQ10" s="453">
        <f>IF(AT10&lt;&gt;0,SSHIBY*W10,0)</f>
        <v>616.16880000000003</v>
      </c>
      <c r="BR10" s="453">
        <f>IF(AND(AT10&lt;&gt;0,AN10&lt;&gt;"NE"),VLOOKUP(AN10,Retirement_Rates,4,FALSE)*W10,0)</f>
        <v>5073.8313600000001</v>
      </c>
      <c r="BS10" s="453">
        <f>IF(AND(AT10&lt;&gt;0,AJ10&lt;&gt;"PF"),LifeBY*W10,0)</f>
        <v>306.38462400000003</v>
      </c>
      <c r="BT10" s="453">
        <f>IF(AND(AT10&lt;&gt;0,AM10="Y"),UIBY*W10,0)</f>
        <v>0</v>
      </c>
      <c r="BU10" s="453">
        <f>IF(AND(AT10&lt;&gt;0,N10&lt;&gt;"NR"),DHRBY*W10,0)</f>
        <v>0</v>
      </c>
      <c r="BV10" s="453">
        <f>IF(AT10&lt;&gt;0,WCBY*W10,0)</f>
        <v>1364.07024</v>
      </c>
      <c r="BW10" s="453">
        <f>IF(OR(AND(AT10&lt;&gt;0,AJ10&lt;&gt;"PF",AN10&lt;&gt;"NE",AG10&lt;&gt;"A"),AND(AL10="E",OR(AT10=1,AT10=3))),SickBY*W10,0)</f>
        <v>0</v>
      </c>
      <c r="BX10" s="453">
        <f t="shared" si="7"/>
        <v>9995.1078239999988</v>
      </c>
      <c r="BY10" s="453">
        <f t="shared" si="8"/>
        <v>0</v>
      </c>
      <c r="BZ10" s="453">
        <f t="shared" si="9"/>
        <v>0</v>
      </c>
      <c r="CA10" s="453">
        <f t="shared" si="10"/>
        <v>0</v>
      </c>
      <c r="CB10" s="453">
        <f t="shared" si="11"/>
        <v>0</v>
      </c>
      <c r="CC10" s="453">
        <f>IF(AT10&lt;&gt;0,SSHICHG*Y10,0)</f>
        <v>0</v>
      </c>
      <c r="CD10" s="453">
        <f>IF(AND(AT10&lt;&gt;0,AN10&lt;&gt;"NE"),VLOOKUP(AN10,Retirement_Rates,5,FALSE)*Y10,0)</f>
        <v>0</v>
      </c>
      <c r="CE10" s="453">
        <f>IF(AND(AT10&lt;&gt;0,AJ10&lt;&gt;"PF"),LifeCHG*Y10,0)</f>
        <v>0</v>
      </c>
      <c r="CF10" s="453">
        <f>IF(AND(AT10&lt;&gt;0,AM10="Y"),UICHG*Y10,0)</f>
        <v>-208.22255999999999</v>
      </c>
      <c r="CG10" s="453">
        <f>IF(AND(AT10&lt;&gt;0,N10&lt;&gt;"NR"),DHRCHG*Y10,0)</f>
        <v>0</v>
      </c>
      <c r="CH10" s="453">
        <f>IF(AT10&lt;&gt;0,WCCHG*Y10,0)</f>
        <v>84.988799999999927</v>
      </c>
      <c r="CI10" s="453">
        <f>IF(OR(AND(AT10&lt;&gt;0,AJ10&lt;&gt;"PF",AN10&lt;&gt;"NE",AG10&lt;&gt;"A"),AND(AL10="E",OR(AT10=1,AT10=3))),SickCHG*Y10,0)</f>
        <v>0</v>
      </c>
      <c r="CJ10" s="453">
        <f t="shared" si="12"/>
        <v>-123.23376000000006</v>
      </c>
      <c r="CK10" s="453" t="str">
        <f t="shared" si="13"/>
        <v/>
      </c>
      <c r="CL10" s="453" t="str">
        <f t="shared" si="14"/>
        <v/>
      </c>
      <c r="CM10" s="453" t="str">
        <f t="shared" si="15"/>
        <v/>
      </c>
      <c r="CN10" s="453" t="str">
        <f t="shared" si="16"/>
        <v>0421-01</v>
      </c>
    </row>
    <row r="11" spans="1:92" ht="15" thickBot="1" x14ac:dyDescent="0.35">
      <c r="A11" s="368" t="s">
        <v>161</v>
      </c>
      <c r="B11" s="368" t="s">
        <v>162</v>
      </c>
      <c r="C11" s="368" t="s">
        <v>239</v>
      </c>
      <c r="D11" s="368" t="s">
        <v>198</v>
      </c>
      <c r="E11" s="368" t="s">
        <v>165</v>
      </c>
      <c r="F11" s="369" t="s">
        <v>166</v>
      </c>
      <c r="G11" s="368" t="s">
        <v>167</v>
      </c>
      <c r="H11" s="370"/>
      <c r="I11" s="370"/>
      <c r="J11" s="368" t="s">
        <v>168</v>
      </c>
      <c r="K11" s="368" t="s">
        <v>199</v>
      </c>
      <c r="L11" s="368" t="s">
        <v>200</v>
      </c>
      <c r="M11" s="368" t="s">
        <v>171</v>
      </c>
      <c r="N11" s="368" t="s">
        <v>172</v>
      </c>
      <c r="O11" s="371">
        <v>1</v>
      </c>
      <c r="P11" s="451">
        <v>1</v>
      </c>
      <c r="Q11" s="451">
        <v>1</v>
      </c>
      <c r="R11" s="372">
        <v>80</v>
      </c>
      <c r="S11" s="451">
        <v>1</v>
      </c>
      <c r="T11" s="372">
        <v>50510.879999999997</v>
      </c>
      <c r="U11" s="372">
        <v>0</v>
      </c>
      <c r="V11" s="372">
        <v>23118.29</v>
      </c>
      <c r="W11" s="372">
        <v>52873.599999999999</v>
      </c>
      <c r="X11" s="372">
        <v>24419.47</v>
      </c>
      <c r="Y11" s="372">
        <v>52873.599999999999</v>
      </c>
      <c r="Z11" s="372">
        <v>24266.14</v>
      </c>
      <c r="AA11" s="368" t="s">
        <v>240</v>
      </c>
      <c r="AB11" s="368" t="s">
        <v>241</v>
      </c>
      <c r="AC11" s="368" t="s">
        <v>203</v>
      </c>
      <c r="AD11" s="368" t="s">
        <v>242</v>
      </c>
      <c r="AE11" s="368" t="s">
        <v>199</v>
      </c>
      <c r="AF11" s="368" t="s">
        <v>177</v>
      </c>
      <c r="AG11" s="368" t="s">
        <v>178</v>
      </c>
      <c r="AH11" s="373">
        <v>25.42</v>
      </c>
      <c r="AI11" s="373">
        <v>15920.5</v>
      </c>
      <c r="AJ11" s="368" t="s">
        <v>179</v>
      </c>
      <c r="AK11" s="368" t="s">
        <v>180</v>
      </c>
      <c r="AL11" s="368" t="s">
        <v>181</v>
      </c>
      <c r="AM11" s="368" t="s">
        <v>182</v>
      </c>
      <c r="AN11" s="368" t="s">
        <v>70</v>
      </c>
      <c r="AO11" s="371">
        <v>80</v>
      </c>
      <c r="AP11" s="451">
        <v>1</v>
      </c>
      <c r="AQ11" s="451">
        <v>1</v>
      </c>
      <c r="AR11" s="449" t="s">
        <v>183</v>
      </c>
      <c r="AS11" s="453">
        <f t="shared" si="0"/>
        <v>1</v>
      </c>
      <c r="AT11">
        <f t="shared" si="1"/>
        <v>1</v>
      </c>
      <c r="AU11" s="453">
        <f>IF(AT11=0,"",IF(AND(AT11=1,M11="F",SUMIF(C2:C55,C11,AS2:AS55)&lt;=1),SUMIF(C2:C55,C11,AS2:AS55),IF(AND(AT11=1,M11="F",SUMIF(C2:C55,C11,AS2:AS55)&gt;1),1,"")))</f>
        <v>1</v>
      </c>
      <c r="AV11" s="453" t="str">
        <f>IF(AT11=0,"",IF(AND(AT11=3,M11="F",SUMIF(C2:C55,C11,AS2:AS55)&lt;=1),SUMIF(C2:C55,C11,AS2:AS55),IF(AND(AT11=3,M11="F",SUMIF(C2:C55,C11,AS2:AS55)&gt;1),1,"")))</f>
        <v/>
      </c>
      <c r="AW11" s="453">
        <f>SUMIF(C2:C55,C11,O2:O55)</f>
        <v>1</v>
      </c>
      <c r="AX11" s="453">
        <f>IF(AND(M11="F",AS11&lt;&gt;0),SUMIF(C2:C55,C11,W2:W55),0)</f>
        <v>52873.599999999999</v>
      </c>
      <c r="AY11" s="453">
        <f t="shared" si="2"/>
        <v>52873.599999999999</v>
      </c>
      <c r="AZ11" s="453" t="str">
        <f t="shared" si="3"/>
        <v/>
      </c>
      <c r="BA11" s="453">
        <f t="shared" si="4"/>
        <v>0</v>
      </c>
      <c r="BB11" s="453">
        <f>IF(AND(AT11=1,AK11="E",AU11&gt;=0.75,AW11=1),Health,IF(AND(AT11=1,AK11="E",AU11&gt;=0.75),Health*P11,IF(AND(AT11=1,AK11="E",AU11&gt;=0.5,AW11=1),PTHealth,IF(AND(AT11=1,AK11="E",AU11&gt;=0.5),PTHealth*P11,0))))</f>
        <v>11650</v>
      </c>
      <c r="BC11" s="453">
        <f>IF(AND(AT11=3,AK11="E",AV11&gt;=0.75,AW11=1),Health,IF(AND(AT11=3,AK11="E",AV11&gt;=0.75),Health*P11,IF(AND(AT11=3,AK11="E",AV11&gt;=0.5,AW11=1),PTHealth,IF(AND(AT11=3,AK11="E",AV11&gt;=0.5),PTHealth*P11,0))))</f>
        <v>0</v>
      </c>
      <c r="BD11" s="453">
        <f>IF(AND(AT11&lt;&gt;0,AX11&gt;=MAXSSDI),SSDI*MAXSSDI*P11,IF(AT11&lt;&gt;0,SSDI*W11,0))</f>
        <v>3278.1632</v>
      </c>
      <c r="BE11" s="453">
        <f>IF(AT11&lt;&gt;0,SSHI*W11,0)</f>
        <v>766.66719999999998</v>
      </c>
      <c r="BF11" s="453">
        <f>IF(AND(AT11&lt;&gt;0,AN11&lt;&gt;"NE"),VLOOKUP(AN11,Retirement_Rates,3,FALSE)*W11,0)</f>
        <v>6492.8780800000004</v>
      </c>
      <c r="BG11" s="453">
        <f>IF(AND(AT11&lt;&gt;0,AJ11&lt;&gt;"PF"),Life*W11,0)</f>
        <v>381.21865600000001</v>
      </c>
      <c r="BH11" s="453">
        <f>IF(AND(AT11&lt;&gt;0,AM11="Y"),UI*W11,0)</f>
        <v>259.08063999999996</v>
      </c>
      <c r="BI11" s="453">
        <f>IF(AND(AT11&lt;&gt;0,N11&lt;&gt;"NR"),DHR*W11,0)</f>
        <v>0</v>
      </c>
      <c r="BJ11" s="453">
        <f>IF(AT11&lt;&gt;0,WC*W11,0)</f>
        <v>1591.4953599999999</v>
      </c>
      <c r="BK11" s="453">
        <f>IF(OR(AND(AT11&lt;&gt;0,AJ11&lt;&gt;"PF",AN11&lt;&gt;"NE",AG11&lt;&gt;"A"),AND(AL11="E",OR(AT11=1,AT11=3))),Sick*W11,0)</f>
        <v>0</v>
      </c>
      <c r="BL11" s="453">
        <f t="shared" si="5"/>
        <v>12769.503136000003</v>
      </c>
      <c r="BM11" s="453">
        <f t="shared" si="6"/>
        <v>0</v>
      </c>
      <c r="BN11" s="453">
        <f>IF(AND(AT11=1,AK11="E",AU11&gt;=0.75,AW11=1),HealthBY,IF(AND(AT11=1,AK11="E",AU11&gt;=0.75),HealthBY*P11,IF(AND(AT11=1,AK11="E",AU11&gt;=0.5,AW11=1),PTHealthBY,IF(AND(AT11=1,AK11="E",AU11&gt;=0.5),PTHealthBY*P11,0))))</f>
        <v>11650</v>
      </c>
      <c r="BO11" s="453">
        <f>IF(AND(AT11=3,AK11="E",AV11&gt;=0.75,AW11=1),HealthBY,IF(AND(AT11=3,AK11="E",AV11&gt;=0.75),HealthBY*P11,IF(AND(AT11=3,AK11="E",AV11&gt;=0.5,AW11=1),PTHealthBY,IF(AND(AT11=3,AK11="E",AV11&gt;=0.5),PTHealthBY*P11,0))))</f>
        <v>0</v>
      </c>
      <c r="BP11" s="453">
        <f>IF(AND(AT11&lt;&gt;0,(AX11+BA11)&gt;=MAXSSDIBY),SSDIBY*MAXSSDIBY*P11,IF(AT11&lt;&gt;0,SSDIBY*W11,0))</f>
        <v>3278.1632</v>
      </c>
      <c r="BQ11" s="453">
        <f>IF(AT11&lt;&gt;0,SSHIBY*W11,0)</f>
        <v>766.66719999999998</v>
      </c>
      <c r="BR11" s="453">
        <f>IF(AND(AT11&lt;&gt;0,AN11&lt;&gt;"NE"),VLOOKUP(AN11,Retirement_Rates,4,FALSE)*W11,0)</f>
        <v>6492.8780800000004</v>
      </c>
      <c r="BS11" s="453">
        <f>IF(AND(AT11&lt;&gt;0,AJ11&lt;&gt;"PF"),LifeBY*W11,0)</f>
        <v>381.21865600000001</v>
      </c>
      <c r="BT11" s="453">
        <f>IF(AND(AT11&lt;&gt;0,AM11="Y"),UIBY*W11,0)</f>
        <v>0</v>
      </c>
      <c r="BU11" s="453">
        <f>IF(AND(AT11&lt;&gt;0,N11&lt;&gt;"NR"),DHRBY*W11,0)</f>
        <v>0</v>
      </c>
      <c r="BV11" s="453">
        <f>IF(AT11&lt;&gt;0,WCBY*W11,0)</f>
        <v>1697.2425599999997</v>
      </c>
      <c r="BW11" s="453">
        <f>IF(OR(AND(AT11&lt;&gt;0,AJ11&lt;&gt;"PF",AN11&lt;&gt;"NE",AG11&lt;&gt;"A"),AND(AL11="E",OR(AT11=1,AT11=3))),SickBY*W11,0)</f>
        <v>0</v>
      </c>
      <c r="BX11" s="453">
        <f t="shared" si="7"/>
        <v>12616.169696000001</v>
      </c>
      <c r="BY11" s="453">
        <f t="shared" si="8"/>
        <v>0</v>
      </c>
      <c r="BZ11" s="453">
        <f t="shared" si="9"/>
        <v>0</v>
      </c>
      <c r="CA11" s="453">
        <f t="shared" si="10"/>
        <v>0</v>
      </c>
      <c r="CB11" s="453">
        <f t="shared" si="11"/>
        <v>0</v>
      </c>
      <c r="CC11" s="453">
        <f>IF(AT11&lt;&gt;0,SSHICHG*Y11,0)</f>
        <v>0</v>
      </c>
      <c r="CD11" s="453">
        <f>IF(AND(AT11&lt;&gt;0,AN11&lt;&gt;"NE"),VLOOKUP(AN11,Retirement_Rates,5,FALSE)*Y11,0)</f>
        <v>0</v>
      </c>
      <c r="CE11" s="453">
        <f>IF(AND(AT11&lt;&gt;0,AJ11&lt;&gt;"PF"),LifeCHG*Y11,0)</f>
        <v>0</v>
      </c>
      <c r="CF11" s="453">
        <f>IF(AND(AT11&lt;&gt;0,AM11="Y"),UICHG*Y11,0)</f>
        <v>-259.08063999999996</v>
      </c>
      <c r="CG11" s="453">
        <f>IF(AND(AT11&lt;&gt;0,N11&lt;&gt;"NR"),DHRCHG*Y11,0)</f>
        <v>0</v>
      </c>
      <c r="CH11" s="453">
        <f>IF(AT11&lt;&gt;0,WCCHG*Y11,0)</f>
        <v>105.74719999999991</v>
      </c>
      <c r="CI11" s="453">
        <f>IF(OR(AND(AT11&lt;&gt;0,AJ11&lt;&gt;"PF",AN11&lt;&gt;"NE",AG11&lt;&gt;"A"),AND(AL11="E",OR(AT11=1,AT11=3))),SickCHG*Y11,0)</f>
        <v>0</v>
      </c>
      <c r="CJ11" s="453">
        <f t="shared" si="12"/>
        <v>-153.33344000000005</v>
      </c>
      <c r="CK11" s="453" t="str">
        <f t="shared" si="13"/>
        <v/>
      </c>
      <c r="CL11" s="453" t="str">
        <f t="shared" si="14"/>
        <v/>
      </c>
      <c r="CM11" s="453" t="str">
        <f t="shared" si="15"/>
        <v/>
      </c>
      <c r="CN11" s="453" t="str">
        <f t="shared" si="16"/>
        <v>0421-01</v>
      </c>
    </row>
    <row r="12" spans="1:92" ht="15" thickBot="1" x14ac:dyDescent="0.35">
      <c r="A12" s="368" t="s">
        <v>161</v>
      </c>
      <c r="B12" s="368" t="s">
        <v>162</v>
      </c>
      <c r="C12" s="368" t="s">
        <v>243</v>
      </c>
      <c r="D12" s="368" t="s">
        <v>198</v>
      </c>
      <c r="E12" s="368" t="s">
        <v>165</v>
      </c>
      <c r="F12" s="369" t="s">
        <v>166</v>
      </c>
      <c r="G12" s="368" t="s">
        <v>167</v>
      </c>
      <c r="H12" s="370"/>
      <c r="I12" s="370"/>
      <c r="J12" s="368" t="s">
        <v>168</v>
      </c>
      <c r="K12" s="368" t="s">
        <v>199</v>
      </c>
      <c r="L12" s="368" t="s">
        <v>200</v>
      </c>
      <c r="M12" s="368" t="s">
        <v>171</v>
      </c>
      <c r="N12" s="368" t="s">
        <v>172</v>
      </c>
      <c r="O12" s="371">
        <v>1</v>
      </c>
      <c r="P12" s="451">
        <v>1</v>
      </c>
      <c r="Q12" s="451">
        <v>1</v>
      </c>
      <c r="R12" s="372">
        <v>80</v>
      </c>
      <c r="S12" s="451">
        <v>1</v>
      </c>
      <c r="T12" s="372">
        <v>17080</v>
      </c>
      <c r="U12" s="372">
        <v>0</v>
      </c>
      <c r="V12" s="372">
        <v>8685.4599999999991</v>
      </c>
      <c r="W12" s="372">
        <v>44408</v>
      </c>
      <c r="X12" s="372">
        <v>22223.96</v>
      </c>
      <c r="Y12" s="372">
        <v>44408</v>
      </c>
      <c r="Z12" s="372">
        <v>22095.18</v>
      </c>
      <c r="AA12" s="368" t="s">
        <v>244</v>
      </c>
      <c r="AB12" s="368" t="s">
        <v>245</v>
      </c>
      <c r="AC12" s="368" t="s">
        <v>246</v>
      </c>
      <c r="AD12" s="368" t="s">
        <v>180</v>
      </c>
      <c r="AE12" s="368" t="s">
        <v>199</v>
      </c>
      <c r="AF12" s="368" t="s">
        <v>177</v>
      </c>
      <c r="AG12" s="368" t="s">
        <v>178</v>
      </c>
      <c r="AH12" s="373">
        <v>21.35</v>
      </c>
      <c r="AI12" s="373">
        <v>27234.7</v>
      </c>
      <c r="AJ12" s="368" t="s">
        <v>179</v>
      </c>
      <c r="AK12" s="368" t="s">
        <v>180</v>
      </c>
      <c r="AL12" s="368" t="s">
        <v>181</v>
      </c>
      <c r="AM12" s="368" t="s">
        <v>182</v>
      </c>
      <c r="AN12" s="368" t="s">
        <v>68</v>
      </c>
      <c r="AO12" s="371">
        <v>80</v>
      </c>
      <c r="AP12" s="451">
        <v>1</v>
      </c>
      <c r="AQ12" s="451">
        <v>1</v>
      </c>
      <c r="AR12" s="449" t="s">
        <v>183</v>
      </c>
      <c r="AS12" s="453">
        <f t="shared" si="0"/>
        <v>1</v>
      </c>
      <c r="AT12">
        <f t="shared" si="1"/>
        <v>1</v>
      </c>
      <c r="AU12" s="453">
        <f>IF(AT12=0,"",IF(AND(AT12=1,M12="F",SUMIF(C2:C55,C12,AS2:AS55)&lt;=1),SUMIF(C2:C55,C12,AS2:AS55),IF(AND(AT12=1,M12="F",SUMIF(C2:C55,C12,AS2:AS55)&gt;1),1,"")))</f>
        <v>1</v>
      </c>
      <c r="AV12" s="453" t="str">
        <f>IF(AT12=0,"",IF(AND(AT12=3,M12="F",SUMIF(C2:C55,C12,AS2:AS55)&lt;=1),SUMIF(C2:C55,C12,AS2:AS55),IF(AND(AT12=3,M12="F",SUMIF(C2:C55,C12,AS2:AS55)&gt;1),1,"")))</f>
        <v/>
      </c>
      <c r="AW12" s="453">
        <f>SUMIF(C2:C55,C12,O2:O55)</f>
        <v>1</v>
      </c>
      <c r="AX12" s="453">
        <f>IF(AND(M12="F",AS12&lt;&gt;0),SUMIF(C2:C55,C12,W2:W55),0)</f>
        <v>44408</v>
      </c>
      <c r="AY12" s="453">
        <f t="shared" si="2"/>
        <v>44408</v>
      </c>
      <c r="AZ12" s="453" t="str">
        <f t="shared" si="3"/>
        <v/>
      </c>
      <c r="BA12" s="453">
        <f t="shared" si="4"/>
        <v>0</v>
      </c>
      <c r="BB12" s="453">
        <f>IF(AND(AT12=1,AK12="E",AU12&gt;=0.75,AW12=1),Health,IF(AND(AT12=1,AK12="E",AU12&gt;=0.75),Health*P12,IF(AND(AT12=1,AK12="E",AU12&gt;=0.5,AW12=1),PTHealth,IF(AND(AT12=1,AK12="E",AU12&gt;=0.5),PTHealth*P12,0))))</f>
        <v>11650</v>
      </c>
      <c r="BC12" s="453">
        <f>IF(AND(AT12=3,AK12="E",AV12&gt;=0.75,AW12=1),Health,IF(AND(AT12=3,AK12="E",AV12&gt;=0.75),Health*P12,IF(AND(AT12=3,AK12="E",AV12&gt;=0.5,AW12=1),PTHealth,IF(AND(AT12=3,AK12="E",AV12&gt;=0.5),PTHealth*P12,0))))</f>
        <v>0</v>
      </c>
      <c r="BD12" s="453">
        <f>IF(AND(AT12&lt;&gt;0,AX12&gt;=MAXSSDI),SSDI*MAXSSDI*P12,IF(AT12&lt;&gt;0,SSDI*W12,0))</f>
        <v>2753.2959999999998</v>
      </c>
      <c r="BE12" s="453">
        <f>IF(AT12&lt;&gt;0,SSHI*W12,0)</f>
        <v>643.91600000000005</v>
      </c>
      <c r="BF12" s="453">
        <f>IF(AND(AT12&lt;&gt;0,AN12&lt;&gt;"NE"),VLOOKUP(AN12,Retirement_Rates,3,FALSE)*W12,0)</f>
        <v>5302.3152</v>
      </c>
      <c r="BG12" s="453">
        <f>IF(AND(AT12&lt;&gt;0,AJ12&lt;&gt;"PF"),Life*W12,0)</f>
        <v>320.18168000000003</v>
      </c>
      <c r="BH12" s="453">
        <f>IF(AND(AT12&lt;&gt;0,AM12="Y"),UI*W12,0)</f>
        <v>217.5992</v>
      </c>
      <c r="BI12" s="453">
        <f>IF(AND(AT12&lt;&gt;0,N12&lt;&gt;"NR"),DHR*W12,0)</f>
        <v>0</v>
      </c>
      <c r="BJ12" s="453">
        <f>IF(AT12&lt;&gt;0,WC*W12,0)</f>
        <v>1336.6807999999999</v>
      </c>
      <c r="BK12" s="453">
        <f>IF(OR(AND(AT12&lt;&gt;0,AJ12&lt;&gt;"PF",AN12&lt;&gt;"NE",AG12&lt;&gt;"A"),AND(AL12="E",OR(AT12=1,AT12=3))),Sick*W12,0)</f>
        <v>0</v>
      </c>
      <c r="BL12" s="453">
        <f t="shared" si="5"/>
        <v>10573.988880000001</v>
      </c>
      <c r="BM12" s="453">
        <f t="shared" si="6"/>
        <v>0</v>
      </c>
      <c r="BN12" s="453">
        <f>IF(AND(AT12=1,AK12="E",AU12&gt;=0.75,AW12=1),HealthBY,IF(AND(AT12=1,AK12="E",AU12&gt;=0.75),HealthBY*P12,IF(AND(AT12=1,AK12="E",AU12&gt;=0.5,AW12=1),PTHealthBY,IF(AND(AT12=1,AK12="E",AU12&gt;=0.5),PTHealthBY*P12,0))))</f>
        <v>11650</v>
      </c>
      <c r="BO12" s="453">
        <f>IF(AND(AT12=3,AK12="E",AV12&gt;=0.75,AW12=1),HealthBY,IF(AND(AT12=3,AK12="E",AV12&gt;=0.75),HealthBY*P12,IF(AND(AT12=3,AK12="E",AV12&gt;=0.5,AW12=1),PTHealthBY,IF(AND(AT12=3,AK12="E",AV12&gt;=0.5),PTHealthBY*P12,0))))</f>
        <v>0</v>
      </c>
      <c r="BP12" s="453">
        <f>IF(AND(AT12&lt;&gt;0,(AX12+BA12)&gt;=MAXSSDIBY),SSDIBY*MAXSSDIBY*P12,IF(AT12&lt;&gt;0,SSDIBY*W12,0))</f>
        <v>2753.2959999999998</v>
      </c>
      <c r="BQ12" s="453">
        <f>IF(AT12&lt;&gt;0,SSHIBY*W12,0)</f>
        <v>643.91600000000005</v>
      </c>
      <c r="BR12" s="453">
        <f>IF(AND(AT12&lt;&gt;0,AN12&lt;&gt;"NE"),VLOOKUP(AN12,Retirement_Rates,4,FALSE)*W12,0)</f>
        <v>5302.3152</v>
      </c>
      <c r="BS12" s="453">
        <f>IF(AND(AT12&lt;&gt;0,AJ12&lt;&gt;"PF"),LifeBY*W12,0)</f>
        <v>320.18168000000003</v>
      </c>
      <c r="BT12" s="453">
        <f>IF(AND(AT12&lt;&gt;0,AM12="Y"),UIBY*W12,0)</f>
        <v>0</v>
      </c>
      <c r="BU12" s="453">
        <f>IF(AND(AT12&lt;&gt;0,N12&lt;&gt;"NR"),DHRBY*W12,0)</f>
        <v>0</v>
      </c>
      <c r="BV12" s="453">
        <f>IF(AT12&lt;&gt;0,WCBY*W12,0)</f>
        <v>1425.4967999999999</v>
      </c>
      <c r="BW12" s="453">
        <f>IF(OR(AND(AT12&lt;&gt;0,AJ12&lt;&gt;"PF",AN12&lt;&gt;"NE",AG12&lt;&gt;"A"),AND(AL12="E",OR(AT12=1,AT12=3))),SickBY*W12,0)</f>
        <v>0</v>
      </c>
      <c r="BX12" s="453">
        <f t="shared" si="7"/>
        <v>10445.205679999999</v>
      </c>
      <c r="BY12" s="453">
        <f t="shared" si="8"/>
        <v>0</v>
      </c>
      <c r="BZ12" s="453">
        <f t="shared" si="9"/>
        <v>0</v>
      </c>
      <c r="CA12" s="453">
        <f t="shared" si="10"/>
        <v>0</v>
      </c>
      <c r="CB12" s="453">
        <f t="shared" si="11"/>
        <v>0</v>
      </c>
      <c r="CC12" s="453">
        <f>IF(AT12&lt;&gt;0,SSHICHG*Y12,0)</f>
        <v>0</v>
      </c>
      <c r="CD12" s="453">
        <f>IF(AND(AT12&lt;&gt;0,AN12&lt;&gt;"NE"),VLOOKUP(AN12,Retirement_Rates,5,FALSE)*Y12,0)</f>
        <v>0</v>
      </c>
      <c r="CE12" s="453">
        <f>IF(AND(AT12&lt;&gt;0,AJ12&lt;&gt;"PF"),LifeCHG*Y12,0)</f>
        <v>0</v>
      </c>
      <c r="CF12" s="453">
        <f>IF(AND(AT12&lt;&gt;0,AM12="Y"),UICHG*Y12,0)</f>
        <v>-217.5992</v>
      </c>
      <c r="CG12" s="453">
        <f>IF(AND(AT12&lt;&gt;0,N12&lt;&gt;"NR"),DHRCHG*Y12,0)</f>
        <v>0</v>
      </c>
      <c r="CH12" s="453">
        <f>IF(AT12&lt;&gt;0,WCCHG*Y12,0)</f>
        <v>88.815999999999931</v>
      </c>
      <c r="CI12" s="453">
        <f>IF(OR(AND(AT12&lt;&gt;0,AJ12&lt;&gt;"PF",AN12&lt;&gt;"NE",AG12&lt;&gt;"A"),AND(AL12="E",OR(AT12=1,AT12=3))),SickCHG*Y12,0)</f>
        <v>0</v>
      </c>
      <c r="CJ12" s="453">
        <f t="shared" si="12"/>
        <v>-128.78320000000008</v>
      </c>
      <c r="CK12" s="453" t="str">
        <f t="shared" si="13"/>
        <v/>
      </c>
      <c r="CL12" s="453" t="str">
        <f t="shared" si="14"/>
        <v/>
      </c>
      <c r="CM12" s="453" t="str">
        <f t="shared" si="15"/>
        <v/>
      </c>
      <c r="CN12" s="453" t="str">
        <f t="shared" si="16"/>
        <v>0421-01</v>
      </c>
    </row>
    <row r="13" spans="1:92" ht="15" thickBot="1" x14ac:dyDescent="0.35">
      <c r="A13" s="368" t="s">
        <v>161</v>
      </c>
      <c r="B13" s="368" t="s">
        <v>162</v>
      </c>
      <c r="C13" s="368" t="s">
        <v>247</v>
      </c>
      <c r="D13" s="368" t="s">
        <v>198</v>
      </c>
      <c r="E13" s="368" t="s">
        <v>165</v>
      </c>
      <c r="F13" s="369" t="s">
        <v>166</v>
      </c>
      <c r="G13" s="368" t="s">
        <v>167</v>
      </c>
      <c r="H13" s="370"/>
      <c r="I13" s="370"/>
      <c r="J13" s="368" t="s">
        <v>168</v>
      </c>
      <c r="K13" s="368" t="s">
        <v>199</v>
      </c>
      <c r="L13" s="368" t="s">
        <v>200</v>
      </c>
      <c r="M13" s="368" t="s">
        <v>171</v>
      </c>
      <c r="N13" s="368" t="s">
        <v>172</v>
      </c>
      <c r="O13" s="371">
        <v>1</v>
      </c>
      <c r="P13" s="451">
        <v>1</v>
      </c>
      <c r="Q13" s="451">
        <v>1</v>
      </c>
      <c r="R13" s="372">
        <v>80</v>
      </c>
      <c r="S13" s="451">
        <v>1</v>
      </c>
      <c r="T13" s="372">
        <v>44663.199999999997</v>
      </c>
      <c r="U13" s="372">
        <v>0</v>
      </c>
      <c r="V13" s="372">
        <v>21794.59</v>
      </c>
      <c r="W13" s="372">
        <v>49774.400000000001</v>
      </c>
      <c r="X13" s="372">
        <v>23501.75</v>
      </c>
      <c r="Y13" s="372">
        <v>49774.400000000001</v>
      </c>
      <c r="Z13" s="372">
        <v>23357.41</v>
      </c>
      <c r="AA13" s="368" t="s">
        <v>248</v>
      </c>
      <c r="AB13" s="368" t="s">
        <v>249</v>
      </c>
      <c r="AC13" s="368" t="s">
        <v>250</v>
      </c>
      <c r="AD13" s="368" t="s">
        <v>190</v>
      </c>
      <c r="AE13" s="368" t="s">
        <v>199</v>
      </c>
      <c r="AF13" s="368" t="s">
        <v>177</v>
      </c>
      <c r="AG13" s="368" t="s">
        <v>178</v>
      </c>
      <c r="AH13" s="373">
        <v>23.93</v>
      </c>
      <c r="AI13" s="373">
        <v>3875.6</v>
      </c>
      <c r="AJ13" s="368" t="s">
        <v>179</v>
      </c>
      <c r="AK13" s="368" t="s">
        <v>180</v>
      </c>
      <c r="AL13" s="368" t="s">
        <v>181</v>
      </c>
      <c r="AM13" s="368" t="s">
        <v>182</v>
      </c>
      <c r="AN13" s="368" t="s">
        <v>68</v>
      </c>
      <c r="AO13" s="371">
        <v>80</v>
      </c>
      <c r="AP13" s="451">
        <v>1</v>
      </c>
      <c r="AQ13" s="451">
        <v>1</v>
      </c>
      <c r="AR13" s="449" t="s">
        <v>183</v>
      </c>
      <c r="AS13" s="453">
        <f t="shared" si="0"/>
        <v>1</v>
      </c>
      <c r="AT13">
        <f t="shared" si="1"/>
        <v>1</v>
      </c>
      <c r="AU13" s="453">
        <f>IF(AT13=0,"",IF(AND(AT13=1,M13="F",SUMIF(C2:C55,C13,AS2:AS55)&lt;=1),SUMIF(C2:C55,C13,AS2:AS55),IF(AND(AT13=1,M13="F",SUMIF(C2:C55,C13,AS2:AS55)&gt;1),1,"")))</f>
        <v>1</v>
      </c>
      <c r="AV13" s="453" t="str">
        <f>IF(AT13=0,"",IF(AND(AT13=3,M13="F",SUMIF(C2:C55,C13,AS2:AS55)&lt;=1),SUMIF(C2:C55,C13,AS2:AS55),IF(AND(AT13=3,M13="F",SUMIF(C2:C55,C13,AS2:AS55)&gt;1),1,"")))</f>
        <v/>
      </c>
      <c r="AW13" s="453">
        <f>SUMIF(C2:C55,C13,O2:O55)</f>
        <v>1</v>
      </c>
      <c r="AX13" s="453">
        <f>IF(AND(M13="F",AS13&lt;&gt;0),SUMIF(C2:C55,C13,W2:W55),0)</f>
        <v>49774.400000000001</v>
      </c>
      <c r="AY13" s="453">
        <f t="shared" si="2"/>
        <v>49774.400000000001</v>
      </c>
      <c r="AZ13" s="453" t="str">
        <f t="shared" si="3"/>
        <v/>
      </c>
      <c r="BA13" s="453">
        <f t="shared" si="4"/>
        <v>0</v>
      </c>
      <c r="BB13" s="453">
        <f>IF(AND(AT13=1,AK13="E",AU13&gt;=0.75,AW13=1),Health,IF(AND(AT13=1,AK13="E",AU13&gt;=0.75),Health*P13,IF(AND(AT13=1,AK13="E",AU13&gt;=0.5,AW13=1),PTHealth,IF(AND(AT13=1,AK13="E",AU13&gt;=0.5),PTHealth*P13,0))))</f>
        <v>11650</v>
      </c>
      <c r="BC13" s="453">
        <f>IF(AND(AT13=3,AK13="E",AV13&gt;=0.75,AW13=1),Health,IF(AND(AT13=3,AK13="E",AV13&gt;=0.75),Health*P13,IF(AND(AT13=3,AK13="E",AV13&gt;=0.5,AW13=1),PTHealth,IF(AND(AT13=3,AK13="E",AV13&gt;=0.5),PTHealth*P13,0))))</f>
        <v>0</v>
      </c>
      <c r="BD13" s="453">
        <f>IF(AND(AT13&lt;&gt;0,AX13&gt;=MAXSSDI),SSDI*MAXSSDI*P13,IF(AT13&lt;&gt;0,SSDI*W13,0))</f>
        <v>3086.0128</v>
      </c>
      <c r="BE13" s="453">
        <f>IF(AT13&lt;&gt;0,SSHI*W13,0)</f>
        <v>721.72880000000009</v>
      </c>
      <c r="BF13" s="453">
        <f>IF(AND(AT13&lt;&gt;0,AN13&lt;&gt;"NE"),VLOOKUP(AN13,Retirement_Rates,3,FALSE)*W13,0)</f>
        <v>5943.0633600000001</v>
      </c>
      <c r="BG13" s="453">
        <f>IF(AND(AT13&lt;&gt;0,AJ13&lt;&gt;"PF"),Life*W13,0)</f>
        <v>358.873424</v>
      </c>
      <c r="BH13" s="453">
        <f>IF(AND(AT13&lt;&gt;0,AM13="Y"),UI*W13,0)</f>
        <v>243.89456000000001</v>
      </c>
      <c r="BI13" s="453">
        <f>IF(AND(AT13&lt;&gt;0,N13&lt;&gt;"NR"),DHR*W13,0)</f>
        <v>0</v>
      </c>
      <c r="BJ13" s="453">
        <f>IF(AT13&lt;&gt;0,WC*W13,0)</f>
        <v>1498.2094399999999</v>
      </c>
      <c r="BK13" s="453">
        <f>IF(OR(AND(AT13&lt;&gt;0,AJ13&lt;&gt;"PF",AN13&lt;&gt;"NE",AG13&lt;&gt;"A"),AND(AL13="E",OR(AT13=1,AT13=3))),Sick*W13,0)</f>
        <v>0</v>
      </c>
      <c r="BL13" s="453">
        <f t="shared" si="5"/>
        <v>11851.782384000002</v>
      </c>
      <c r="BM13" s="453">
        <f t="shared" si="6"/>
        <v>0</v>
      </c>
      <c r="BN13" s="453">
        <f>IF(AND(AT13=1,AK13="E",AU13&gt;=0.75,AW13=1),HealthBY,IF(AND(AT13=1,AK13="E",AU13&gt;=0.75),HealthBY*P13,IF(AND(AT13=1,AK13="E",AU13&gt;=0.5,AW13=1),PTHealthBY,IF(AND(AT13=1,AK13="E",AU13&gt;=0.5),PTHealthBY*P13,0))))</f>
        <v>11650</v>
      </c>
      <c r="BO13" s="453">
        <f>IF(AND(AT13=3,AK13="E",AV13&gt;=0.75,AW13=1),HealthBY,IF(AND(AT13=3,AK13="E",AV13&gt;=0.75),HealthBY*P13,IF(AND(AT13=3,AK13="E",AV13&gt;=0.5,AW13=1),PTHealthBY,IF(AND(AT13=3,AK13="E",AV13&gt;=0.5),PTHealthBY*P13,0))))</f>
        <v>0</v>
      </c>
      <c r="BP13" s="453">
        <f>IF(AND(AT13&lt;&gt;0,(AX13+BA13)&gt;=MAXSSDIBY),SSDIBY*MAXSSDIBY*P13,IF(AT13&lt;&gt;0,SSDIBY*W13,0))</f>
        <v>3086.0128</v>
      </c>
      <c r="BQ13" s="453">
        <f>IF(AT13&lt;&gt;0,SSHIBY*W13,0)</f>
        <v>721.72880000000009</v>
      </c>
      <c r="BR13" s="453">
        <f>IF(AND(AT13&lt;&gt;0,AN13&lt;&gt;"NE"),VLOOKUP(AN13,Retirement_Rates,4,FALSE)*W13,0)</f>
        <v>5943.0633600000001</v>
      </c>
      <c r="BS13" s="453">
        <f>IF(AND(AT13&lt;&gt;0,AJ13&lt;&gt;"PF"),LifeBY*W13,0)</f>
        <v>358.873424</v>
      </c>
      <c r="BT13" s="453">
        <f>IF(AND(AT13&lt;&gt;0,AM13="Y"),UIBY*W13,0)</f>
        <v>0</v>
      </c>
      <c r="BU13" s="453">
        <f>IF(AND(AT13&lt;&gt;0,N13&lt;&gt;"NR"),DHRBY*W13,0)</f>
        <v>0</v>
      </c>
      <c r="BV13" s="453">
        <f>IF(AT13&lt;&gt;0,WCBY*W13,0)</f>
        <v>1597.7582399999999</v>
      </c>
      <c r="BW13" s="453">
        <f>IF(OR(AND(AT13&lt;&gt;0,AJ13&lt;&gt;"PF",AN13&lt;&gt;"NE",AG13&lt;&gt;"A"),AND(AL13="E",OR(AT13=1,AT13=3))),SickBY*W13,0)</f>
        <v>0</v>
      </c>
      <c r="BX13" s="453">
        <f t="shared" si="7"/>
        <v>11707.436624</v>
      </c>
      <c r="BY13" s="453">
        <f t="shared" si="8"/>
        <v>0</v>
      </c>
      <c r="BZ13" s="453">
        <f t="shared" si="9"/>
        <v>0</v>
      </c>
      <c r="CA13" s="453">
        <f t="shared" si="10"/>
        <v>0</v>
      </c>
      <c r="CB13" s="453">
        <f t="shared" si="11"/>
        <v>0</v>
      </c>
      <c r="CC13" s="453">
        <f>IF(AT13&lt;&gt;0,SSHICHG*Y13,0)</f>
        <v>0</v>
      </c>
      <c r="CD13" s="453">
        <f>IF(AND(AT13&lt;&gt;0,AN13&lt;&gt;"NE"),VLOOKUP(AN13,Retirement_Rates,5,FALSE)*Y13,0)</f>
        <v>0</v>
      </c>
      <c r="CE13" s="453">
        <f>IF(AND(AT13&lt;&gt;0,AJ13&lt;&gt;"PF"),LifeCHG*Y13,0)</f>
        <v>0</v>
      </c>
      <c r="CF13" s="453">
        <f>IF(AND(AT13&lt;&gt;0,AM13="Y"),UICHG*Y13,0)</f>
        <v>-243.89456000000001</v>
      </c>
      <c r="CG13" s="453">
        <f>IF(AND(AT13&lt;&gt;0,N13&lt;&gt;"NR"),DHRCHG*Y13,0)</f>
        <v>0</v>
      </c>
      <c r="CH13" s="453">
        <f>IF(AT13&lt;&gt;0,WCCHG*Y13,0)</f>
        <v>99.548799999999915</v>
      </c>
      <c r="CI13" s="453">
        <f>IF(OR(AND(AT13&lt;&gt;0,AJ13&lt;&gt;"PF",AN13&lt;&gt;"NE",AG13&lt;&gt;"A"),AND(AL13="E",OR(AT13=1,AT13=3))),SickCHG*Y13,0)</f>
        <v>0</v>
      </c>
      <c r="CJ13" s="453">
        <f t="shared" si="12"/>
        <v>-144.3457600000001</v>
      </c>
      <c r="CK13" s="453" t="str">
        <f t="shared" si="13"/>
        <v/>
      </c>
      <c r="CL13" s="453" t="str">
        <f t="shared" si="14"/>
        <v/>
      </c>
      <c r="CM13" s="453" t="str">
        <f t="shared" si="15"/>
        <v/>
      </c>
      <c r="CN13" s="453" t="str">
        <f t="shared" si="16"/>
        <v>0421-01</v>
      </c>
    </row>
    <row r="14" spans="1:92" ht="15" thickBot="1" x14ac:dyDescent="0.35">
      <c r="A14" s="368" t="s">
        <v>161</v>
      </c>
      <c r="B14" s="368" t="s">
        <v>162</v>
      </c>
      <c r="C14" s="368" t="s">
        <v>251</v>
      </c>
      <c r="D14" s="368" t="s">
        <v>198</v>
      </c>
      <c r="E14" s="368" t="s">
        <v>165</v>
      </c>
      <c r="F14" s="369" t="s">
        <v>166</v>
      </c>
      <c r="G14" s="368" t="s">
        <v>167</v>
      </c>
      <c r="H14" s="370"/>
      <c r="I14" s="370"/>
      <c r="J14" s="368" t="s">
        <v>252</v>
      </c>
      <c r="K14" s="368" t="s">
        <v>199</v>
      </c>
      <c r="L14" s="368" t="s">
        <v>200</v>
      </c>
      <c r="M14" s="368" t="s">
        <v>171</v>
      </c>
      <c r="N14" s="368" t="s">
        <v>172</v>
      </c>
      <c r="O14" s="371">
        <v>1</v>
      </c>
      <c r="P14" s="451">
        <v>0.9</v>
      </c>
      <c r="Q14" s="451">
        <v>0.9</v>
      </c>
      <c r="R14" s="372">
        <v>80</v>
      </c>
      <c r="S14" s="451">
        <v>0.9</v>
      </c>
      <c r="T14" s="372">
        <v>47042.68</v>
      </c>
      <c r="U14" s="372">
        <v>0</v>
      </c>
      <c r="V14" s="372">
        <v>22274.35</v>
      </c>
      <c r="W14" s="372">
        <v>45002.879999999997</v>
      </c>
      <c r="X14" s="372">
        <v>21200.6</v>
      </c>
      <c r="Y14" s="372">
        <v>45002.879999999997</v>
      </c>
      <c r="Z14" s="372">
        <v>21070.1</v>
      </c>
      <c r="AA14" s="368" t="s">
        <v>253</v>
      </c>
      <c r="AB14" s="368" t="s">
        <v>254</v>
      </c>
      <c r="AC14" s="368" t="s">
        <v>255</v>
      </c>
      <c r="AD14" s="368" t="s">
        <v>256</v>
      </c>
      <c r="AE14" s="368" t="s">
        <v>199</v>
      </c>
      <c r="AF14" s="368" t="s">
        <v>177</v>
      </c>
      <c r="AG14" s="368" t="s">
        <v>178</v>
      </c>
      <c r="AH14" s="373">
        <v>24.04</v>
      </c>
      <c r="AI14" s="373">
        <v>13942.1</v>
      </c>
      <c r="AJ14" s="368" t="s">
        <v>179</v>
      </c>
      <c r="AK14" s="368" t="s">
        <v>180</v>
      </c>
      <c r="AL14" s="368" t="s">
        <v>181</v>
      </c>
      <c r="AM14" s="368" t="s">
        <v>182</v>
      </c>
      <c r="AN14" s="368" t="s">
        <v>68</v>
      </c>
      <c r="AO14" s="371">
        <v>80</v>
      </c>
      <c r="AP14" s="451">
        <v>1</v>
      </c>
      <c r="AQ14" s="451">
        <v>0.9</v>
      </c>
      <c r="AR14" s="449" t="s">
        <v>183</v>
      </c>
      <c r="AS14" s="453">
        <f t="shared" si="0"/>
        <v>0.9</v>
      </c>
      <c r="AT14">
        <f t="shared" si="1"/>
        <v>1</v>
      </c>
      <c r="AU14" s="453">
        <f>IF(AT14=0,"",IF(AND(AT14=1,M14="F",SUMIF(C2:C55,C14,AS2:AS55)&lt;=1),SUMIF(C2:C55,C14,AS2:AS55),IF(AND(AT14=1,M14="F",SUMIF(C2:C55,C14,AS2:AS55)&gt;1),1,"")))</f>
        <v>1</v>
      </c>
      <c r="AV14" s="453" t="str">
        <f>IF(AT14=0,"",IF(AND(AT14=3,M14="F",SUMIF(C2:C55,C14,AS2:AS55)&lt;=1),SUMIF(C2:C55,C14,AS2:AS55),IF(AND(AT14=3,M14="F",SUMIF(C2:C55,C14,AS2:AS55)&gt;1),1,"")))</f>
        <v/>
      </c>
      <c r="AW14" s="453">
        <f>SUMIF(C2:C55,C14,O2:O55)</f>
        <v>2</v>
      </c>
      <c r="AX14" s="453">
        <f>IF(AND(M14="F",AS14&lt;&gt;0),SUMIF(C2:C55,C14,W2:W55),0)</f>
        <v>50003.199999999997</v>
      </c>
      <c r="AY14" s="453">
        <f t="shared" si="2"/>
        <v>45002.879999999997</v>
      </c>
      <c r="AZ14" s="453" t="str">
        <f t="shared" si="3"/>
        <v/>
      </c>
      <c r="BA14" s="453">
        <f t="shared" si="4"/>
        <v>0</v>
      </c>
      <c r="BB14" s="453">
        <f>IF(AND(AT14=1,AK14="E",AU14&gt;=0.75,AW14=1),Health,IF(AND(AT14=1,AK14="E",AU14&gt;=0.75),Health*P14,IF(AND(AT14=1,AK14="E",AU14&gt;=0.5,AW14=1),PTHealth,IF(AND(AT14=1,AK14="E",AU14&gt;=0.5),PTHealth*P14,0))))</f>
        <v>10485</v>
      </c>
      <c r="BC14" s="453">
        <f>IF(AND(AT14=3,AK14="E",AV14&gt;=0.75,AW14=1),Health,IF(AND(AT14=3,AK14="E",AV14&gt;=0.75),Health*P14,IF(AND(AT14=3,AK14="E",AV14&gt;=0.5,AW14=1),PTHealth,IF(AND(AT14=3,AK14="E",AV14&gt;=0.5),PTHealth*P14,0))))</f>
        <v>0</v>
      </c>
      <c r="BD14" s="453">
        <f>IF(AND(AT14&lt;&gt;0,AX14&gt;=MAXSSDI),SSDI*MAXSSDI*P14,IF(AT14&lt;&gt;0,SSDI*W14,0))</f>
        <v>2790.1785599999998</v>
      </c>
      <c r="BE14" s="453">
        <f>IF(AT14&lt;&gt;0,SSHI*W14,0)</f>
        <v>652.54175999999995</v>
      </c>
      <c r="BF14" s="453">
        <f>IF(AND(AT14&lt;&gt;0,AN14&lt;&gt;"NE"),VLOOKUP(AN14,Retirement_Rates,3,FALSE)*W14,0)</f>
        <v>5373.3438720000004</v>
      </c>
      <c r="BG14" s="453">
        <f>IF(AND(AT14&lt;&gt;0,AJ14&lt;&gt;"PF"),Life*W14,0)</f>
        <v>324.47076479999998</v>
      </c>
      <c r="BH14" s="453">
        <f>IF(AND(AT14&lt;&gt;0,AM14="Y"),UI*W14,0)</f>
        <v>220.51411199999998</v>
      </c>
      <c r="BI14" s="453">
        <f>IF(AND(AT14&lt;&gt;0,N14&lt;&gt;"NR"),DHR*W14,0)</f>
        <v>0</v>
      </c>
      <c r="BJ14" s="453">
        <f>IF(AT14&lt;&gt;0,WC*W14,0)</f>
        <v>1354.5866879999999</v>
      </c>
      <c r="BK14" s="453">
        <f>IF(OR(AND(AT14&lt;&gt;0,AJ14&lt;&gt;"PF",AN14&lt;&gt;"NE",AG14&lt;&gt;"A"),AND(AL14="E",OR(AT14=1,AT14=3))),Sick*W14,0)</f>
        <v>0</v>
      </c>
      <c r="BL14" s="453">
        <f t="shared" si="5"/>
        <v>10715.6357568</v>
      </c>
      <c r="BM14" s="453">
        <f t="shared" si="6"/>
        <v>0</v>
      </c>
      <c r="BN14" s="453">
        <f>IF(AND(AT14=1,AK14="E",AU14&gt;=0.75,AW14=1),HealthBY,IF(AND(AT14=1,AK14="E",AU14&gt;=0.75),HealthBY*P14,IF(AND(AT14=1,AK14="E",AU14&gt;=0.5,AW14=1),PTHealthBY,IF(AND(AT14=1,AK14="E",AU14&gt;=0.5),PTHealthBY*P14,0))))</f>
        <v>10485</v>
      </c>
      <c r="BO14" s="453">
        <f>IF(AND(AT14=3,AK14="E",AV14&gt;=0.75,AW14=1),HealthBY,IF(AND(AT14=3,AK14="E",AV14&gt;=0.75),HealthBY*P14,IF(AND(AT14=3,AK14="E",AV14&gt;=0.5,AW14=1),PTHealthBY,IF(AND(AT14=3,AK14="E",AV14&gt;=0.5),PTHealthBY*P14,0))))</f>
        <v>0</v>
      </c>
      <c r="BP14" s="453">
        <f>IF(AND(AT14&lt;&gt;0,(AX14+BA14)&gt;=MAXSSDIBY),SSDIBY*MAXSSDIBY*P14,IF(AT14&lt;&gt;0,SSDIBY*W14,0))</f>
        <v>2790.1785599999998</v>
      </c>
      <c r="BQ14" s="453">
        <f>IF(AT14&lt;&gt;0,SSHIBY*W14,0)</f>
        <v>652.54175999999995</v>
      </c>
      <c r="BR14" s="453">
        <f>IF(AND(AT14&lt;&gt;0,AN14&lt;&gt;"NE"),VLOOKUP(AN14,Retirement_Rates,4,FALSE)*W14,0)</f>
        <v>5373.3438720000004</v>
      </c>
      <c r="BS14" s="453">
        <f>IF(AND(AT14&lt;&gt;0,AJ14&lt;&gt;"PF"),LifeBY*W14,0)</f>
        <v>324.47076479999998</v>
      </c>
      <c r="BT14" s="453">
        <f>IF(AND(AT14&lt;&gt;0,AM14="Y"),UIBY*W14,0)</f>
        <v>0</v>
      </c>
      <c r="BU14" s="453">
        <f>IF(AND(AT14&lt;&gt;0,N14&lt;&gt;"NR"),DHRBY*W14,0)</f>
        <v>0</v>
      </c>
      <c r="BV14" s="453">
        <f>IF(AT14&lt;&gt;0,WCBY*W14,0)</f>
        <v>1444.5924479999996</v>
      </c>
      <c r="BW14" s="453">
        <f>IF(OR(AND(AT14&lt;&gt;0,AJ14&lt;&gt;"PF",AN14&lt;&gt;"NE",AG14&lt;&gt;"A"),AND(AL14="E",OR(AT14=1,AT14=3))),SickBY*W14,0)</f>
        <v>0</v>
      </c>
      <c r="BX14" s="453">
        <f t="shared" si="7"/>
        <v>10585.1274048</v>
      </c>
      <c r="BY14" s="453">
        <f t="shared" si="8"/>
        <v>0</v>
      </c>
      <c r="BZ14" s="453">
        <f t="shared" si="9"/>
        <v>0</v>
      </c>
      <c r="CA14" s="453">
        <f t="shared" si="10"/>
        <v>0</v>
      </c>
      <c r="CB14" s="453">
        <f t="shared" si="11"/>
        <v>0</v>
      </c>
      <c r="CC14" s="453">
        <f>IF(AT14&lt;&gt;0,SSHICHG*Y14,0)</f>
        <v>0</v>
      </c>
      <c r="CD14" s="453">
        <f>IF(AND(AT14&lt;&gt;0,AN14&lt;&gt;"NE"),VLOOKUP(AN14,Retirement_Rates,5,FALSE)*Y14,0)</f>
        <v>0</v>
      </c>
      <c r="CE14" s="453">
        <f>IF(AND(AT14&lt;&gt;0,AJ14&lt;&gt;"PF"),LifeCHG*Y14,0)</f>
        <v>0</v>
      </c>
      <c r="CF14" s="453">
        <f>IF(AND(AT14&lt;&gt;0,AM14="Y"),UICHG*Y14,0)</f>
        <v>-220.51411199999998</v>
      </c>
      <c r="CG14" s="453">
        <f>IF(AND(AT14&lt;&gt;0,N14&lt;&gt;"NR"),DHRCHG*Y14,0)</f>
        <v>0</v>
      </c>
      <c r="CH14" s="453">
        <f>IF(AT14&lt;&gt;0,WCCHG*Y14,0)</f>
        <v>90.005759999999924</v>
      </c>
      <c r="CI14" s="453">
        <f>IF(OR(AND(AT14&lt;&gt;0,AJ14&lt;&gt;"PF",AN14&lt;&gt;"NE",AG14&lt;&gt;"A"),AND(AL14="E",OR(AT14=1,AT14=3))),SickCHG*Y14,0)</f>
        <v>0</v>
      </c>
      <c r="CJ14" s="453">
        <f t="shared" si="12"/>
        <v>-130.50835200000006</v>
      </c>
      <c r="CK14" s="453" t="str">
        <f t="shared" si="13"/>
        <v/>
      </c>
      <c r="CL14" s="453" t="str">
        <f t="shared" si="14"/>
        <v/>
      </c>
      <c r="CM14" s="453" t="str">
        <f t="shared" si="15"/>
        <v/>
      </c>
      <c r="CN14" s="453" t="str">
        <f t="shared" si="16"/>
        <v>0421-01</v>
      </c>
    </row>
    <row r="15" spans="1:92" ht="15" thickBot="1" x14ac:dyDescent="0.35">
      <c r="A15" s="368" t="s">
        <v>161</v>
      </c>
      <c r="B15" s="368" t="s">
        <v>162</v>
      </c>
      <c r="C15" s="368" t="s">
        <v>257</v>
      </c>
      <c r="D15" s="368" t="s">
        <v>258</v>
      </c>
      <c r="E15" s="368" t="s">
        <v>165</v>
      </c>
      <c r="F15" s="369" t="s">
        <v>166</v>
      </c>
      <c r="G15" s="368" t="s">
        <v>167</v>
      </c>
      <c r="H15" s="370"/>
      <c r="I15" s="370"/>
      <c r="J15" s="368" t="s">
        <v>168</v>
      </c>
      <c r="K15" s="368" t="s">
        <v>259</v>
      </c>
      <c r="L15" s="368" t="s">
        <v>260</v>
      </c>
      <c r="M15" s="368" t="s">
        <v>171</v>
      </c>
      <c r="N15" s="368" t="s">
        <v>172</v>
      </c>
      <c r="O15" s="371">
        <v>1</v>
      </c>
      <c r="P15" s="451">
        <v>1</v>
      </c>
      <c r="Q15" s="451">
        <v>1</v>
      </c>
      <c r="R15" s="372">
        <v>80</v>
      </c>
      <c r="S15" s="451">
        <v>1</v>
      </c>
      <c r="T15" s="372">
        <v>28170.63</v>
      </c>
      <c r="U15" s="372">
        <v>0</v>
      </c>
      <c r="V15" s="372">
        <v>12606.35</v>
      </c>
      <c r="W15" s="372">
        <v>55016</v>
      </c>
      <c r="X15" s="372">
        <v>24749.84</v>
      </c>
      <c r="Y15" s="372">
        <v>55016</v>
      </c>
      <c r="Z15" s="372">
        <v>24590.3</v>
      </c>
      <c r="AA15" s="368" t="s">
        <v>261</v>
      </c>
      <c r="AB15" s="368" t="s">
        <v>262</v>
      </c>
      <c r="AC15" s="368" t="s">
        <v>217</v>
      </c>
      <c r="AD15" s="368" t="s">
        <v>226</v>
      </c>
      <c r="AE15" s="368" t="s">
        <v>259</v>
      </c>
      <c r="AF15" s="368" t="s">
        <v>177</v>
      </c>
      <c r="AG15" s="368" t="s">
        <v>178</v>
      </c>
      <c r="AH15" s="373">
        <v>26.45</v>
      </c>
      <c r="AI15" s="373">
        <v>573.70000000000005</v>
      </c>
      <c r="AJ15" s="368" t="s">
        <v>179</v>
      </c>
      <c r="AK15" s="368" t="s">
        <v>180</v>
      </c>
      <c r="AL15" s="368" t="s">
        <v>181</v>
      </c>
      <c r="AM15" s="368" t="s">
        <v>182</v>
      </c>
      <c r="AN15" s="368" t="s">
        <v>68</v>
      </c>
      <c r="AO15" s="371">
        <v>80</v>
      </c>
      <c r="AP15" s="451">
        <v>1</v>
      </c>
      <c r="AQ15" s="451">
        <v>1</v>
      </c>
      <c r="AR15" s="449" t="s">
        <v>183</v>
      </c>
      <c r="AS15" s="453">
        <f t="shared" si="0"/>
        <v>1</v>
      </c>
      <c r="AT15">
        <f t="shared" si="1"/>
        <v>1</v>
      </c>
      <c r="AU15" s="453">
        <f>IF(AT15=0,"",IF(AND(AT15=1,M15="F",SUMIF(C2:C55,C15,AS2:AS55)&lt;=1),SUMIF(C2:C55,C15,AS2:AS55),IF(AND(AT15=1,M15="F",SUMIF(C2:C55,C15,AS2:AS55)&gt;1),1,"")))</f>
        <v>1</v>
      </c>
      <c r="AV15" s="453" t="str">
        <f>IF(AT15=0,"",IF(AND(AT15=3,M15="F",SUMIF(C2:C55,C15,AS2:AS55)&lt;=1),SUMIF(C2:C55,C15,AS2:AS55),IF(AND(AT15=3,M15="F",SUMIF(C2:C55,C15,AS2:AS55)&gt;1),1,"")))</f>
        <v/>
      </c>
      <c r="AW15" s="453">
        <f>SUMIF(C2:C55,C15,O2:O55)</f>
        <v>1</v>
      </c>
      <c r="AX15" s="453">
        <f>IF(AND(M15="F",AS15&lt;&gt;0),SUMIF(C2:C55,C15,W2:W55),0)</f>
        <v>55016</v>
      </c>
      <c r="AY15" s="453">
        <f t="shared" si="2"/>
        <v>55016</v>
      </c>
      <c r="AZ15" s="453" t="str">
        <f t="shared" si="3"/>
        <v/>
      </c>
      <c r="BA15" s="453">
        <f t="shared" si="4"/>
        <v>0</v>
      </c>
      <c r="BB15" s="453">
        <f>IF(AND(AT15=1,AK15="E",AU15&gt;=0.75,AW15=1),Health,IF(AND(AT15=1,AK15="E",AU15&gt;=0.75),Health*P15,IF(AND(AT15=1,AK15="E",AU15&gt;=0.5,AW15=1),PTHealth,IF(AND(AT15=1,AK15="E",AU15&gt;=0.5),PTHealth*P15,0))))</f>
        <v>11650</v>
      </c>
      <c r="BC15" s="453">
        <f>IF(AND(AT15=3,AK15="E",AV15&gt;=0.75,AW15=1),Health,IF(AND(AT15=3,AK15="E",AV15&gt;=0.75),Health*P15,IF(AND(AT15=3,AK15="E",AV15&gt;=0.5,AW15=1),PTHealth,IF(AND(AT15=3,AK15="E",AV15&gt;=0.5),PTHealth*P15,0))))</f>
        <v>0</v>
      </c>
      <c r="BD15" s="453">
        <f>IF(AND(AT15&lt;&gt;0,AX15&gt;=MAXSSDI),SSDI*MAXSSDI*P15,IF(AT15&lt;&gt;0,SSDI*W15,0))</f>
        <v>3410.9920000000002</v>
      </c>
      <c r="BE15" s="453">
        <f>IF(AT15&lt;&gt;0,SSHI*W15,0)</f>
        <v>797.73200000000008</v>
      </c>
      <c r="BF15" s="453">
        <f>IF(AND(AT15&lt;&gt;0,AN15&lt;&gt;"NE"),VLOOKUP(AN15,Retirement_Rates,3,FALSE)*W15,0)</f>
        <v>6568.9104000000007</v>
      </c>
      <c r="BG15" s="453">
        <f>IF(AND(AT15&lt;&gt;0,AJ15&lt;&gt;"PF"),Life*W15,0)</f>
        <v>396.66536000000002</v>
      </c>
      <c r="BH15" s="453">
        <f>IF(AND(AT15&lt;&gt;0,AM15="Y"),UI*W15,0)</f>
        <v>269.57839999999999</v>
      </c>
      <c r="BI15" s="453">
        <f>IF(AND(AT15&lt;&gt;0,N15&lt;&gt;"NR"),DHR*W15,0)</f>
        <v>0</v>
      </c>
      <c r="BJ15" s="453">
        <f>IF(AT15&lt;&gt;0,WC*W15,0)</f>
        <v>1655.9815999999998</v>
      </c>
      <c r="BK15" s="453">
        <f>IF(OR(AND(AT15&lt;&gt;0,AJ15&lt;&gt;"PF",AN15&lt;&gt;"NE",AG15&lt;&gt;"A"),AND(AL15="E",OR(AT15=1,AT15=3))),Sick*W15,0)</f>
        <v>0</v>
      </c>
      <c r="BL15" s="453">
        <f t="shared" si="5"/>
        <v>13099.859760000001</v>
      </c>
      <c r="BM15" s="453">
        <f t="shared" si="6"/>
        <v>0</v>
      </c>
      <c r="BN15" s="453">
        <f>IF(AND(AT15=1,AK15="E",AU15&gt;=0.75,AW15=1),HealthBY,IF(AND(AT15=1,AK15="E",AU15&gt;=0.75),HealthBY*P15,IF(AND(AT15=1,AK15="E",AU15&gt;=0.5,AW15=1),PTHealthBY,IF(AND(AT15=1,AK15="E",AU15&gt;=0.5),PTHealthBY*P15,0))))</f>
        <v>11650</v>
      </c>
      <c r="BO15" s="453">
        <f>IF(AND(AT15=3,AK15="E",AV15&gt;=0.75,AW15=1),HealthBY,IF(AND(AT15=3,AK15="E",AV15&gt;=0.75),HealthBY*P15,IF(AND(AT15=3,AK15="E",AV15&gt;=0.5,AW15=1),PTHealthBY,IF(AND(AT15=3,AK15="E",AV15&gt;=0.5),PTHealthBY*P15,0))))</f>
        <v>0</v>
      </c>
      <c r="BP15" s="453">
        <f>IF(AND(AT15&lt;&gt;0,(AX15+BA15)&gt;=MAXSSDIBY),SSDIBY*MAXSSDIBY*P15,IF(AT15&lt;&gt;0,SSDIBY*W15,0))</f>
        <v>3410.9920000000002</v>
      </c>
      <c r="BQ15" s="453">
        <f>IF(AT15&lt;&gt;0,SSHIBY*W15,0)</f>
        <v>797.73200000000008</v>
      </c>
      <c r="BR15" s="453">
        <f>IF(AND(AT15&lt;&gt;0,AN15&lt;&gt;"NE"),VLOOKUP(AN15,Retirement_Rates,4,FALSE)*W15,0)</f>
        <v>6568.9104000000007</v>
      </c>
      <c r="BS15" s="453">
        <f>IF(AND(AT15&lt;&gt;0,AJ15&lt;&gt;"PF"),LifeBY*W15,0)</f>
        <v>396.66536000000002</v>
      </c>
      <c r="BT15" s="453">
        <f>IF(AND(AT15&lt;&gt;0,AM15="Y"),UIBY*W15,0)</f>
        <v>0</v>
      </c>
      <c r="BU15" s="453">
        <f>IF(AND(AT15&lt;&gt;0,N15&lt;&gt;"NR"),DHRBY*W15,0)</f>
        <v>0</v>
      </c>
      <c r="BV15" s="453">
        <f>IF(AT15&lt;&gt;0,WCBY*W15,0)</f>
        <v>1766.0135999999998</v>
      </c>
      <c r="BW15" s="453">
        <f>IF(OR(AND(AT15&lt;&gt;0,AJ15&lt;&gt;"PF",AN15&lt;&gt;"NE",AG15&lt;&gt;"A"),AND(AL15="E",OR(AT15=1,AT15=3))),SickBY*W15,0)</f>
        <v>0</v>
      </c>
      <c r="BX15" s="453">
        <f t="shared" si="7"/>
        <v>12940.313360000002</v>
      </c>
      <c r="BY15" s="453">
        <f t="shared" si="8"/>
        <v>0</v>
      </c>
      <c r="BZ15" s="453">
        <f t="shared" si="9"/>
        <v>0</v>
      </c>
      <c r="CA15" s="453">
        <f t="shared" si="10"/>
        <v>0</v>
      </c>
      <c r="CB15" s="453">
        <f t="shared" si="11"/>
        <v>0</v>
      </c>
      <c r="CC15" s="453">
        <f>IF(AT15&lt;&gt;0,SSHICHG*Y15,0)</f>
        <v>0</v>
      </c>
      <c r="CD15" s="453">
        <f>IF(AND(AT15&lt;&gt;0,AN15&lt;&gt;"NE"),VLOOKUP(AN15,Retirement_Rates,5,FALSE)*Y15,0)</f>
        <v>0</v>
      </c>
      <c r="CE15" s="453">
        <f>IF(AND(AT15&lt;&gt;0,AJ15&lt;&gt;"PF"),LifeCHG*Y15,0)</f>
        <v>0</v>
      </c>
      <c r="CF15" s="453">
        <f>IF(AND(AT15&lt;&gt;0,AM15="Y"),UICHG*Y15,0)</f>
        <v>-269.57839999999999</v>
      </c>
      <c r="CG15" s="453">
        <f>IF(AND(AT15&lt;&gt;0,N15&lt;&gt;"NR"),DHRCHG*Y15,0)</f>
        <v>0</v>
      </c>
      <c r="CH15" s="453">
        <f>IF(AT15&lt;&gt;0,WCCHG*Y15,0)</f>
        <v>110.03199999999991</v>
      </c>
      <c r="CI15" s="453">
        <f>IF(OR(AND(AT15&lt;&gt;0,AJ15&lt;&gt;"PF",AN15&lt;&gt;"NE",AG15&lt;&gt;"A"),AND(AL15="E",OR(AT15=1,AT15=3))),SickCHG*Y15,0)</f>
        <v>0</v>
      </c>
      <c r="CJ15" s="453">
        <f t="shared" si="12"/>
        <v>-159.54640000000006</v>
      </c>
      <c r="CK15" s="453" t="str">
        <f t="shared" si="13"/>
        <v/>
      </c>
      <c r="CL15" s="453" t="str">
        <f t="shared" si="14"/>
        <v/>
      </c>
      <c r="CM15" s="453" t="str">
        <f t="shared" si="15"/>
        <v/>
      </c>
      <c r="CN15" s="453" t="str">
        <f t="shared" si="16"/>
        <v>0421-01</v>
      </c>
    </row>
    <row r="16" spans="1:92" ht="15" thickBot="1" x14ac:dyDescent="0.35">
      <c r="A16" s="368" t="s">
        <v>161</v>
      </c>
      <c r="B16" s="368" t="s">
        <v>162</v>
      </c>
      <c r="C16" s="368" t="s">
        <v>263</v>
      </c>
      <c r="D16" s="368" t="s">
        <v>264</v>
      </c>
      <c r="E16" s="368" t="s">
        <v>165</v>
      </c>
      <c r="F16" s="369" t="s">
        <v>166</v>
      </c>
      <c r="G16" s="368" t="s">
        <v>167</v>
      </c>
      <c r="H16" s="370"/>
      <c r="I16" s="370"/>
      <c r="J16" s="368" t="s">
        <v>252</v>
      </c>
      <c r="K16" s="368" t="s">
        <v>265</v>
      </c>
      <c r="L16" s="368" t="s">
        <v>170</v>
      </c>
      <c r="M16" s="368" t="s">
        <v>171</v>
      </c>
      <c r="N16" s="368" t="s">
        <v>172</v>
      </c>
      <c r="O16" s="371">
        <v>1</v>
      </c>
      <c r="P16" s="451">
        <v>0.13</v>
      </c>
      <c r="Q16" s="451">
        <v>0.13</v>
      </c>
      <c r="R16" s="372">
        <v>80</v>
      </c>
      <c r="S16" s="451">
        <v>0.13</v>
      </c>
      <c r="T16" s="372">
        <v>45552</v>
      </c>
      <c r="U16" s="372">
        <v>0</v>
      </c>
      <c r="V16" s="372">
        <v>21881.07</v>
      </c>
      <c r="W16" s="372">
        <v>6335.47</v>
      </c>
      <c r="X16" s="372">
        <v>3023.03</v>
      </c>
      <c r="Y16" s="372">
        <v>6335.47</v>
      </c>
      <c r="Z16" s="372">
        <v>3004.66</v>
      </c>
      <c r="AA16" s="368" t="s">
        <v>266</v>
      </c>
      <c r="AB16" s="368" t="s">
        <v>267</v>
      </c>
      <c r="AC16" s="368" t="s">
        <v>268</v>
      </c>
      <c r="AD16" s="368" t="s">
        <v>269</v>
      </c>
      <c r="AE16" s="368" t="s">
        <v>265</v>
      </c>
      <c r="AF16" s="368" t="s">
        <v>219</v>
      </c>
      <c r="AG16" s="368" t="s">
        <v>178</v>
      </c>
      <c r="AH16" s="373">
        <v>23.43</v>
      </c>
      <c r="AI16" s="373">
        <v>14377.9</v>
      </c>
      <c r="AJ16" s="368" t="s">
        <v>179</v>
      </c>
      <c r="AK16" s="368" t="s">
        <v>180</v>
      </c>
      <c r="AL16" s="368" t="s">
        <v>181</v>
      </c>
      <c r="AM16" s="368" t="s">
        <v>182</v>
      </c>
      <c r="AN16" s="368" t="s">
        <v>68</v>
      </c>
      <c r="AO16" s="371">
        <v>80</v>
      </c>
      <c r="AP16" s="451">
        <v>1</v>
      </c>
      <c r="AQ16" s="451">
        <v>0.13</v>
      </c>
      <c r="AR16" s="449" t="s">
        <v>183</v>
      </c>
      <c r="AS16" s="453">
        <f t="shared" si="0"/>
        <v>0.13</v>
      </c>
      <c r="AT16">
        <f t="shared" si="1"/>
        <v>1</v>
      </c>
      <c r="AU16" s="453">
        <f>IF(AT16=0,"",IF(AND(AT16=1,M16="F",SUMIF(C2:C55,C16,AS2:AS55)&lt;=1),SUMIF(C2:C55,C16,AS2:AS55),IF(AND(AT16=1,M16="F",SUMIF(C2:C55,C16,AS2:AS55)&gt;1),1,"")))</f>
        <v>1</v>
      </c>
      <c r="AV16" s="453" t="str">
        <f>IF(AT16=0,"",IF(AND(AT16=3,M16="F",SUMIF(C2:C55,C16,AS2:AS55)&lt;=1),SUMIF(C2:C55,C16,AS2:AS55),IF(AND(AT16=3,M16="F",SUMIF(C2:C55,C16,AS2:AS55)&gt;1),1,"")))</f>
        <v/>
      </c>
      <c r="AW16" s="453">
        <f>SUMIF(C2:C55,C16,O2:O55)</f>
        <v>2</v>
      </c>
      <c r="AX16" s="453">
        <f>IF(AND(M16="F",AS16&lt;&gt;0),SUMIF(C2:C55,C16,W2:W55),0)</f>
        <v>48734.39</v>
      </c>
      <c r="AY16" s="453">
        <f t="shared" si="2"/>
        <v>6335.47</v>
      </c>
      <c r="AZ16" s="453" t="str">
        <f t="shared" si="3"/>
        <v/>
      </c>
      <c r="BA16" s="453">
        <f t="shared" si="4"/>
        <v>0</v>
      </c>
      <c r="BB16" s="453">
        <f>IF(AND(AT16=1,AK16="E",AU16&gt;=0.75,AW16=1),Health,IF(AND(AT16=1,AK16="E",AU16&gt;=0.75),Health*P16,IF(AND(AT16=1,AK16="E",AU16&gt;=0.5,AW16=1),PTHealth,IF(AND(AT16=1,AK16="E",AU16&gt;=0.5),PTHealth*P16,0))))</f>
        <v>1514.5</v>
      </c>
      <c r="BC16" s="453">
        <f>IF(AND(AT16=3,AK16="E",AV16&gt;=0.75,AW16=1),Health,IF(AND(AT16=3,AK16="E",AV16&gt;=0.75),Health*P16,IF(AND(AT16=3,AK16="E",AV16&gt;=0.5,AW16=1),PTHealth,IF(AND(AT16=3,AK16="E",AV16&gt;=0.5),PTHealth*P16,0))))</f>
        <v>0</v>
      </c>
      <c r="BD16" s="453">
        <f>IF(AND(AT16&lt;&gt;0,AX16&gt;=MAXSSDI),SSDI*MAXSSDI*P16,IF(AT16&lt;&gt;0,SSDI*W16,0))</f>
        <v>392.79914000000002</v>
      </c>
      <c r="BE16" s="453">
        <f>IF(AT16&lt;&gt;0,SSHI*W16,0)</f>
        <v>91.864315000000005</v>
      </c>
      <c r="BF16" s="453">
        <f>IF(AND(AT16&lt;&gt;0,AN16&lt;&gt;"NE"),VLOOKUP(AN16,Retirement_Rates,3,FALSE)*W16,0)</f>
        <v>756.45511800000008</v>
      </c>
      <c r="BG16" s="453">
        <f>IF(AND(AT16&lt;&gt;0,AJ16&lt;&gt;"PF"),Life*W16,0)</f>
        <v>45.678738700000004</v>
      </c>
      <c r="BH16" s="453">
        <f>IF(AND(AT16&lt;&gt;0,AM16="Y"),UI*W16,0)</f>
        <v>31.043803</v>
      </c>
      <c r="BI16" s="453">
        <f>IF(AND(AT16&lt;&gt;0,N16&lt;&gt;"NR"),DHR*W16,0)</f>
        <v>0</v>
      </c>
      <c r="BJ16" s="453">
        <f>IF(AT16&lt;&gt;0,WC*W16,0)</f>
        <v>190.69764699999999</v>
      </c>
      <c r="BK16" s="453">
        <f>IF(OR(AND(AT16&lt;&gt;0,AJ16&lt;&gt;"PF",AN16&lt;&gt;"NE",AG16&lt;&gt;"A"),AND(AL16="E",OR(AT16=1,AT16=3))),Sick*W16,0)</f>
        <v>0</v>
      </c>
      <c r="BL16" s="453">
        <f t="shared" si="5"/>
        <v>1508.5387617000001</v>
      </c>
      <c r="BM16" s="453">
        <f t="shared" si="6"/>
        <v>0</v>
      </c>
      <c r="BN16" s="453">
        <f>IF(AND(AT16=1,AK16="E",AU16&gt;=0.75,AW16=1),HealthBY,IF(AND(AT16=1,AK16="E",AU16&gt;=0.75),HealthBY*P16,IF(AND(AT16=1,AK16="E",AU16&gt;=0.5,AW16=1),PTHealthBY,IF(AND(AT16=1,AK16="E",AU16&gt;=0.5),PTHealthBY*P16,0))))</f>
        <v>1514.5</v>
      </c>
      <c r="BO16" s="453">
        <f>IF(AND(AT16=3,AK16="E",AV16&gt;=0.75,AW16=1),HealthBY,IF(AND(AT16=3,AK16="E",AV16&gt;=0.75),HealthBY*P16,IF(AND(AT16=3,AK16="E",AV16&gt;=0.5,AW16=1),PTHealthBY,IF(AND(AT16=3,AK16="E",AV16&gt;=0.5),PTHealthBY*P16,0))))</f>
        <v>0</v>
      </c>
      <c r="BP16" s="453">
        <f>IF(AND(AT16&lt;&gt;0,(AX16+BA16)&gt;=MAXSSDIBY),SSDIBY*MAXSSDIBY*P16,IF(AT16&lt;&gt;0,SSDIBY*W16,0))</f>
        <v>392.79914000000002</v>
      </c>
      <c r="BQ16" s="453">
        <f>IF(AT16&lt;&gt;0,SSHIBY*W16,0)</f>
        <v>91.864315000000005</v>
      </c>
      <c r="BR16" s="453">
        <f>IF(AND(AT16&lt;&gt;0,AN16&lt;&gt;"NE"),VLOOKUP(AN16,Retirement_Rates,4,FALSE)*W16,0)</f>
        <v>756.45511800000008</v>
      </c>
      <c r="BS16" s="453">
        <f>IF(AND(AT16&lt;&gt;0,AJ16&lt;&gt;"PF"),LifeBY*W16,0)</f>
        <v>45.678738700000004</v>
      </c>
      <c r="BT16" s="453">
        <f>IF(AND(AT16&lt;&gt;0,AM16="Y"),UIBY*W16,0)</f>
        <v>0</v>
      </c>
      <c r="BU16" s="453">
        <f>IF(AND(AT16&lt;&gt;0,N16&lt;&gt;"NR"),DHRBY*W16,0)</f>
        <v>0</v>
      </c>
      <c r="BV16" s="453">
        <f>IF(AT16&lt;&gt;0,WCBY*W16,0)</f>
        <v>203.36858699999999</v>
      </c>
      <c r="BW16" s="453">
        <f>IF(OR(AND(AT16&lt;&gt;0,AJ16&lt;&gt;"PF",AN16&lt;&gt;"NE",AG16&lt;&gt;"A"),AND(AL16="E",OR(AT16=1,AT16=3))),SickBY*W16,0)</f>
        <v>0</v>
      </c>
      <c r="BX16" s="453">
        <f t="shared" si="7"/>
        <v>1490.1658987000001</v>
      </c>
      <c r="BY16" s="453">
        <f t="shared" si="8"/>
        <v>0</v>
      </c>
      <c r="BZ16" s="453">
        <f t="shared" si="9"/>
        <v>0</v>
      </c>
      <c r="CA16" s="453">
        <f t="shared" si="10"/>
        <v>0</v>
      </c>
      <c r="CB16" s="453">
        <f t="shared" si="11"/>
        <v>0</v>
      </c>
      <c r="CC16" s="453">
        <f>IF(AT16&lt;&gt;0,SSHICHG*Y16,0)</f>
        <v>0</v>
      </c>
      <c r="CD16" s="453">
        <f>IF(AND(AT16&lt;&gt;0,AN16&lt;&gt;"NE"),VLOOKUP(AN16,Retirement_Rates,5,FALSE)*Y16,0)</f>
        <v>0</v>
      </c>
      <c r="CE16" s="453">
        <f>IF(AND(AT16&lt;&gt;0,AJ16&lt;&gt;"PF"),LifeCHG*Y16,0)</f>
        <v>0</v>
      </c>
      <c r="CF16" s="453">
        <f>IF(AND(AT16&lt;&gt;0,AM16="Y"),UICHG*Y16,0)</f>
        <v>-31.043803</v>
      </c>
      <c r="CG16" s="453">
        <f>IF(AND(AT16&lt;&gt;0,N16&lt;&gt;"NR"),DHRCHG*Y16,0)</f>
        <v>0</v>
      </c>
      <c r="CH16" s="453">
        <f>IF(AT16&lt;&gt;0,WCCHG*Y16,0)</f>
        <v>12.670939999999989</v>
      </c>
      <c r="CI16" s="453">
        <f>IF(OR(AND(AT16&lt;&gt;0,AJ16&lt;&gt;"PF",AN16&lt;&gt;"NE",AG16&lt;&gt;"A"),AND(AL16="E",OR(AT16=1,AT16=3))),SickCHG*Y16,0)</f>
        <v>0</v>
      </c>
      <c r="CJ16" s="453">
        <f t="shared" si="12"/>
        <v>-18.372863000000009</v>
      </c>
      <c r="CK16" s="453" t="str">
        <f t="shared" si="13"/>
        <v/>
      </c>
      <c r="CL16" s="453" t="str">
        <f t="shared" si="14"/>
        <v/>
      </c>
      <c r="CM16" s="453" t="str">
        <f t="shared" si="15"/>
        <v/>
      </c>
      <c r="CN16" s="453" t="str">
        <f t="shared" si="16"/>
        <v>0421-01</v>
      </c>
    </row>
    <row r="17" spans="1:92" ht="15" thickBot="1" x14ac:dyDescent="0.35">
      <c r="A17" s="368" t="s">
        <v>161</v>
      </c>
      <c r="B17" s="368" t="s">
        <v>162</v>
      </c>
      <c r="C17" s="368" t="s">
        <v>270</v>
      </c>
      <c r="D17" s="368" t="s">
        <v>234</v>
      </c>
      <c r="E17" s="368" t="s">
        <v>165</v>
      </c>
      <c r="F17" s="369" t="s">
        <v>166</v>
      </c>
      <c r="G17" s="368" t="s">
        <v>167</v>
      </c>
      <c r="H17" s="370"/>
      <c r="I17" s="370"/>
      <c r="J17" s="368" t="s">
        <v>228</v>
      </c>
      <c r="K17" s="368" t="s">
        <v>235</v>
      </c>
      <c r="L17" s="368" t="s">
        <v>200</v>
      </c>
      <c r="M17" s="368" t="s">
        <v>171</v>
      </c>
      <c r="N17" s="368" t="s">
        <v>172</v>
      </c>
      <c r="O17" s="371">
        <v>1</v>
      </c>
      <c r="P17" s="451">
        <v>1</v>
      </c>
      <c r="Q17" s="451">
        <v>1</v>
      </c>
      <c r="R17" s="372">
        <v>80</v>
      </c>
      <c r="S17" s="451">
        <v>1</v>
      </c>
      <c r="T17" s="372">
        <v>40156.01</v>
      </c>
      <c r="U17" s="372">
        <v>0</v>
      </c>
      <c r="V17" s="372">
        <v>20873.400000000001</v>
      </c>
      <c r="W17" s="372">
        <v>41620.800000000003</v>
      </c>
      <c r="X17" s="372">
        <v>21560.3</v>
      </c>
      <c r="Y17" s="372">
        <v>41620.800000000003</v>
      </c>
      <c r="Z17" s="372">
        <v>21439.599999999999</v>
      </c>
      <c r="AA17" s="368" t="s">
        <v>271</v>
      </c>
      <c r="AB17" s="368" t="s">
        <v>272</v>
      </c>
      <c r="AC17" s="368" t="s">
        <v>273</v>
      </c>
      <c r="AD17" s="368" t="s">
        <v>274</v>
      </c>
      <c r="AE17" s="368" t="s">
        <v>235</v>
      </c>
      <c r="AF17" s="368" t="s">
        <v>177</v>
      </c>
      <c r="AG17" s="368" t="s">
        <v>178</v>
      </c>
      <c r="AH17" s="373">
        <v>20.010000000000002</v>
      </c>
      <c r="AI17" s="373">
        <v>9360.2000000000007</v>
      </c>
      <c r="AJ17" s="368" t="s">
        <v>179</v>
      </c>
      <c r="AK17" s="368" t="s">
        <v>180</v>
      </c>
      <c r="AL17" s="368" t="s">
        <v>181</v>
      </c>
      <c r="AM17" s="368" t="s">
        <v>182</v>
      </c>
      <c r="AN17" s="368" t="s">
        <v>68</v>
      </c>
      <c r="AO17" s="371">
        <v>80</v>
      </c>
      <c r="AP17" s="451">
        <v>1</v>
      </c>
      <c r="AQ17" s="451">
        <v>1</v>
      </c>
      <c r="AR17" s="449" t="s">
        <v>183</v>
      </c>
      <c r="AS17" s="453">
        <f t="shared" si="0"/>
        <v>1</v>
      </c>
      <c r="AT17">
        <f t="shared" si="1"/>
        <v>1</v>
      </c>
      <c r="AU17" s="453">
        <f>IF(AT17=0,"",IF(AND(AT17=1,M17="F",SUMIF(C2:C55,C17,AS2:AS55)&lt;=1),SUMIF(C2:C55,C17,AS2:AS55),IF(AND(AT17=1,M17="F",SUMIF(C2:C55,C17,AS2:AS55)&gt;1),1,"")))</f>
        <v>1</v>
      </c>
      <c r="AV17" s="453" t="str">
        <f>IF(AT17=0,"",IF(AND(AT17=3,M17="F",SUMIF(C2:C55,C17,AS2:AS55)&lt;=1),SUMIF(C2:C55,C17,AS2:AS55),IF(AND(AT17=3,M17="F",SUMIF(C2:C55,C17,AS2:AS55)&gt;1),1,"")))</f>
        <v/>
      </c>
      <c r="AW17" s="453">
        <f>SUMIF(C2:C55,C17,O2:O55)</f>
        <v>1</v>
      </c>
      <c r="AX17" s="453">
        <f>IF(AND(M17="F",AS17&lt;&gt;0),SUMIF(C2:C55,C17,W2:W55),0)</f>
        <v>41620.800000000003</v>
      </c>
      <c r="AY17" s="453">
        <f t="shared" si="2"/>
        <v>41620.800000000003</v>
      </c>
      <c r="AZ17" s="453" t="str">
        <f t="shared" si="3"/>
        <v/>
      </c>
      <c r="BA17" s="453">
        <f t="shared" si="4"/>
        <v>0</v>
      </c>
      <c r="BB17" s="453">
        <f>IF(AND(AT17=1,AK17="E",AU17&gt;=0.75,AW17=1),Health,IF(AND(AT17=1,AK17="E",AU17&gt;=0.75),Health*P17,IF(AND(AT17=1,AK17="E",AU17&gt;=0.5,AW17=1),PTHealth,IF(AND(AT17=1,AK17="E",AU17&gt;=0.5),PTHealth*P17,0))))</f>
        <v>11650</v>
      </c>
      <c r="BC17" s="453">
        <f>IF(AND(AT17=3,AK17="E",AV17&gt;=0.75,AW17=1),Health,IF(AND(AT17=3,AK17="E",AV17&gt;=0.75),Health*P17,IF(AND(AT17=3,AK17="E",AV17&gt;=0.5,AW17=1),PTHealth,IF(AND(AT17=3,AK17="E",AV17&gt;=0.5),PTHealth*P17,0))))</f>
        <v>0</v>
      </c>
      <c r="BD17" s="453">
        <f>IF(AND(AT17&lt;&gt;0,AX17&gt;=MAXSSDI),SSDI*MAXSSDI*P17,IF(AT17&lt;&gt;0,SSDI*W17,0))</f>
        <v>2580.4896000000003</v>
      </c>
      <c r="BE17" s="453">
        <f>IF(AT17&lt;&gt;0,SSHI*W17,0)</f>
        <v>603.50160000000005</v>
      </c>
      <c r="BF17" s="453">
        <f>IF(AND(AT17&lt;&gt;0,AN17&lt;&gt;"NE"),VLOOKUP(AN17,Retirement_Rates,3,FALSE)*W17,0)</f>
        <v>4969.5235200000006</v>
      </c>
      <c r="BG17" s="453">
        <f>IF(AND(AT17&lt;&gt;0,AJ17&lt;&gt;"PF"),Life*W17,0)</f>
        <v>300.08596800000004</v>
      </c>
      <c r="BH17" s="453">
        <f>IF(AND(AT17&lt;&gt;0,AM17="Y"),UI*W17,0)</f>
        <v>203.94192000000001</v>
      </c>
      <c r="BI17" s="453">
        <f>IF(AND(AT17&lt;&gt;0,N17&lt;&gt;"NR"),DHR*W17,0)</f>
        <v>0</v>
      </c>
      <c r="BJ17" s="453">
        <f>IF(AT17&lt;&gt;0,WC*W17,0)</f>
        <v>1252.7860800000001</v>
      </c>
      <c r="BK17" s="453">
        <f>IF(OR(AND(AT17&lt;&gt;0,AJ17&lt;&gt;"PF",AN17&lt;&gt;"NE",AG17&lt;&gt;"A"),AND(AL17="E",OR(AT17=1,AT17=3))),Sick*W17,0)</f>
        <v>0</v>
      </c>
      <c r="BL17" s="453">
        <f t="shared" si="5"/>
        <v>9910.3286879999996</v>
      </c>
      <c r="BM17" s="453">
        <f t="shared" si="6"/>
        <v>0</v>
      </c>
      <c r="BN17" s="453">
        <f>IF(AND(AT17=1,AK17="E",AU17&gt;=0.75,AW17=1),HealthBY,IF(AND(AT17=1,AK17="E",AU17&gt;=0.75),HealthBY*P17,IF(AND(AT17=1,AK17="E",AU17&gt;=0.5,AW17=1),PTHealthBY,IF(AND(AT17=1,AK17="E",AU17&gt;=0.5),PTHealthBY*P17,0))))</f>
        <v>11650</v>
      </c>
      <c r="BO17" s="453">
        <f>IF(AND(AT17=3,AK17="E",AV17&gt;=0.75,AW17=1),HealthBY,IF(AND(AT17=3,AK17="E",AV17&gt;=0.75),HealthBY*P17,IF(AND(AT17=3,AK17="E",AV17&gt;=0.5,AW17=1),PTHealthBY,IF(AND(AT17=3,AK17="E",AV17&gt;=0.5),PTHealthBY*P17,0))))</f>
        <v>0</v>
      </c>
      <c r="BP17" s="453">
        <f>IF(AND(AT17&lt;&gt;0,(AX17+BA17)&gt;=MAXSSDIBY),SSDIBY*MAXSSDIBY*P17,IF(AT17&lt;&gt;0,SSDIBY*W17,0))</f>
        <v>2580.4896000000003</v>
      </c>
      <c r="BQ17" s="453">
        <f>IF(AT17&lt;&gt;0,SSHIBY*W17,0)</f>
        <v>603.50160000000005</v>
      </c>
      <c r="BR17" s="453">
        <f>IF(AND(AT17&lt;&gt;0,AN17&lt;&gt;"NE"),VLOOKUP(AN17,Retirement_Rates,4,FALSE)*W17,0)</f>
        <v>4969.5235200000006</v>
      </c>
      <c r="BS17" s="453">
        <f>IF(AND(AT17&lt;&gt;0,AJ17&lt;&gt;"PF"),LifeBY*W17,0)</f>
        <v>300.08596800000004</v>
      </c>
      <c r="BT17" s="453">
        <f>IF(AND(AT17&lt;&gt;0,AM17="Y"),UIBY*W17,0)</f>
        <v>0</v>
      </c>
      <c r="BU17" s="453">
        <f>IF(AND(AT17&lt;&gt;0,N17&lt;&gt;"NR"),DHRBY*W17,0)</f>
        <v>0</v>
      </c>
      <c r="BV17" s="453">
        <f>IF(AT17&lt;&gt;0,WCBY*W17,0)</f>
        <v>1336.0276799999999</v>
      </c>
      <c r="BW17" s="453">
        <f>IF(OR(AND(AT17&lt;&gt;0,AJ17&lt;&gt;"PF",AN17&lt;&gt;"NE",AG17&lt;&gt;"A"),AND(AL17="E",OR(AT17=1,AT17=3))),SickBY*W17,0)</f>
        <v>0</v>
      </c>
      <c r="BX17" s="453">
        <f t="shared" si="7"/>
        <v>9789.6283679999997</v>
      </c>
      <c r="BY17" s="453">
        <f t="shared" si="8"/>
        <v>0</v>
      </c>
      <c r="BZ17" s="453">
        <f t="shared" si="9"/>
        <v>0</v>
      </c>
      <c r="CA17" s="453">
        <f t="shared" si="10"/>
        <v>0</v>
      </c>
      <c r="CB17" s="453">
        <f t="shared" si="11"/>
        <v>0</v>
      </c>
      <c r="CC17" s="453">
        <f>IF(AT17&lt;&gt;0,SSHICHG*Y17,0)</f>
        <v>0</v>
      </c>
      <c r="CD17" s="453">
        <f>IF(AND(AT17&lt;&gt;0,AN17&lt;&gt;"NE"),VLOOKUP(AN17,Retirement_Rates,5,FALSE)*Y17,0)</f>
        <v>0</v>
      </c>
      <c r="CE17" s="453">
        <f>IF(AND(AT17&lt;&gt;0,AJ17&lt;&gt;"PF"),LifeCHG*Y17,0)</f>
        <v>0</v>
      </c>
      <c r="CF17" s="453">
        <f>IF(AND(AT17&lt;&gt;0,AM17="Y"),UICHG*Y17,0)</f>
        <v>-203.94192000000001</v>
      </c>
      <c r="CG17" s="453">
        <f>IF(AND(AT17&lt;&gt;0,N17&lt;&gt;"NR"),DHRCHG*Y17,0)</f>
        <v>0</v>
      </c>
      <c r="CH17" s="453">
        <f>IF(AT17&lt;&gt;0,WCCHG*Y17,0)</f>
        <v>83.241599999999934</v>
      </c>
      <c r="CI17" s="453">
        <f>IF(OR(AND(AT17&lt;&gt;0,AJ17&lt;&gt;"PF",AN17&lt;&gt;"NE",AG17&lt;&gt;"A"),AND(AL17="E",OR(AT17=1,AT17=3))),SickCHG*Y17,0)</f>
        <v>0</v>
      </c>
      <c r="CJ17" s="453">
        <f t="shared" si="12"/>
        <v>-120.70032000000008</v>
      </c>
      <c r="CK17" s="453" t="str">
        <f t="shared" si="13"/>
        <v/>
      </c>
      <c r="CL17" s="453" t="str">
        <f t="shared" si="14"/>
        <v/>
      </c>
      <c r="CM17" s="453" t="str">
        <f t="shared" si="15"/>
        <v/>
      </c>
      <c r="CN17" s="453" t="str">
        <f t="shared" si="16"/>
        <v>0421-01</v>
      </c>
    </row>
    <row r="18" spans="1:92" ht="15" thickBot="1" x14ac:dyDescent="0.35">
      <c r="A18" s="368" t="s">
        <v>161</v>
      </c>
      <c r="B18" s="368" t="s">
        <v>162</v>
      </c>
      <c r="C18" s="368" t="s">
        <v>275</v>
      </c>
      <c r="D18" s="368" t="s">
        <v>276</v>
      </c>
      <c r="E18" s="368" t="s">
        <v>165</v>
      </c>
      <c r="F18" s="369" t="s">
        <v>166</v>
      </c>
      <c r="G18" s="368" t="s">
        <v>167</v>
      </c>
      <c r="H18" s="370"/>
      <c r="I18" s="370"/>
      <c r="J18" s="368" t="s">
        <v>168</v>
      </c>
      <c r="K18" s="368" t="s">
        <v>277</v>
      </c>
      <c r="L18" s="368" t="s">
        <v>170</v>
      </c>
      <c r="M18" s="368" t="s">
        <v>171</v>
      </c>
      <c r="N18" s="368" t="s">
        <v>172</v>
      </c>
      <c r="O18" s="371">
        <v>1</v>
      </c>
      <c r="P18" s="451">
        <v>1</v>
      </c>
      <c r="Q18" s="451">
        <v>1</v>
      </c>
      <c r="R18" s="372">
        <v>80</v>
      </c>
      <c r="S18" s="451">
        <v>1</v>
      </c>
      <c r="T18" s="372">
        <v>60036</v>
      </c>
      <c r="U18" s="372">
        <v>0</v>
      </c>
      <c r="V18" s="372">
        <v>24977.7</v>
      </c>
      <c r="W18" s="372">
        <v>62025.599999999999</v>
      </c>
      <c r="X18" s="372">
        <v>26629.78</v>
      </c>
      <c r="Y18" s="372">
        <v>62025.599999999999</v>
      </c>
      <c r="Z18" s="372">
        <v>26449.91</v>
      </c>
      <c r="AA18" s="368" t="s">
        <v>278</v>
      </c>
      <c r="AB18" s="368" t="s">
        <v>279</v>
      </c>
      <c r="AC18" s="368" t="s">
        <v>280</v>
      </c>
      <c r="AD18" s="368" t="s">
        <v>226</v>
      </c>
      <c r="AE18" s="368" t="s">
        <v>277</v>
      </c>
      <c r="AF18" s="368" t="s">
        <v>177</v>
      </c>
      <c r="AG18" s="368" t="s">
        <v>178</v>
      </c>
      <c r="AH18" s="373">
        <v>29.82</v>
      </c>
      <c r="AI18" s="373">
        <v>40564.6</v>
      </c>
      <c r="AJ18" s="368" t="s">
        <v>179</v>
      </c>
      <c r="AK18" s="368" t="s">
        <v>180</v>
      </c>
      <c r="AL18" s="368" t="s">
        <v>181</v>
      </c>
      <c r="AM18" s="368" t="s">
        <v>182</v>
      </c>
      <c r="AN18" s="368" t="s">
        <v>70</v>
      </c>
      <c r="AO18" s="371">
        <v>80</v>
      </c>
      <c r="AP18" s="451">
        <v>1</v>
      </c>
      <c r="AQ18" s="451">
        <v>1</v>
      </c>
      <c r="AR18" s="449" t="s">
        <v>183</v>
      </c>
      <c r="AS18" s="453">
        <f t="shared" si="0"/>
        <v>1</v>
      </c>
      <c r="AT18">
        <f t="shared" si="1"/>
        <v>1</v>
      </c>
      <c r="AU18" s="453">
        <f>IF(AT18=0,"",IF(AND(AT18=1,M18="F",SUMIF(C2:C55,C18,AS2:AS55)&lt;=1),SUMIF(C2:C55,C18,AS2:AS55),IF(AND(AT18=1,M18="F",SUMIF(C2:C55,C18,AS2:AS55)&gt;1),1,"")))</f>
        <v>1</v>
      </c>
      <c r="AV18" s="453" t="str">
        <f>IF(AT18=0,"",IF(AND(AT18=3,M18="F",SUMIF(C2:C55,C18,AS2:AS55)&lt;=1),SUMIF(C2:C55,C18,AS2:AS55),IF(AND(AT18=3,M18="F",SUMIF(C2:C55,C18,AS2:AS55)&gt;1),1,"")))</f>
        <v/>
      </c>
      <c r="AW18" s="453">
        <f>SUMIF(C2:C55,C18,O2:O55)</f>
        <v>1</v>
      </c>
      <c r="AX18" s="453">
        <f>IF(AND(M18="F",AS18&lt;&gt;0),SUMIF(C2:C55,C18,W2:W55),0)</f>
        <v>62025.599999999999</v>
      </c>
      <c r="AY18" s="453">
        <f t="shared" si="2"/>
        <v>62025.599999999999</v>
      </c>
      <c r="AZ18" s="453" t="str">
        <f t="shared" si="3"/>
        <v/>
      </c>
      <c r="BA18" s="453">
        <f t="shared" si="4"/>
        <v>0</v>
      </c>
      <c r="BB18" s="453">
        <f>IF(AND(AT18=1,AK18="E",AU18&gt;=0.75,AW18=1),Health,IF(AND(AT18=1,AK18="E",AU18&gt;=0.75),Health*P18,IF(AND(AT18=1,AK18="E",AU18&gt;=0.5,AW18=1),PTHealth,IF(AND(AT18=1,AK18="E",AU18&gt;=0.5),PTHealth*P18,0))))</f>
        <v>11650</v>
      </c>
      <c r="BC18" s="453">
        <f>IF(AND(AT18=3,AK18="E",AV18&gt;=0.75,AW18=1),Health,IF(AND(AT18=3,AK18="E",AV18&gt;=0.75),Health*P18,IF(AND(AT18=3,AK18="E",AV18&gt;=0.5,AW18=1),PTHealth,IF(AND(AT18=3,AK18="E",AV18&gt;=0.5),PTHealth*P18,0))))</f>
        <v>0</v>
      </c>
      <c r="BD18" s="453">
        <f>IF(AND(AT18&lt;&gt;0,AX18&gt;=MAXSSDI),SSDI*MAXSSDI*P18,IF(AT18&lt;&gt;0,SSDI*W18,0))</f>
        <v>3845.5871999999999</v>
      </c>
      <c r="BE18" s="453">
        <f>IF(AT18&lt;&gt;0,SSHI*W18,0)</f>
        <v>899.37120000000004</v>
      </c>
      <c r="BF18" s="453">
        <f>IF(AND(AT18&lt;&gt;0,AN18&lt;&gt;"NE"),VLOOKUP(AN18,Retirement_Rates,3,FALSE)*W18,0)</f>
        <v>7616.7436800000005</v>
      </c>
      <c r="BG18" s="453">
        <f>IF(AND(AT18&lt;&gt;0,AJ18&lt;&gt;"PF"),Life*W18,0)</f>
        <v>447.20457600000003</v>
      </c>
      <c r="BH18" s="453">
        <f>IF(AND(AT18&lt;&gt;0,AM18="Y"),UI*W18,0)</f>
        <v>303.92543999999998</v>
      </c>
      <c r="BI18" s="453">
        <f>IF(AND(AT18&lt;&gt;0,N18&lt;&gt;"NR"),DHR*W18,0)</f>
        <v>0</v>
      </c>
      <c r="BJ18" s="453">
        <f>IF(AT18&lt;&gt;0,WC*W18,0)</f>
        <v>1866.9705599999998</v>
      </c>
      <c r="BK18" s="453">
        <f>IF(OR(AND(AT18&lt;&gt;0,AJ18&lt;&gt;"PF",AN18&lt;&gt;"NE",AG18&lt;&gt;"A"),AND(AL18="E",OR(AT18=1,AT18=3))),Sick*W18,0)</f>
        <v>0</v>
      </c>
      <c r="BL18" s="453">
        <f t="shared" si="5"/>
        <v>14979.802655999998</v>
      </c>
      <c r="BM18" s="453">
        <f t="shared" si="6"/>
        <v>0</v>
      </c>
      <c r="BN18" s="453">
        <f>IF(AND(AT18=1,AK18="E",AU18&gt;=0.75,AW18=1),HealthBY,IF(AND(AT18=1,AK18="E",AU18&gt;=0.75),HealthBY*P18,IF(AND(AT18=1,AK18="E",AU18&gt;=0.5,AW18=1),PTHealthBY,IF(AND(AT18=1,AK18="E",AU18&gt;=0.5),PTHealthBY*P18,0))))</f>
        <v>11650</v>
      </c>
      <c r="BO18" s="453">
        <f>IF(AND(AT18=3,AK18="E",AV18&gt;=0.75,AW18=1),HealthBY,IF(AND(AT18=3,AK18="E",AV18&gt;=0.75),HealthBY*P18,IF(AND(AT18=3,AK18="E",AV18&gt;=0.5,AW18=1),PTHealthBY,IF(AND(AT18=3,AK18="E",AV18&gt;=0.5),PTHealthBY*P18,0))))</f>
        <v>0</v>
      </c>
      <c r="BP18" s="453">
        <f>IF(AND(AT18&lt;&gt;0,(AX18+BA18)&gt;=MAXSSDIBY),SSDIBY*MAXSSDIBY*P18,IF(AT18&lt;&gt;0,SSDIBY*W18,0))</f>
        <v>3845.5871999999999</v>
      </c>
      <c r="BQ18" s="453">
        <f>IF(AT18&lt;&gt;0,SSHIBY*W18,0)</f>
        <v>899.37120000000004</v>
      </c>
      <c r="BR18" s="453">
        <f>IF(AND(AT18&lt;&gt;0,AN18&lt;&gt;"NE"),VLOOKUP(AN18,Retirement_Rates,4,FALSE)*W18,0)</f>
        <v>7616.7436800000005</v>
      </c>
      <c r="BS18" s="453">
        <f>IF(AND(AT18&lt;&gt;0,AJ18&lt;&gt;"PF"),LifeBY*W18,0)</f>
        <v>447.20457600000003</v>
      </c>
      <c r="BT18" s="453">
        <f>IF(AND(AT18&lt;&gt;0,AM18="Y"),UIBY*W18,0)</f>
        <v>0</v>
      </c>
      <c r="BU18" s="453">
        <f>IF(AND(AT18&lt;&gt;0,N18&lt;&gt;"NR"),DHRBY*W18,0)</f>
        <v>0</v>
      </c>
      <c r="BV18" s="453">
        <f>IF(AT18&lt;&gt;0,WCBY*W18,0)</f>
        <v>1991.0217599999996</v>
      </c>
      <c r="BW18" s="453">
        <f>IF(OR(AND(AT18&lt;&gt;0,AJ18&lt;&gt;"PF",AN18&lt;&gt;"NE",AG18&lt;&gt;"A"),AND(AL18="E",OR(AT18=1,AT18=3))),SickBY*W18,0)</f>
        <v>0</v>
      </c>
      <c r="BX18" s="453">
        <f t="shared" si="7"/>
        <v>14799.928415999999</v>
      </c>
      <c r="BY18" s="453">
        <f t="shared" si="8"/>
        <v>0</v>
      </c>
      <c r="BZ18" s="453">
        <f t="shared" si="9"/>
        <v>0</v>
      </c>
      <c r="CA18" s="453">
        <f t="shared" si="10"/>
        <v>0</v>
      </c>
      <c r="CB18" s="453">
        <f t="shared" si="11"/>
        <v>0</v>
      </c>
      <c r="CC18" s="453">
        <f>IF(AT18&lt;&gt;0,SSHICHG*Y18,0)</f>
        <v>0</v>
      </c>
      <c r="CD18" s="453">
        <f>IF(AND(AT18&lt;&gt;0,AN18&lt;&gt;"NE"),VLOOKUP(AN18,Retirement_Rates,5,FALSE)*Y18,0)</f>
        <v>0</v>
      </c>
      <c r="CE18" s="453">
        <f>IF(AND(AT18&lt;&gt;0,AJ18&lt;&gt;"PF"),LifeCHG*Y18,0)</f>
        <v>0</v>
      </c>
      <c r="CF18" s="453">
        <f>IF(AND(AT18&lt;&gt;0,AM18="Y"),UICHG*Y18,0)</f>
        <v>-303.92543999999998</v>
      </c>
      <c r="CG18" s="453">
        <f>IF(AND(AT18&lt;&gt;0,N18&lt;&gt;"NR"),DHRCHG*Y18,0)</f>
        <v>0</v>
      </c>
      <c r="CH18" s="453">
        <f>IF(AT18&lt;&gt;0,WCCHG*Y18,0)</f>
        <v>124.05119999999989</v>
      </c>
      <c r="CI18" s="453">
        <f>IF(OR(AND(AT18&lt;&gt;0,AJ18&lt;&gt;"PF",AN18&lt;&gt;"NE",AG18&lt;&gt;"A"),AND(AL18="E",OR(AT18=1,AT18=3))),SickCHG*Y18,0)</f>
        <v>0</v>
      </c>
      <c r="CJ18" s="453">
        <f t="shared" si="12"/>
        <v>-179.8742400000001</v>
      </c>
      <c r="CK18" s="453" t="str">
        <f t="shared" si="13"/>
        <v/>
      </c>
      <c r="CL18" s="453" t="str">
        <f t="shared" si="14"/>
        <v/>
      </c>
      <c r="CM18" s="453" t="str">
        <f t="shared" si="15"/>
        <v/>
      </c>
      <c r="CN18" s="453" t="str">
        <f t="shared" si="16"/>
        <v>0421-01</v>
      </c>
    </row>
    <row r="19" spans="1:92" ht="15" thickBot="1" x14ac:dyDescent="0.35">
      <c r="A19" s="368" t="s">
        <v>161</v>
      </c>
      <c r="B19" s="368" t="s">
        <v>162</v>
      </c>
      <c r="C19" s="368" t="s">
        <v>281</v>
      </c>
      <c r="D19" s="368" t="s">
        <v>198</v>
      </c>
      <c r="E19" s="368" t="s">
        <v>165</v>
      </c>
      <c r="F19" s="369" t="s">
        <v>166</v>
      </c>
      <c r="G19" s="368" t="s">
        <v>167</v>
      </c>
      <c r="H19" s="370"/>
      <c r="I19" s="370"/>
      <c r="J19" s="368" t="s">
        <v>168</v>
      </c>
      <c r="K19" s="368" t="s">
        <v>199</v>
      </c>
      <c r="L19" s="368" t="s">
        <v>200</v>
      </c>
      <c r="M19" s="368" t="s">
        <v>171</v>
      </c>
      <c r="N19" s="368" t="s">
        <v>172</v>
      </c>
      <c r="O19" s="371">
        <v>1</v>
      </c>
      <c r="P19" s="451">
        <v>1</v>
      </c>
      <c r="Q19" s="451">
        <v>1</v>
      </c>
      <c r="R19" s="372">
        <v>80</v>
      </c>
      <c r="S19" s="451">
        <v>1</v>
      </c>
      <c r="T19" s="372">
        <v>44123.87</v>
      </c>
      <c r="U19" s="372">
        <v>0</v>
      </c>
      <c r="V19" s="372">
        <v>21581.39</v>
      </c>
      <c r="W19" s="372">
        <v>49774.400000000001</v>
      </c>
      <c r="X19" s="372">
        <v>23501.75</v>
      </c>
      <c r="Y19" s="372">
        <v>49774.400000000001</v>
      </c>
      <c r="Z19" s="372">
        <v>23357.41</v>
      </c>
      <c r="AA19" s="368" t="s">
        <v>282</v>
      </c>
      <c r="AB19" s="368" t="s">
        <v>283</v>
      </c>
      <c r="AC19" s="368" t="s">
        <v>284</v>
      </c>
      <c r="AD19" s="368" t="s">
        <v>190</v>
      </c>
      <c r="AE19" s="368" t="s">
        <v>199</v>
      </c>
      <c r="AF19" s="368" t="s">
        <v>177</v>
      </c>
      <c r="AG19" s="368" t="s">
        <v>178</v>
      </c>
      <c r="AH19" s="373">
        <v>23.93</v>
      </c>
      <c r="AI19" s="373">
        <v>8797.7000000000007</v>
      </c>
      <c r="AJ19" s="368" t="s">
        <v>179</v>
      </c>
      <c r="AK19" s="368" t="s">
        <v>180</v>
      </c>
      <c r="AL19" s="368" t="s">
        <v>181</v>
      </c>
      <c r="AM19" s="368" t="s">
        <v>182</v>
      </c>
      <c r="AN19" s="368" t="s">
        <v>68</v>
      </c>
      <c r="AO19" s="371">
        <v>80</v>
      </c>
      <c r="AP19" s="451">
        <v>1</v>
      </c>
      <c r="AQ19" s="451">
        <v>1</v>
      </c>
      <c r="AR19" s="449" t="s">
        <v>183</v>
      </c>
      <c r="AS19" s="453">
        <f t="shared" si="0"/>
        <v>1</v>
      </c>
      <c r="AT19">
        <f t="shared" si="1"/>
        <v>1</v>
      </c>
      <c r="AU19" s="453">
        <f>IF(AT19=0,"",IF(AND(AT19=1,M19="F",SUMIF(C2:C55,C19,AS2:AS55)&lt;=1),SUMIF(C2:C55,C19,AS2:AS55),IF(AND(AT19=1,M19="F",SUMIF(C2:C55,C19,AS2:AS55)&gt;1),1,"")))</f>
        <v>1</v>
      </c>
      <c r="AV19" s="453" t="str">
        <f>IF(AT19=0,"",IF(AND(AT19=3,M19="F",SUMIF(C2:C55,C19,AS2:AS55)&lt;=1),SUMIF(C2:C55,C19,AS2:AS55),IF(AND(AT19=3,M19="F",SUMIF(C2:C55,C19,AS2:AS55)&gt;1),1,"")))</f>
        <v/>
      </c>
      <c r="AW19" s="453">
        <f>SUMIF(C2:C55,C19,O2:O55)</f>
        <v>1</v>
      </c>
      <c r="AX19" s="453">
        <f>IF(AND(M19="F",AS19&lt;&gt;0),SUMIF(C2:C55,C19,W2:W55),0)</f>
        <v>49774.400000000001</v>
      </c>
      <c r="AY19" s="453">
        <f t="shared" si="2"/>
        <v>49774.400000000001</v>
      </c>
      <c r="AZ19" s="453" t="str">
        <f t="shared" si="3"/>
        <v/>
      </c>
      <c r="BA19" s="453">
        <f t="shared" si="4"/>
        <v>0</v>
      </c>
      <c r="BB19" s="453">
        <f>IF(AND(AT19=1,AK19="E",AU19&gt;=0.75,AW19=1),Health,IF(AND(AT19=1,AK19="E",AU19&gt;=0.75),Health*P19,IF(AND(AT19=1,AK19="E",AU19&gt;=0.5,AW19=1),PTHealth,IF(AND(AT19=1,AK19="E",AU19&gt;=0.5),PTHealth*P19,0))))</f>
        <v>11650</v>
      </c>
      <c r="BC19" s="453">
        <f>IF(AND(AT19=3,AK19="E",AV19&gt;=0.75,AW19=1),Health,IF(AND(AT19=3,AK19="E",AV19&gt;=0.75),Health*P19,IF(AND(AT19=3,AK19="E",AV19&gt;=0.5,AW19=1),PTHealth,IF(AND(AT19=3,AK19="E",AV19&gt;=0.5),PTHealth*P19,0))))</f>
        <v>0</v>
      </c>
      <c r="BD19" s="453">
        <f>IF(AND(AT19&lt;&gt;0,AX19&gt;=MAXSSDI),SSDI*MAXSSDI*P19,IF(AT19&lt;&gt;0,SSDI*W19,0))</f>
        <v>3086.0128</v>
      </c>
      <c r="BE19" s="453">
        <f>IF(AT19&lt;&gt;0,SSHI*W19,0)</f>
        <v>721.72880000000009</v>
      </c>
      <c r="BF19" s="453">
        <f>IF(AND(AT19&lt;&gt;0,AN19&lt;&gt;"NE"),VLOOKUP(AN19,Retirement_Rates,3,FALSE)*W19,0)</f>
        <v>5943.0633600000001</v>
      </c>
      <c r="BG19" s="453">
        <f>IF(AND(AT19&lt;&gt;0,AJ19&lt;&gt;"PF"),Life*W19,0)</f>
        <v>358.873424</v>
      </c>
      <c r="BH19" s="453">
        <f>IF(AND(AT19&lt;&gt;0,AM19="Y"),UI*W19,0)</f>
        <v>243.89456000000001</v>
      </c>
      <c r="BI19" s="453">
        <f>IF(AND(AT19&lt;&gt;0,N19&lt;&gt;"NR"),DHR*W19,0)</f>
        <v>0</v>
      </c>
      <c r="BJ19" s="453">
        <f>IF(AT19&lt;&gt;0,WC*W19,0)</f>
        <v>1498.2094399999999</v>
      </c>
      <c r="BK19" s="453">
        <f>IF(OR(AND(AT19&lt;&gt;0,AJ19&lt;&gt;"PF",AN19&lt;&gt;"NE",AG19&lt;&gt;"A"),AND(AL19="E",OR(AT19=1,AT19=3))),Sick*W19,0)</f>
        <v>0</v>
      </c>
      <c r="BL19" s="453">
        <f t="shared" si="5"/>
        <v>11851.782384000002</v>
      </c>
      <c r="BM19" s="453">
        <f t="shared" si="6"/>
        <v>0</v>
      </c>
      <c r="BN19" s="453">
        <f>IF(AND(AT19=1,AK19="E",AU19&gt;=0.75,AW19=1),HealthBY,IF(AND(AT19=1,AK19="E",AU19&gt;=0.75),HealthBY*P19,IF(AND(AT19=1,AK19="E",AU19&gt;=0.5,AW19=1),PTHealthBY,IF(AND(AT19=1,AK19="E",AU19&gt;=0.5),PTHealthBY*P19,0))))</f>
        <v>11650</v>
      </c>
      <c r="BO19" s="453">
        <f>IF(AND(AT19=3,AK19="E",AV19&gt;=0.75,AW19=1),HealthBY,IF(AND(AT19=3,AK19="E",AV19&gt;=0.75),HealthBY*P19,IF(AND(AT19=3,AK19="E",AV19&gt;=0.5,AW19=1),PTHealthBY,IF(AND(AT19=3,AK19="E",AV19&gt;=0.5),PTHealthBY*P19,0))))</f>
        <v>0</v>
      </c>
      <c r="BP19" s="453">
        <f>IF(AND(AT19&lt;&gt;0,(AX19+BA19)&gt;=MAXSSDIBY),SSDIBY*MAXSSDIBY*P19,IF(AT19&lt;&gt;0,SSDIBY*W19,0))</f>
        <v>3086.0128</v>
      </c>
      <c r="BQ19" s="453">
        <f>IF(AT19&lt;&gt;0,SSHIBY*W19,0)</f>
        <v>721.72880000000009</v>
      </c>
      <c r="BR19" s="453">
        <f>IF(AND(AT19&lt;&gt;0,AN19&lt;&gt;"NE"),VLOOKUP(AN19,Retirement_Rates,4,FALSE)*W19,0)</f>
        <v>5943.0633600000001</v>
      </c>
      <c r="BS19" s="453">
        <f>IF(AND(AT19&lt;&gt;0,AJ19&lt;&gt;"PF"),LifeBY*W19,0)</f>
        <v>358.873424</v>
      </c>
      <c r="BT19" s="453">
        <f>IF(AND(AT19&lt;&gt;0,AM19="Y"),UIBY*W19,0)</f>
        <v>0</v>
      </c>
      <c r="BU19" s="453">
        <f>IF(AND(AT19&lt;&gt;0,N19&lt;&gt;"NR"),DHRBY*W19,0)</f>
        <v>0</v>
      </c>
      <c r="BV19" s="453">
        <f>IF(AT19&lt;&gt;0,WCBY*W19,0)</f>
        <v>1597.7582399999999</v>
      </c>
      <c r="BW19" s="453">
        <f>IF(OR(AND(AT19&lt;&gt;0,AJ19&lt;&gt;"PF",AN19&lt;&gt;"NE",AG19&lt;&gt;"A"),AND(AL19="E",OR(AT19=1,AT19=3))),SickBY*W19,0)</f>
        <v>0</v>
      </c>
      <c r="BX19" s="453">
        <f t="shared" si="7"/>
        <v>11707.436624</v>
      </c>
      <c r="BY19" s="453">
        <f t="shared" si="8"/>
        <v>0</v>
      </c>
      <c r="BZ19" s="453">
        <f t="shared" si="9"/>
        <v>0</v>
      </c>
      <c r="CA19" s="453">
        <f t="shared" si="10"/>
        <v>0</v>
      </c>
      <c r="CB19" s="453">
        <f t="shared" si="11"/>
        <v>0</v>
      </c>
      <c r="CC19" s="453">
        <f>IF(AT19&lt;&gt;0,SSHICHG*Y19,0)</f>
        <v>0</v>
      </c>
      <c r="CD19" s="453">
        <f>IF(AND(AT19&lt;&gt;0,AN19&lt;&gt;"NE"),VLOOKUP(AN19,Retirement_Rates,5,FALSE)*Y19,0)</f>
        <v>0</v>
      </c>
      <c r="CE19" s="453">
        <f>IF(AND(AT19&lt;&gt;0,AJ19&lt;&gt;"PF"),LifeCHG*Y19,0)</f>
        <v>0</v>
      </c>
      <c r="CF19" s="453">
        <f>IF(AND(AT19&lt;&gt;0,AM19="Y"),UICHG*Y19,0)</f>
        <v>-243.89456000000001</v>
      </c>
      <c r="CG19" s="453">
        <f>IF(AND(AT19&lt;&gt;0,N19&lt;&gt;"NR"),DHRCHG*Y19,0)</f>
        <v>0</v>
      </c>
      <c r="CH19" s="453">
        <f>IF(AT19&lt;&gt;0,WCCHG*Y19,0)</f>
        <v>99.548799999999915</v>
      </c>
      <c r="CI19" s="453">
        <f>IF(OR(AND(AT19&lt;&gt;0,AJ19&lt;&gt;"PF",AN19&lt;&gt;"NE",AG19&lt;&gt;"A"),AND(AL19="E",OR(AT19=1,AT19=3))),SickCHG*Y19,0)</f>
        <v>0</v>
      </c>
      <c r="CJ19" s="453">
        <f t="shared" si="12"/>
        <v>-144.3457600000001</v>
      </c>
      <c r="CK19" s="453" t="str">
        <f t="shared" si="13"/>
        <v/>
      </c>
      <c r="CL19" s="453" t="str">
        <f t="shared" si="14"/>
        <v/>
      </c>
      <c r="CM19" s="453" t="str">
        <f t="shared" si="15"/>
        <v/>
      </c>
      <c r="CN19" s="453" t="str">
        <f t="shared" si="16"/>
        <v>0421-01</v>
      </c>
    </row>
    <row r="20" spans="1:92" ht="15" thickBot="1" x14ac:dyDescent="0.35">
      <c r="A20" s="368" t="s">
        <v>161</v>
      </c>
      <c r="B20" s="368" t="s">
        <v>162</v>
      </c>
      <c r="C20" s="368" t="s">
        <v>285</v>
      </c>
      <c r="D20" s="368" t="s">
        <v>286</v>
      </c>
      <c r="E20" s="368" t="s">
        <v>165</v>
      </c>
      <c r="F20" s="369" t="s">
        <v>166</v>
      </c>
      <c r="G20" s="368" t="s">
        <v>167</v>
      </c>
      <c r="H20" s="370"/>
      <c r="I20" s="370"/>
      <c r="J20" s="368" t="s">
        <v>168</v>
      </c>
      <c r="K20" s="368" t="s">
        <v>287</v>
      </c>
      <c r="L20" s="368" t="s">
        <v>200</v>
      </c>
      <c r="M20" s="368" t="s">
        <v>288</v>
      </c>
      <c r="N20" s="368" t="s">
        <v>289</v>
      </c>
      <c r="O20" s="371">
        <v>0</v>
      </c>
      <c r="P20" s="451">
        <v>1</v>
      </c>
      <c r="Q20" s="451">
        <v>0</v>
      </c>
      <c r="R20" s="372">
        <v>0</v>
      </c>
      <c r="S20" s="451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0"/>
      <c r="AB20" s="368" t="s">
        <v>45</v>
      </c>
      <c r="AC20" s="368" t="s">
        <v>45</v>
      </c>
      <c r="AD20" s="370"/>
      <c r="AE20" s="370"/>
      <c r="AF20" s="370"/>
      <c r="AG20" s="370"/>
      <c r="AH20" s="371">
        <v>0</v>
      </c>
      <c r="AI20" s="371">
        <v>0</v>
      </c>
      <c r="AJ20" s="370"/>
      <c r="AK20" s="370"/>
      <c r="AL20" s="368" t="s">
        <v>181</v>
      </c>
      <c r="AM20" s="370"/>
      <c r="AN20" s="370"/>
      <c r="AO20" s="371">
        <v>0</v>
      </c>
      <c r="AP20" s="451">
        <v>0</v>
      </c>
      <c r="AQ20" s="451">
        <v>0</v>
      </c>
      <c r="AR20" s="450"/>
      <c r="AS20" s="453">
        <f t="shared" si="0"/>
        <v>0</v>
      </c>
      <c r="AT20">
        <f t="shared" si="1"/>
        <v>0</v>
      </c>
      <c r="AU20" s="453" t="str">
        <f>IF(AT20=0,"",IF(AND(AT20=1,M20="F",SUMIF(C2:C55,C20,AS2:AS55)&lt;=1),SUMIF(C2:C55,C20,AS2:AS55),IF(AND(AT20=1,M20="F",SUMIF(C2:C55,C20,AS2:AS55)&gt;1),1,"")))</f>
        <v/>
      </c>
      <c r="AV20" s="453" t="str">
        <f>IF(AT20=0,"",IF(AND(AT20=3,M20="F",SUMIF(C2:C55,C20,AS2:AS55)&lt;=1),SUMIF(C2:C55,C20,AS2:AS55),IF(AND(AT20=3,M20="F",SUMIF(C2:C55,C20,AS2:AS55)&gt;1),1,"")))</f>
        <v/>
      </c>
      <c r="AW20" s="453">
        <f>SUMIF(C2:C55,C20,O2:O55)</f>
        <v>0</v>
      </c>
      <c r="AX20" s="453">
        <f>IF(AND(M20="F",AS20&lt;&gt;0),SUMIF(C2:C55,C20,W2:W55),0)</f>
        <v>0</v>
      </c>
      <c r="AY20" s="453" t="str">
        <f t="shared" si="2"/>
        <v/>
      </c>
      <c r="AZ20" s="453" t="str">
        <f t="shared" si="3"/>
        <v/>
      </c>
      <c r="BA20" s="453">
        <f t="shared" si="4"/>
        <v>0</v>
      </c>
      <c r="BB20" s="453">
        <f>IF(AND(AT20=1,AK20="E",AU20&gt;=0.75,AW20=1),Health,IF(AND(AT20=1,AK20="E",AU20&gt;=0.75),Health*P20,IF(AND(AT20=1,AK20="E",AU20&gt;=0.5,AW20=1),PTHealth,IF(AND(AT20=1,AK20="E",AU20&gt;=0.5),PTHealth*P20,0))))</f>
        <v>0</v>
      </c>
      <c r="BC20" s="453">
        <f>IF(AND(AT20=3,AK20="E",AV20&gt;=0.75,AW20=1),Health,IF(AND(AT20=3,AK20="E",AV20&gt;=0.75),Health*P20,IF(AND(AT20=3,AK20="E",AV20&gt;=0.5,AW20=1),PTHealth,IF(AND(AT20=3,AK20="E",AV20&gt;=0.5),PTHealth*P20,0))))</f>
        <v>0</v>
      </c>
      <c r="BD20" s="453">
        <f>IF(AND(AT20&lt;&gt;0,AX20&gt;=MAXSSDI),SSDI*MAXSSDI*P20,IF(AT20&lt;&gt;0,SSDI*W20,0))</f>
        <v>0</v>
      </c>
      <c r="BE20" s="453">
        <f>IF(AT20&lt;&gt;0,SSHI*W20,0)</f>
        <v>0</v>
      </c>
      <c r="BF20" s="453">
        <f>IF(AND(AT20&lt;&gt;0,AN20&lt;&gt;"NE"),VLOOKUP(AN20,Retirement_Rates,3,FALSE)*W20,0)</f>
        <v>0</v>
      </c>
      <c r="BG20" s="453">
        <f>IF(AND(AT20&lt;&gt;0,AJ20&lt;&gt;"PF"),Life*W20,0)</f>
        <v>0</v>
      </c>
      <c r="BH20" s="453">
        <f>IF(AND(AT20&lt;&gt;0,AM20="Y"),UI*W20,0)</f>
        <v>0</v>
      </c>
      <c r="BI20" s="453">
        <f>IF(AND(AT20&lt;&gt;0,N20&lt;&gt;"NR"),DHR*W20,0)</f>
        <v>0</v>
      </c>
      <c r="BJ20" s="453">
        <f>IF(AT20&lt;&gt;0,WC*W20,0)</f>
        <v>0</v>
      </c>
      <c r="BK20" s="453">
        <f>IF(OR(AND(AT20&lt;&gt;0,AJ20&lt;&gt;"PF",AN20&lt;&gt;"NE",AG20&lt;&gt;"A"),AND(AL20="E",OR(AT20=1,AT20=3))),Sick*W20,0)</f>
        <v>0</v>
      </c>
      <c r="BL20" s="453">
        <f t="shared" si="5"/>
        <v>0</v>
      </c>
      <c r="BM20" s="453">
        <f t="shared" si="6"/>
        <v>0</v>
      </c>
      <c r="BN20" s="453">
        <f>IF(AND(AT20=1,AK20="E",AU20&gt;=0.75,AW20=1),HealthBY,IF(AND(AT20=1,AK20="E",AU20&gt;=0.75),HealthBY*P20,IF(AND(AT20=1,AK20="E",AU20&gt;=0.5,AW20=1),PTHealthBY,IF(AND(AT20=1,AK20="E",AU20&gt;=0.5),PTHealthBY*P20,0))))</f>
        <v>0</v>
      </c>
      <c r="BO20" s="453">
        <f>IF(AND(AT20=3,AK20="E",AV20&gt;=0.75,AW20=1),HealthBY,IF(AND(AT20=3,AK20="E",AV20&gt;=0.75),HealthBY*P20,IF(AND(AT20=3,AK20="E",AV20&gt;=0.5,AW20=1),PTHealthBY,IF(AND(AT20=3,AK20="E",AV20&gt;=0.5),PTHealthBY*P20,0))))</f>
        <v>0</v>
      </c>
      <c r="BP20" s="453">
        <f>IF(AND(AT20&lt;&gt;0,(AX20+BA20)&gt;=MAXSSDIBY),SSDIBY*MAXSSDIBY*P20,IF(AT20&lt;&gt;0,SSDIBY*W20,0))</f>
        <v>0</v>
      </c>
      <c r="BQ20" s="453">
        <f>IF(AT20&lt;&gt;0,SSHIBY*W20,0)</f>
        <v>0</v>
      </c>
      <c r="BR20" s="453">
        <f>IF(AND(AT20&lt;&gt;0,AN20&lt;&gt;"NE"),VLOOKUP(AN20,Retirement_Rates,4,FALSE)*W20,0)</f>
        <v>0</v>
      </c>
      <c r="BS20" s="453">
        <f>IF(AND(AT20&lt;&gt;0,AJ20&lt;&gt;"PF"),LifeBY*W20,0)</f>
        <v>0</v>
      </c>
      <c r="BT20" s="453">
        <f>IF(AND(AT20&lt;&gt;0,AM20="Y"),UIBY*W20,0)</f>
        <v>0</v>
      </c>
      <c r="BU20" s="453">
        <f>IF(AND(AT20&lt;&gt;0,N20&lt;&gt;"NR"),DHRBY*W20,0)</f>
        <v>0</v>
      </c>
      <c r="BV20" s="453">
        <f>IF(AT20&lt;&gt;0,WCBY*W20,0)</f>
        <v>0</v>
      </c>
      <c r="BW20" s="453">
        <f>IF(OR(AND(AT20&lt;&gt;0,AJ20&lt;&gt;"PF",AN20&lt;&gt;"NE",AG20&lt;&gt;"A"),AND(AL20="E",OR(AT20=1,AT20=3))),SickBY*W20,0)</f>
        <v>0</v>
      </c>
      <c r="BX20" s="453">
        <f t="shared" si="7"/>
        <v>0</v>
      </c>
      <c r="BY20" s="453">
        <f t="shared" si="8"/>
        <v>0</v>
      </c>
      <c r="BZ20" s="453">
        <f t="shared" si="9"/>
        <v>0</v>
      </c>
      <c r="CA20" s="453">
        <f t="shared" si="10"/>
        <v>0</v>
      </c>
      <c r="CB20" s="453">
        <f t="shared" si="11"/>
        <v>0</v>
      </c>
      <c r="CC20" s="453">
        <f>IF(AT20&lt;&gt;0,SSHICHG*Y20,0)</f>
        <v>0</v>
      </c>
      <c r="CD20" s="453">
        <f>IF(AND(AT20&lt;&gt;0,AN20&lt;&gt;"NE"),VLOOKUP(AN20,Retirement_Rates,5,FALSE)*Y20,0)</f>
        <v>0</v>
      </c>
      <c r="CE20" s="453">
        <f>IF(AND(AT20&lt;&gt;0,AJ20&lt;&gt;"PF"),LifeCHG*Y20,0)</f>
        <v>0</v>
      </c>
      <c r="CF20" s="453">
        <f>IF(AND(AT20&lt;&gt;0,AM20="Y"),UICHG*Y20,0)</f>
        <v>0</v>
      </c>
      <c r="CG20" s="453">
        <f>IF(AND(AT20&lt;&gt;0,N20&lt;&gt;"NR"),DHRCHG*Y20,0)</f>
        <v>0</v>
      </c>
      <c r="CH20" s="453">
        <f>IF(AT20&lt;&gt;0,WCCHG*Y20,0)</f>
        <v>0</v>
      </c>
      <c r="CI20" s="453">
        <f>IF(OR(AND(AT20&lt;&gt;0,AJ20&lt;&gt;"PF",AN20&lt;&gt;"NE",AG20&lt;&gt;"A"),AND(AL20="E",OR(AT20=1,AT20=3))),SickCHG*Y20,0)</f>
        <v>0</v>
      </c>
      <c r="CJ20" s="453">
        <f t="shared" si="12"/>
        <v>0</v>
      </c>
      <c r="CK20" s="453" t="str">
        <f t="shared" si="13"/>
        <v/>
      </c>
      <c r="CL20" s="453">
        <f t="shared" si="14"/>
        <v>0</v>
      </c>
      <c r="CM20" s="453">
        <f t="shared" si="15"/>
        <v>0</v>
      </c>
      <c r="CN20" s="453" t="str">
        <f t="shared" si="16"/>
        <v>0421-01</v>
      </c>
    </row>
    <row r="21" spans="1:92" ht="15" thickBot="1" x14ac:dyDescent="0.35">
      <c r="A21" s="368" t="s">
        <v>161</v>
      </c>
      <c r="B21" s="368" t="s">
        <v>162</v>
      </c>
      <c r="C21" s="368" t="s">
        <v>290</v>
      </c>
      <c r="D21" s="368" t="s">
        <v>164</v>
      </c>
      <c r="E21" s="368" t="s">
        <v>165</v>
      </c>
      <c r="F21" s="369" t="s">
        <v>166</v>
      </c>
      <c r="G21" s="368" t="s">
        <v>167</v>
      </c>
      <c r="H21" s="370"/>
      <c r="I21" s="370"/>
      <c r="J21" s="368" t="s">
        <v>168</v>
      </c>
      <c r="K21" s="368" t="s">
        <v>291</v>
      </c>
      <c r="L21" s="368" t="s">
        <v>260</v>
      </c>
      <c r="M21" s="368" t="s">
        <v>171</v>
      </c>
      <c r="N21" s="368" t="s">
        <v>172</v>
      </c>
      <c r="O21" s="371">
        <v>1</v>
      </c>
      <c r="P21" s="451">
        <v>1</v>
      </c>
      <c r="Q21" s="451">
        <v>1</v>
      </c>
      <c r="R21" s="372">
        <v>80</v>
      </c>
      <c r="S21" s="451">
        <v>1</v>
      </c>
      <c r="T21" s="372">
        <v>54882.17</v>
      </c>
      <c r="U21" s="372">
        <v>0</v>
      </c>
      <c r="V21" s="372">
        <v>23271.97</v>
      </c>
      <c r="W21" s="372">
        <v>57324.800000000003</v>
      </c>
      <c r="X21" s="372">
        <v>25299.58</v>
      </c>
      <c r="Y21" s="372">
        <v>57324.800000000003</v>
      </c>
      <c r="Z21" s="372">
        <v>25133.34</v>
      </c>
      <c r="AA21" s="368" t="s">
        <v>292</v>
      </c>
      <c r="AB21" s="368" t="s">
        <v>293</v>
      </c>
      <c r="AC21" s="368" t="s">
        <v>294</v>
      </c>
      <c r="AD21" s="368" t="s">
        <v>295</v>
      </c>
      <c r="AE21" s="368" t="s">
        <v>291</v>
      </c>
      <c r="AF21" s="368" t="s">
        <v>296</v>
      </c>
      <c r="AG21" s="368" t="s">
        <v>178</v>
      </c>
      <c r="AH21" s="373">
        <v>27.56</v>
      </c>
      <c r="AI21" s="373">
        <v>16728.3</v>
      </c>
      <c r="AJ21" s="368" t="s">
        <v>179</v>
      </c>
      <c r="AK21" s="368" t="s">
        <v>180</v>
      </c>
      <c r="AL21" s="368" t="s">
        <v>181</v>
      </c>
      <c r="AM21" s="368" t="s">
        <v>182</v>
      </c>
      <c r="AN21" s="368" t="s">
        <v>68</v>
      </c>
      <c r="AO21" s="371">
        <v>80</v>
      </c>
      <c r="AP21" s="451">
        <v>1</v>
      </c>
      <c r="AQ21" s="451">
        <v>1</v>
      </c>
      <c r="AR21" s="449" t="s">
        <v>183</v>
      </c>
      <c r="AS21" s="453">
        <f t="shared" si="0"/>
        <v>1</v>
      </c>
      <c r="AT21">
        <f t="shared" si="1"/>
        <v>1</v>
      </c>
      <c r="AU21" s="453">
        <f>IF(AT21=0,"",IF(AND(AT21=1,M21="F",SUMIF(C2:C55,C21,AS2:AS55)&lt;=1),SUMIF(C2:C55,C21,AS2:AS55),IF(AND(AT21=1,M21="F",SUMIF(C2:C55,C21,AS2:AS55)&gt;1),1,"")))</f>
        <v>1</v>
      </c>
      <c r="AV21" s="453" t="str">
        <f>IF(AT21=0,"",IF(AND(AT21=3,M21="F",SUMIF(C2:C55,C21,AS2:AS55)&lt;=1),SUMIF(C2:C55,C21,AS2:AS55),IF(AND(AT21=3,M21="F",SUMIF(C2:C55,C21,AS2:AS55)&gt;1),1,"")))</f>
        <v/>
      </c>
      <c r="AW21" s="453">
        <f>SUMIF(C2:C55,C21,O2:O55)</f>
        <v>1</v>
      </c>
      <c r="AX21" s="453">
        <f>IF(AND(M21="F",AS21&lt;&gt;0),SUMIF(C2:C55,C21,W2:W55),0)</f>
        <v>57324.800000000003</v>
      </c>
      <c r="AY21" s="453">
        <f t="shared" si="2"/>
        <v>57324.800000000003</v>
      </c>
      <c r="AZ21" s="453" t="str">
        <f t="shared" si="3"/>
        <v/>
      </c>
      <c r="BA21" s="453">
        <f t="shared" si="4"/>
        <v>0</v>
      </c>
      <c r="BB21" s="453">
        <f>IF(AND(AT21=1,AK21="E",AU21&gt;=0.75,AW21=1),Health,IF(AND(AT21=1,AK21="E",AU21&gt;=0.75),Health*P21,IF(AND(AT21=1,AK21="E",AU21&gt;=0.5,AW21=1),PTHealth,IF(AND(AT21=1,AK21="E",AU21&gt;=0.5),PTHealth*P21,0))))</f>
        <v>11650</v>
      </c>
      <c r="BC21" s="453">
        <f>IF(AND(AT21=3,AK21="E",AV21&gt;=0.75,AW21=1),Health,IF(AND(AT21=3,AK21="E",AV21&gt;=0.75),Health*P21,IF(AND(AT21=3,AK21="E",AV21&gt;=0.5,AW21=1),PTHealth,IF(AND(AT21=3,AK21="E",AV21&gt;=0.5),PTHealth*P21,0))))</f>
        <v>0</v>
      </c>
      <c r="BD21" s="453">
        <f>IF(AND(AT21&lt;&gt;0,AX21&gt;=MAXSSDI),SSDI*MAXSSDI*P21,IF(AT21&lt;&gt;0,SSDI*W21,0))</f>
        <v>3554.1376</v>
      </c>
      <c r="BE21" s="453">
        <f>IF(AT21&lt;&gt;0,SSHI*W21,0)</f>
        <v>831.20960000000014</v>
      </c>
      <c r="BF21" s="453">
        <f>IF(AND(AT21&lt;&gt;0,AN21&lt;&gt;"NE"),VLOOKUP(AN21,Retirement_Rates,3,FALSE)*W21,0)</f>
        <v>6844.5811200000007</v>
      </c>
      <c r="BG21" s="453">
        <f>IF(AND(AT21&lt;&gt;0,AJ21&lt;&gt;"PF"),Life*W21,0)</f>
        <v>413.31180800000004</v>
      </c>
      <c r="BH21" s="453">
        <f>IF(AND(AT21&lt;&gt;0,AM21="Y"),UI*W21,0)</f>
        <v>280.89152000000001</v>
      </c>
      <c r="BI21" s="453">
        <f>IF(AND(AT21&lt;&gt;0,N21&lt;&gt;"NR"),DHR*W21,0)</f>
        <v>0</v>
      </c>
      <c r="BJ21" s="453">
        <f>IF(AT21&lt;&gt;0,WC*W21,0)</f>
        <v>1725.47648</v>
      </c>
      <c r="BK21" s="453">
        <f>IF(OR(AND(AT21&lt;&gt;0,AJ21&lt;&gt;"PF",AN21&lt;&gt;"NE",AG21&lt;&gt;"A"),AND(AL21="E",OR(AT21=1,AT21=3))),Sick*W21,0)</f>
        <v>0</v>
      </c>
      <c r="BL21" s="453">
        <f t="shared" si="5"/>
        <v>13649.608128</v>
      </c>
      <c r="BM21" s="453">
        <f t="shared" si="6"/>
        <v>0</v>
      </c>
      <c r="BN21" s="453">
        <f>IF(AND(AT21=1,AK21="E",AU21&gt;=0.75,AW21=1),HealthBY,IF(AND(AT21=1,AK21="E",AU21&gt;=0.75),HealthBY*P21,IF(AND(AT21=1,AK21="E",AU21&gt;=0.5,AW21=1),PTHealthBY,IF(AND(AT21=1,AK21="E",AU21&gt;=0.5),PTHealthBY*P21,0))))</f>
        <v>11650</v>
      </c>
      <c r="BO21" s="453">
        <f>IF(AND(AT21=3,AK21="E",AV21&gt;=0.75,AW21=1),HealthBY,IF(AND(AT21=3,AK21="E",AV21&gt;=0.75),HealthBY*P21,IF(AND(AT21=3,AK21="E",AV21&gt;=0.5,AW21=1),PTHealthBY,IF(AND(AT21=3,AK21="E",AV21&gt;=0.5),PTHealthBY*P21,0))))</f>
        <v>0</v>
      </c>
      <c r="BP21" s="453">
        <f>IF(AND(AT21&lt;&gt;0,(AX21+BA21)&gt;=MAXSSDIBY),SSDIBY*MAXSSDIBY*P21,IF(AT21&lt;&gt;0,SSDIBY*W21,0))</f>
        <v>3554.1376</v>
      </c>
      <c r="BQ21" s="453">
        <f>IF(AT21&lt;&gt;0,SSHIBY*W21,0)</f>
        <v>831.20960000000014</v>
      </c>
      <c r="BR21" s="453">
        <f>IF(AND(AT21&lt;&gt;0,AN21&lt;&gt;"NE"),VLOOKUP(AN21,Retirement_Rates,4,FALSE)*W21,0)</f>
        <v>6844.5811200000007</v>
      </c>
      <c r="BS21" s="453">
        <f>IF(AND(AT21&lt;&gt;0,AJ21&lt;&gt;"PF"),LifeBY*W21,0)</f>
        <v>413.31180800000004</v>
      </c>
      <c r="BT21" s="453">
        <f>IF(AND(AT21&lt;&gt;0,AM21="Y"),UIBY*W21,0)</f>
        <v>0</v>
      </c>
      <c r="BU21" s="453">
        <f>IF(AND(AT21&lt;&gt;0,N21&lt;&gt;"NR"),DHRBY*W21,0)</f>
        <v>0</v>
      </c>
      <c r="BV21" s="453">
        <f>IF(AT21&lt;&gt;0,WCBY*W21,0)</f>
        <v>1840.12608</v>
      </c>
      <c r="BW21" s="453">
        <f>IF(OR(AND(AT21&lt;&gt;0,AJ21&lt;&gt;"PF",AN21&lt;&gt;"NE",AG21&lt;&gt;"A"),AND(AL21="E",OR(AT21=1,AT21=3))),SickBY*W21,0)</f>
        <v>0</v>
      </c>
      <c r="BX21" s="453">
        <f t="shared" si="7"/>
        <v>13483.366208000001</v>
      </c>
      <c r="BY21" s="453">
        <f t="shared" si="8"/>
        <v>0</v>
      </c>
      <c r="BZ21" s="453">
        <f t="shared" si="9"/>
        <v>0</v>
      </c>
      <c r="CA21" s="453">
        <f t="shared" si="10"/>
        <v>0</v>
      </c>
      <c r="CB21" s="453">
        <f t="shared" si="11"/>
        <v>0</v>
      </c>
      <c r="CC21" s="453">
        <f>IF(AT21&lt;&gt;0,SSHICHG*Y21,0)</f>
        <v>0</v>
      </c>
      <c r="CD21" s="453">
        <f>IF(AND(AT21&lt;&gt;0,AN21&lt;&gt;"NE"),VLOOKUP(AN21,Retirement_Rates,5,FALSE)*Y21,0)</f>
        <v>0</v>
      </c>
      <c r="CE21" s="453">
        <f>IF(AND(AT21&lt;&gt;0,AJ21&lt;&gt;"PF"),LifeCHG*Y21,0)</f>
        <v>0</v>
      </c>
      <c r="CF21" s="453">
        <f>IF(AND(AT21&lt;&gt;0,AM21="Y"),UICHG*Y21,0)</f>
        <v>-280.89152000000001</v>
      </c>
      <c r="CG21" s="453">
        <f>IF(AND(AT21&lt;&gt;0,N21&lt;&gt;"NR"),DHRCHG*Y21,0)</f>
        <v>0</v>
      </c>
      <c r="CH21" s="453">
        <f>IF(AT21&lt;&gt;0,WCCHG*Y21,0)</f>
        <v>114.64959999999991</v>
      </c>
      <c r="CI21" s="453">
        <f>IF(OR(AND(AT21&lt;&gt;0,AJ21&lt;&gt;"PF",AN21&lt;&gt;"NE",AG21&lt;&gt;"A"),AND(AL21="E",OR(AT21=1,AT21=3))),SickCHG*Y21,0)</f>
        <v>0</v>
      </c>
      <c r="CJ21" s="453">
        <f t="shared" si="12"/>
        <v>-166.24192000000011</v>
      </c>
      <c r="CK21" s="453" t="str">
        <f t="shared" si="13"/>
        <v/>
      </c>
      <c r="CL21" s="453" t="str">
        <f t="shared" si="14"/>
        <v/>
      </c>
      <c r="CM21" s="453" t="str">
        <f t="shared" si="15"/>
        <v/>
      </c>
      <c r="CN21" s="453" t="str">
        <f t="shared" si="16"/>
        <v>0421-01</v>
      </c>
    </row>
    <row r="22" spans="1:92" ht="15" thickBot="1" x14ac:dyDescent="0.35">
      <c r="A22" s="368" t="s">
        <v>161</v>
      </c>
      <c r="B22" s="368" t="s">
        <v>162</v>
      </c>
      <c r="C22" s="368" t="s">
        <v>297</v>
      </c>
      <c r="D22" s="368" t="s">
        <v>286</v>
      </c>
      <c r="E22" s="368" t="s">
        <v>165</v>
      </c>
      <c r="F22" s="369" t="s">
        <v>166</v>
      </c>
      <c r="G22" s="368" t="s">
        <v>167</v>
      </c>
      <c r="H22" s="370"/>
      <c r="I22" s="370"/>
      <c r="J22" s="368" t="s">
        <v>168</v>
      </c>
      <c r="K22" s="368" t="s">
        <v>287</v>
      </c>
      <c r="L22" s="368" t="s">
        <v>200</v>
      </c>
      <c r="M22" s="368" t="s">
        <v>288</v>
      </c>
      <c r="N22" s="368" t="s">
        <v>289</v>
      </c>
      <c r="O22" s="371">
        <v>0</v>
      </c>
      <c r="P22" s="451">
        <v>1</v>
      </c>
      <c r="Q22" s="451">
        <v>0</v>
      </c>
      <c r="R22" s="372">
        <v>0</v>
      </c>
      <c r="S22" s="451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0"/>
      <c r="AB22" s="368" t="s">
        <v>45</v>
      </c>
      <c r="AC22" s="368" t="s">
        <v>45</v>
      </c>
      <c r="AD22" s="370"/>
      <c r="AE22" s="370"/>
      <c r="AF22" s="370"/>
      <c r="AG22" s="370"/>
      <c r="AH22" s="371">
        <v>0</v>
      </c>
      <c r="AI22" s="371">
        <v>0</v>
      </c>
      <c r="AJ22" s="370"/>
      <c r="AK22" s="370"/>
      <c r="AL22" s="368" t="s">
        <v>181</v>
      </c>
      <c r="AM22" s="370"/>
      <c r="AN22" s="370"/>
      <c r="AO22" s="371">
        <v>0</v>
      </c>
      <c r="AP22" s="451">
        <v>0</v>
      </c>
      <c r="AQ22" s="451">
        <v>0</v>
      </c>
      <c r="AR22" s="450"/>
      <c r="AS22" s="453">
        <f t="shared" si="0"/>
        <v>0</v>
      </c>
      <c r="AT22">
        <f t="shared" si="1"/>
        <v>0</v>
      </c>
      <c r="AU22" s="453" t="str">
        <f>IF(AT22=0,"",IF(AND(AT22=1,M22="F",SUMIF(C2:C55,C22,AS2:AS55)&lt;=1),SUMIF(C2:C55,C22,AS2:AS55),IF(AND(AT22=1,M22="F",SUMIF(C2:C55,C22,AS2:AS55)&gt;1),1,"")))</f>
        <v/>
      </c>
      <c r="AV22" s="453" t="str">
        <f>IF(AT22=0,"",IF(AND(AT22=3,M22="F",SUMIF(C2:C55,C22,AS2:AS55)&lt;=1),SUMIF(C2:C55,C22,AS2:AS55),IF(AND(AT22=3,M22="F",SUMIF(C2:C55,C22,AS2:AS55)&gt;1),1,"")))</f>
        <v/>
      </c>
      <c r="AW22" s="453">
        <f>SUMIF(C2:C55,C22,O2:O55)</f>
        <v>0</v>
      </c>
      <c r="AX22" s="453">
        <f>IF(AND(M22="F",AS22&lt;&gt;0),SUMIF(C2:C55,C22,W2:W55),0)</f>
        <v>0</v>
      </c>
      <c r="AY22" s="453" t="str">
        <f t="shared" si="2"/>
        <v/>
      </c>
      <c r="AZ22" s="453" t="str">
        <f t="shared" si="3"/>
        <v/>
      </c>
      <c r="BA22" s="453">
        <f t="shared" si="4"/>
        <v>0</v>
      </c>
      <c r="BB22" s="453">
        <f>IF(AND(AT22=1,AK22="E",AU22&gt;=0.75,AW22=1),Health,IF(AND(AT22=1,AK22="E",AU22&gt;=0.75),Health*P22,IF(AND(AT22=1,AK22="E",AU22&gt;=0.5,AW22=1),PTHealth,IF(AND(AT22=1,AK22="E",AU22&gt;=0.5),PTHealth*P22,0))))</f>
        <v>0</v>
      </c>
      <c r="BC22" s="453">
        <f>IF(AND(AT22=3,AK22="E",AV22&gt;=0.75,AW22=1),Health,IF(AND(AT22=3,AK22="E",AV22&gt;=0.75),Health*P22,IF(AND(AT22=3,AK22="E",AV22&gt;=0.5,AW22=1),PTHealth,IF(AND(AT22=3,AK22="E",AV22&gt;=0.5),PTHealth*P22,0))))</f>
        <v>0</v>
      </c>
      <c r="BD22" s="453">
        <f>IF(AND(AT22&lt;&gt;0,AX22&gt;=MAXSSDI),SSDI*MAXSSDI*P22,IF(AT22&lt;&gt;0,SSDI*W22,0))</f>
        <v>0</v>
      </c>
      <c r="BE22" s="453">
        <f>IF(AT22&lt;&gt;0,SSHI*W22,0)</f>
        <v>0</v>
      </c>
      <c r="BF22" s="453">
        <f>IF(AND(AT22&lt;&gt;0,AN22&lt;&gt;"NE"),VLOOKUP(AN22,Retirement_Rates,3,FALSE)*W22,0)</f>
        <v>0</v>
      </c>
      <c r="BG22" s="453">
        <f>IF(AND(AT22&lt;&gt;0,AJ22&lt;&gt;"PF"),Life*W22,0)</f>
        <v>0</v>
      </c>
      <c r="BH22" s="453">
        <f>IF(AND(AT22&lt;&gt;0,AM22="Y"),UI*W22,0)</f>
        <v>0</v>
      </c>
      <c r="BI22" s="453">
        <f>IF(AND(AT22&lt;&gt;0,N22&lt;&gt;"NR"),DHR*W22,0)</f>
        <v>0</v>
      </c>
      <c r="BJ22" s="453">
        <f>IF(AT22&lt;&gt;0,WC*W22,0)</f>
        <v>0</v>
      </c>
      <c r="BK22" s="453">
        <f>IF(OR(AND(AT22&lt;&gt;0,AJ22&lt;&gt;"PF",AN22&lt;&gt;"NE",AG22&lt;&gt;"A"),AND(AL22="E",OR(AT22=1,AT22=3))),Sick*W22,0)</f>
        <v>0</v>
      </c>
      <c r="BL22" s="453">
        <f t="shared" si="5"/>
        <v>0</v>
      </c>
      <c r="BM22" s="453">
        <f t="shared" si="6"/>
        <v>0</v>
      </c>
      <c r="BN22" s="453">
        <f>IF(AND(AT22=1,AK22="E",AU22&gt;=0.75,AW22=1),HealthBY,IF(AND(AT22=1,AK22="E",AU22&gt;=0.75),HealthBY*P22,IF(AND(AT22=1,AK22="E",AU22&gt;=0.5,AW22=1),PTHealthBY,IF(AND(AT22=1,AK22="E",AU22&gt;=0.5),PTHealthBY*P22,0))))</f>
        <v>0</v>
      </c>
      <c r="BO22" s="453">
        <f>IF(AND(AT22=3,AK22="E",AV22&gt;=0.75,AW22=1),HealthBY,IF(AND(AT22=3,AK22="E",AV22&gt;=0.75),HealthBY*P22,IF(AND(AT22=3,AK22="E",AV22&gt;=0.5,AW22=1),PTHealthBY,IF(AND(AT22=3,AK22="E",AV22&gt;=0.5),PTHealthBY*P22,0))))</f>
        <v>0</v>
      </c>
      <c r="BP22" s="453">
        <f>IF(AND(AT22&lt;&gt;0,(AX22+BA22)&gt;=MAXSSDIBY),SSDIBY*MAXSSDIBY*P22,IF(AT22&lt;&gt;0,SSDIBY*W22,0))</f>
        <v>0</v>
      </c>
      <c r="BQ22" s="453">
        <f>IF(AT22&lt;&gt;0,SSHIBY*W22,0)</f>
        <v>0</v>
      </c>
      <c r="BR22" s="453">
        <f>IF(AND(AT22&lt;&gt;0,AN22&lt;&gt;"NE"),VLOOKUP(AN22,Retirement_Rates,4,FALSE)*W22,0)</f>
        <v>0</v>
      </c>
      <c r="BS22" s="453">
        <f>IF(AND(AT22&lt;&gt;0,AJ22&lt;&gt;"PF"),LifeBY*W22,0)</f>
        <v>0</v>
      </c>
      <c r="BT22" s="453">
        <f>IF(AND(AT22&lt;&gt;0,AM22="Y"),UIBY*W22,0)</f>
        <v>0</v>
      </c>
      <c r="BU22" s="453">
        <f>IF(AND(AT22&lt;&gt;0,N22&lt;&gt;"NR"),DHRBY*W22,0)</f>
        <v>0</v>
      </c>
      <c r="BV22" s="453">
        <f>IF(AT22&lt;&gt;0,WCBY*W22,0)</f>
        <v>0</v>
      </c>
      <c r="BW22" s="453">
        <f>IF(OR(AND(AT22&lt;&gt;0,AJ22&lt;&gt;"PF",AN22&lt;&gt;"NE",AG22&lt;&gt;"A"),AND(AL22="E",OR(AT22=1,AT22=3))),SickBY*W22,0)</f>
        <v>0</v>
      </c>
      <c r="BX22" s="453">
        <f t="shared" si="7"/>
        <v>0</v>
      </c>
      <c r="BY22" s="453">
        <f t="shared" si="8"/>
        <v>0</v>
      </c>
      <c r="BZ22" s="453">
        <f t="shared" si="9"/>
        <v>0</v>
      </c>
      <c r="CA22" s="453">
        <f t="shared" si="10"/>
        <v>0</v>
      </c>
      <c r="CB22" s="453">
        <f t="shared" si="11"/>
        <v>0</v>
      </c>
      <c r="CC22" s="453">
        <f>IF(AT22&lt;&gt;0,SSHICHG*Y22,0)</f>
        <v>0</v>
      </c>
      <c r="CD22" s="453">
        <f>IF(AND(AT22&lt;&gt;0,AN22&lt;&gt;"NE"),VLOOKUP(AN22,Retirement_Rates,5,FALSE)*Y22,0)</f>
        <v>0</v>
      </c>
      <c r="CE22" s="453">
        <f>IF(AND(AT22&lt;&gt;0,AJ22&lt;&gt;"PF"),LifeCHG*Y22,0)</f>
        <v>0</v>
      </c>
      <c r="CF22" s="453">
        <f>IF(AND(AT22&lt;&gt;0,AM22="Y"),UICHG*Y22,0)</f>
        <v>0</v>
      </c>
      <c r="CG22" s="453">
        <f>IF(AND(AT22&lt;&gt;0,N22&lt;&gt;"NR"),DHRCHG*Y22,0)</f>
        <v>0</v>
      </c>
      <c r="CH22" s="453">
        <f>IF(AT22&lt;&gt;0,WCCHG*Y22,0)</f>
        <v>0</v>
      </c>
      <c r="CI22" s="453">
        <f>IF(OR(AND(AT22&lt;&gt;0,AJ22&lt;&gt;"PF",AN22&lt;&gt;"NE",AG22&lt;&gt;"A"),AND(AL22="E",OR(AT22=1,AT22=3))),SickCHG*Y22,0)</f>
        <v>0</v>
      </c>
      <c r="CJ22" s="453">
        <f t="shared" si="12"/>
        <v>0</v>
      </c>
      <c r="CK22" s="453" t="str">
        <f t="shared" si="13"/>
        <v/>
      </c>
      <c r="CL22" s="453">
        <f t="shared" si="14"/>
        <v>0</v>
      </c>
      <c r="CM22" s="453">
        <f t="shared" si="15"/>
        <v>0</v>
      </c>
      <c r="CN22" s="453" t="str">
        <f t="shared" si="16"/>
        <v>0421-01</v>
      </c>
    </row>
    <row r="23" spans="1:92" ht="15" thickBot="1" x14ac:dyDescent="0.35">
      <c r="A23" s="368" t="s">
        <v>161</v>
      </c>
      <c r="B23" s="368" t="s">
        <v>162</v>
      </c>
      <c r="C23" s="368" t="s">
        <v>298</v>
      </c>
      <c r="D23" s="368" t="s">
        <v>299</v>
      </c>
      <c r="E23" s="368" t="s">
        <v>165</v>
      </c>
      <c r="F23" s="369" t="s">
        <v>166</v>
      </c>
      <c r="G23" s="368" t="s">
        <v>167</v>
      </c>
      <c r="H23" s="370"/>
      <c r="I23" s="370"/>
      <c r="J23" s="368" t="s">
        <v>168</v>
      </c>
      <c r="K23" s="368" t="s">
        <v>300</v>
      </c>
      <c r="L23" s="368" t="s">
        <v>200</v>
      </c>
      <c r="M23" s="368" t="s">
        <v>171</v>
      </c>
      <c r="N23" s="368" t="s">
        <v>172</v>
      </c>
      <c r="O23" s="371">
        <v>1</v>
      </c>
      <c r="P23" s="451">
        <v>1</v>
      </c>
      <c r="Q23" s="451">
        <v>1</v>
      </c>
      <c r="R23" s="372">
        <v>80</v>
      </c>
      <c r="S23" s="451">
        <v>1</v>
      </c>
      <c r="T23" s="372">
        <v>47294.28</v>
      </c>
      <c r="U23" s="372">
        <v>0</v>
      </c>
      <c r="V23" s="372">
        <v>16013.36</v>
      </c>
      <c r="W23" s="372">
        <v>61713.599999999999</v>
      </c>
      <c r="X23" s="372">
        <v>26344.59</v>
      </c>
      <c r="Y23" s="372">
        <v>61713.599999999999</v>
      </c>
      <c r="Z23" s="372">
        <v>26165.63</v>
      </c>
      <c r="AA23" s="368" t="s">
        <v>301</v>
      </c>
      <c r="AB23" s="368" t="s">
        <v>302</v>
      </c>
      <c r="AC23" s="368" t="s">
        <v>203</v>
      </c>
      <c r="AD23" s="368" t="s">
        <v>303</v>
      </c>
      <c r="AE23" s="368" t="s">
        <v>300</v>
      </c>
      <c r="AF23" s="368" t="s">
        <v>177</v>
      </c>
      <c r="AG23" s="368" t="s">
        <v>178</v>
      </c>
      <c r="AH23" s="373">
        <v>29.67</v>
      </c>
      <c r="AI23" s="373">
        <v>22395.5</v>
      </c>
      <c r="AJ23" s="368" t="s">
        <v>179</v>
      </c>
      <c r="AK23" s="368" t="s">
        <v>180</v>
      </c>
      <c r="AL23" s="368" t="s">
        <v>181</v>
      </c>
      <c r="AM23" s="368" t="s">
        <v>182</v>
      </c>
      <c r="AN23" s="368" t="s">
        <v>68</v>
      </c>
      <c r="AO23" s="371">
        <v>80</v>
      </c>
      <c r="AP23" s="451">
        <v>1</v>
      </c>
      <c r="AQ23" s="451">
        <v>1</v>
      </c>
      <c r="AR23" s="449" t="s">
        <v>183</v>
      </c>
      <c r="AS23" s="453">
        <f t="shared" si="0"/>
        <v>1</v>
      </c>
      <c r="AT23">
        <f t="shared" si="1"/>
        <v>1</v>
      </c>
      <c r="AU23" s="453">
        <f>IF(AT23=0,"",IF(AND(AT23=1,M23="F",SUMIF(C2:C55,C23,AS2:AS55)&lt;=1),SUMIF(C2:C55,C23,AS2:AS55),IF(AND(AT23=1,M23="F",SUMIF(C2:C55,C23,AS2:AS55)&gt;1),1,"")))</f>
        <v>1</v>
      </c>
      <c r="AV23" s="453" t="str">
        <f>IF(AT23=0,"",IF(AND(AT23=3,M23="F",SUMIF(C2:C55,C23,AS2:AS55)&lt;=1),SUMIF(C2:C55,C23,AS2:AS55),IF(AND(AT23=3,M23="F",SUMIF(C2:C55,C23,AS2:AS55)&gt;1),1,"")))</f>
        <v/>
      </c>
      <c r="AW23" s="453">
        <f>SUMIF(C2:C55,C23,O2:O55)</f>
        <v>1</v>
      </c>
      <c r="AX23" s="453">
        <f>IF(AND(M23="F",AS23&lt;&gt;0),SUMIF(C2:C55,C23,W2:W55),0)</f>
        <v>61713.599999999999</v>
      </c>
      <c r="AY23" s="453">
        <f t="shared" si="2"/>
        <v>61713.599999999999</v>
      </c>
      <c r="AZ23" s="453" t="str">
        <f t="shared" si="3"/>
        <v/>
      </c>
      <c r="BA23" s="453">
        <f t="shared" si="4"/>
        <v>0</v>
      </c>
      <c r="BB23" s="453">
        <f>IF(AND(AT23=1,AK23="E",AU23&gt;=0.75,AW23=1),Health,IF(AND(AT23=1,AK23="E",AU23&gt;=0.75),Health*P23,IF(AND(AT23=1,AK23="E",AU23&gt;=0.5,AW23=1),PTHealth,IF(AND(AT23=1,AK23="E",AU23&gt;=0.5),PTHealth*P23,0))))</f>
        <v>11650</v>
      </c>
      <c r="BC23" s="453">
        <f>IF(AND(AT23=3,AK23="E",AV23&gt;=0.75,AW23=1),Health,IF(AND(AT23=3,AK23="E",AV23&gt;=0.75),Health*P23,IF(AND(AT23=3,AK23="E",AV23&gt;=0.5,AW23=1),PTHealth,IF(AND(AT23=3,AK23="E",AV23&gt;=0.5),PTHealth*P23,0))))</f>
        <v>0</v>
      </c>
      <c r="BD23" s="453">
        <f>IF(AND(AT23&lt;&gt;0,AX23&gt;=MAXSSDI),SSDI*MAXSSDI*P23,IF(AT23&lt;&gt;0,SSDI*W23,0))</f>
        <v>3826.2431999999999</v>
      </c>
      <c r="BE23" s="453">
        <f>IF(AT23&lt;&gt;0,SSHI*W23,0)</f>
        <v>894.84720000000004</v>
      </c>
      <c r="BF23" s="453">
        <f>IF(AND(AT23&lt;&gt;0,AN23&lt;&gt;"NE"),VLOOKUP(AN23,Retirement_Rates,3,FALSE)*W23,0)</f>
        <v>7368.6038399999998</v>
      </c>
      <c r="BG23" s="453">
        <f>IF(AND(AT23&lt;&gt;0,AJ23&lt;&gt;"PF"),Life*W23,0)</f>
        <v>444.95505600000001</v>
      </c>
      <c r="BH23" s="453">
        <f>IF(AND(AT23&lt;&gt;0,AM23="Y"),UI*W23,0)</f>
        <v>302.39663999999999</v>
      </c>
      <c r="BI23" s="453">
        <f>IF(AND(AT23&lt;&gt;0,N23&lt;&gt;"NR"),DHR*W23,0)</f>
        <v>0</v>
      </c>
      <c r="BJ23" s="453">
        <f>IF(AT23&lt;&gt;0,WC*W23,0)</f>
        <v>1857.57936</v>
      </c>
      <c r="BK23" s="453">
        <f>IF(OR(AND(AT23&lt;&gt;0,AJ23&lt;&gt;"PF",AN23&lt;&gt;"NE",AG23&lt;&gt;"A"),AND(AL23="E",OR(AT23=1,AT23=3))),Sick*W23,0)</f>
        <v>0</v>
      </c>
      <c r="BL23" s="453">
        <f t="shared" si="5"/>
        <v>14694.625296000002</v>
      </c>
      <c r="BM23" s="453">
        <f t="shared" si="6"/>
        <v>0</v>
      </c>
      <c r="BN23" s="453">
        <f>IF(AND(AT23=1,AK23="E",AU23&gt;=0.75,AW23=1),HealthBY,IF(AND(AT23=1,AK23="E",AU23&gt;=0.75),HealthBY*P23,IF(AND(AT23=1,AK23="E",AU23&gt;=0.5,AW23=1),PTHealthBY,IF(AND(AT23=1,AK23="E",AU23&gt;=0.5),PTHealthBY*P23,0))))</f>
        <v>11650</v>
      </c>
      <c r="BO23" s="453">
        <f>IF(AND(AT23=3,AK23="E",AV23&gt;=0.75,AW23=1),HealthBY,IF(AND(AT23=3,AK23="E",AV23&gt;=0.75),HealthBY*P23,IF(AND(AT23=3,AK23="E",AV23&gt;=0.5,AW23=1),PTHealthBY,IF(AND(AT23=3,AK23="E",AV23&gt;=0.5),PTHealthBY*P23,0))))</f>
        <v>0</v>
      </c>
      <c r="BP23" s="453">
        <f>IF(AND(AT23&lt;&gt;0,(AX23+BA23)&gt;=MAXSSDIBY),SSDIBY*MAXSSDIBY*P23,IF(AT23&lt;&gt;0,SSDIBY*W23,0))</f>
        <v>3826.2431999999999</v>
      </c>
      <c r="BQ23" s="453">
        <f>IF(AT23&lt;&gt;0,SSHIBY*W23,0)</f>
        <v>894.84720000000004</v>
      </c>
      <c r="BR23" s="453">
        <f>IF(AND(AT23&lt;&gt;0,AN23&lt;&gt;"NE"),VLOOKUP(AN23,Retirement_Rates,4,FALSE)*W23,0)</f>
        <v>7368.6038399999998</v>
      </c>
      <c r="BS23" s="453">
        <f>IF(AND(AT23&lt;&gt;0,AJ23&lt;&gt;"PF"),LifeBY*W23,0)</f>
        <v>444.95505600000001</v>
      </c>
      <c r="BT23" s="453">
        <f>IF(AND(AT23&lt;&gt;0,AM23="Y"),UIBY*W23,0)</f>
        <v>0</v>
      </c>
      <c r="BU23" s="453">
        <f>IF(AND(AT23&lt;&gt;0,N23&lt;&gt;"NR"),DHRBY*W23,0)</f>
        <v>0</v>
      </c>
      <c r="BV23" s="453">
        <f>IF(AT23&lt;&gt;0,WCBY*W23,0)</f>
        <v>1981.0065599999998</v>
      </c>
      <c r="BW23" s="453">
        <f>IF(OR(AND(AT23&lt;&gt;0,AJ23&lt;&gt;"PF",AN23&lt;&gt;"NE",AG23&lt;&gt;"A"),AND(AL23="E",OR(AT23=1,AT23=3))),SickBY*W23,0)</f>
        <v>0</v>
      </c>
      <c r="BX23" s="453">
        <f t="shared" si="7"/>
        <v>14515.655856000001</v>
      </c>
      <c r="BY23" s="453">
        <f t="shared" si="8"/>
        <v>0</v>
      </c>
      <c r="BZ23" s="453">
        <f t="shared" si="9"/>
        <v>0</v>
      </c>
      <c r="CA23" s="453">
        <f t="shared" si="10"/>
        <v>0</v>
      </c>
      <c r="CB23" s="453">
        <f t="shared" si="11"/>
        <v>0</v>
      </c>
      <c r="CC23" s="453">
        <f>IF(AT23&lt;&gt;0,SSHICHG*Y23,0)</f>
        <v>0</v>
      </c>
      <c r="CD23" s="453">
        <f>IF(AND(AT23&lt;&gt;0,AN23&lt;&gt;"NE"),VLOOKUP(AN23,Retirement_Rates,5,FALSE)*Y23,0)</f>
        <v>0</v>
      </c>
      <c r="CE23" s="453">
        <f>IF(AND(AT23&lt;&gt;0,AJ23&lt;&gt;"PF"),LifeCHG*Y23,0)</f>
        <v>0</v>
      </c>
      <c r="CF23" s="453">
        <f>IF(AND(AT23&lt;&gt;0,AM23="Y"),UICHG*Y23,0)</f>
        <v>-302.39663999999999</v>
      </c>
      <c r="CG23" s="453">
        <f>IF(AND(AT23&lt;&gt;0,N23&lt;&gt;"NR"),DHRCHG*Y23,0)</f>
        <v>0</v>
      </c>
      <c r="CH23" s="453">
        <f>IF(AT23&lt;&gt;0,WCCHG*Y23,0)</f>
        <v>123.4271999999999</v>
      </c>
      <c r="CI23" s="453">
        <f>IF(OR(AND(AT23&lt;&gt;0,AJ23&lt;&gt;"PF",AN23&lt;&gt;"NE",AG23&lt;&gt;"A"),AND(AL23="E",OR(AT23=1,AT23=3))),SickCHG*Y23,0)</f>
        <v>0</v>
      </c>
      <c r="CJ23" s="453">
        <f t="shared" si="12"/>
        <v>-178.96944000000008</v>
      </c>
      <c r="CK23" s="453" t="str">
        <f t="shared" si="13"/>
        <v/>
      </c>
      <c r="CL23" s="453" t="str">
        <f t="shared" si="14"/>
        <v/>
      </c>
      <c r="CM23" s="453" t="str">
        <f t="shared" si="15"/>
        <v/>
      </c>
      <c r="CN23" s="453" t="str">
        <f t="shared" si="16"/>
        <v>0421-01</v>
      </c>
    </row>
    <row r="24" spans="1:92" ht="15" thickBot="1" x14ac:dyDescent="0.35">
      <c r="A24" s="368" t="s">
        <v>161</v>
      </c>
      <c r="B24" s="368" t="s">
        <v>162</v>
      </c>
      <c r="C24" s="368" t="s">
        <v>304</v>
      </c>
      <c r="D24" s="368" t="s">
        <v>286</v>
      </c>
      <c r="E24" s="368" t="s">
        <v>165</v>
      </c>
      <c r="F24" s="369" t="s">
        <v>166</v>
      </c>
      <c r="G24" s="368" t="s">
        <v>167</v>
      </c>
      <c r="H24" s="370"/>
      <c r="I24" s="370"/>
      <c r="J24" s="368" t="s">
        <v>168</v>
      </c>
      <c r="K24" s="368" t="s">
        <v>287</v>
      </c>
      <c r="L24" s="368" t="s">
        <v>200</v>
      </c>
      <c r="M24" s="368" t="s">
        <v>288</v>
      </c>
      <c r="N24" s="368" t="s">
        <v>289</v>
      </c>
      <c r="O24" s="371">
        <v>0</v>
      </c>
      <c r="P24" s="451">
        <v>1</v>
      </c>
      <c r="Q24" s="451">
        <v>0</v>
      </c>
      <c r="R24" s="372">
        <v>0</v>
      </c>
      <c r="S24" s="451">
        <v>0</v>
      </c>
      <c r="T24" s="372">
        <v>0</v>
      </c>
      <c r="U24" s="372">
        <v>0</v>
      </c>
      <c r="V24" s="372">
        <v>0</v>
      </c>
      <c r="W24" s="372">
        <v>0</v>
      </c>
      <c r="X24" s="372">
        <v>0</v>
      </c>
      <c r="Y24" s="372">
        <v>0</v>
      </c>
      <c r="Z24" s="372">
        <v>0</v>
      </c>
      <c r="AA24" s="370"/>
      <c r="AB24" s="368" t="s">
        <v>45</v>
      </c>
      <c r="AC24" s="368" t="s">
        <v>45</v>
      </c>
      <c r="AD24" s="370"/>
      <c r="AE24" s="370"/>
      <c r="AF24" s="370"/>
      <c r="AG24" s="370"/>
      <c r="AH24" s="371">
        <v>0</v>
      </c>
      <c r="AI24" s="371">
        <v>0</v>
      </c>
      <c r="AJ24" s="370"/>
      <c r="AK24" s="370"/>
      <c r="AL24" s="368" t="s">
        <v>181</v>
      </c>
      <c r="AM24" s="370"/>
      <c r="AN24" s="370"/>
      <c r="AO24" s="371">
        <v>0</v>
      </c>
      <c r="AP24" s="451">
        <v>0</v>
      </c>
      <c r="AQ24" s="451">
        <v>0</v>
      </c>
      <c r="AR24" s="450"/>
      <c r="AS24" s="453">
        <f t="shared" si="0"/>
        <v>0</v>
      </c>
      <c r="AT24">
        <f t="shared" si="1"/>
        <v>0</v>
      </c>
      <c r="AU24" s="453" t="str">
        <f>IF(AT24=0,"",IF(AND(AT24=1,M24="F",SUMIF(C2:C55,C24,AS2:AS55)&lt;=1),SUMIF(C2:C55,C24,AS2:AS55),IF(AND(AT24=1,M24="F",SUMIF(C2:C55,C24,AS2:AS55)&gt;1),1,"")))</f>
        <v/>
      </c>
      <c r="AV24" s="453" t="str">
        <f>IF(AT24=0,"",IF(AND(AT24=3,M24="F",SUMIF(C2:C55,C24,AS2:AS55)&lt;=1),SUMIF(C2:C55,C24,AS2:AS55),IF(AND(AT24=3,M24="F",SUMIF(C2:C55,C24,AS2:AS55)&gt;1),1,"")))</f>
        <v/>
      </c>
      <c r="AW24" s="453">
        <f>SUMIF(C2:C55,C24,O2:O55)</f>
        <v>0</v>
      </c>
      <c r="AX24" s="453">
        <f>IF(AND(M24="F",AS24&lt;&gt;0),SUMIF(C2:C55,C24,W2:W55),0)</f>
        <v>0</v>
      </c>
      <c r="AY24" s="453" t="str">
        <f t="shared" si="2"/>
        <v/>
      </c>
      <c r="AZ24" s="453" t="str">
        <f t="shared" si="3"/>
        <v/>
      </c>
      <c r="BA24" s="453">
        <f t="shared" si="4"/>
        <v>0</v>
      </c>
      <c r="BB24" s="453">
        <f>IF(AND(AT24=1,AK24="E",AU24&gt;=0.75,AW24=1),Health,IF(AND(AT24=1,AK24="E",AU24&gt;=0.75),Health*P24,IF(AND(AT24=1,AK24="E",AU24&gt;=0.5,AW24=1),PTHealth,IF(AND(AT24=1,AK24="E",AU24&gt;=0.5),PTHealth*P24,0))))</f>
        <v>0</v>
      </c>
      <c r="BC24" s="453">
        <f>IF(AND(AT24=3,AK24="E",AV24&gt;=0.75,AW24=1),Health,IF(AND(AT24=3,AK24="E",AV24&gt;=0.75),Health*P24,IF(AND(AT24=3,AK24="E",AV24&gt;=0.5,AW24=1),PTHealth,IF(AND(AT24=3,AK24="E",AV24&gt;=0.5),PTHealth*P24,0))))</f>
        <v>0</v>
      </c>
      <c r="BD24" s="453">
        <f>IF(AND(AT24&lt;&gt;0,AX24&gt;=MAXSSDI),SSDI*MAXSSDI*P24,IF(AT24&lt;&gt;0,SSDI*W24,0))</f>
        <v>0</v>
      </c>
      <c r="BE24" s="453">
        <f>IF(AT24&lt;&gt;0,SSHI*W24,0)</f>
        <v>0</v>
      </c>
      <c r="BF24" s="453">
        <f>IF(AND(AT24&lt;&gt;0,AN24&lt;&gt;"NE"),VLOOKUP(AN24,Retirement_Rates,3,FALSE)*W24,0)</f>
        <v>0</v>
      </c>
      <c r="BG24" s="453">
        <f>IF(AND(AT24&lt;&gt;0,AJ24&lt;&gt;"PF"),Life*W24,0)</f>
        <v>0</v>
      </c>
      <c r="BH24" s="453">
        <f>IF(AND(AT24&lt;&gt;0,AM24="Y"),UI*W24,0)</f>
        <v>0</v>
      </c>
      <c r="BI24" s="453">
        <f>IF(AND(AT24&lt;&gt;0,N24&lt;&gt;"NR"),DHR*W24,0)</f>
        <v>0</v>
      </c>
      <c r="BJ24" s="453">
        <f>IF(AT24&lt;&gt;0,WC*W24,0)</f>
        <v>0</v>
      </c>
      <c r="BK24" s="453">
        <f>IF(OR(AND(AT24&lt;&gt;0,AJ24&lt;&gt;"PF",AN24&lt;&gt;"NE",AG24&lt;&gt;"A"),AND(AL24="E",OR(AT24=1,AT24=3))),Sick*W24,0)</f>
        <v>0</v>
      </c>
      <c r="BL24" s="453">
        <f t="shared" si="5"/>
        <v>0</v>
      </c>
      <c r="BM24" s="453">
        <f t="shared" si="6"/>
        <v>0</v>
      </c>
      <c r="BN24" s="453">
        <f>IF(AND(AT24=1,AK24="E",AU24&gt;=0.75,AW24=1),HealthBY,IF(AND(AT24=1,AK24="E",AU24&gt;=0.75),HealthBY*P24,IF(AND(AT24=1,AK24="E",AU24&gt;=0.5,AW24=1),PTHealthBY,IF(AND(AT24=1,AK24="E",AU24&gt;=0.5),PTHealthBY*P24,0))))</f>
        <v>0</v>
      </c>
      <c r="BO24" s="453">
        <f>IF(AND(AT24=3,AK24="E",AV24&gt;=0.75,AW24=1),HealthBY,IF(AND(AT24=3,AK24="E",AV24&gt;=0.75),HealthBY*P24,IF(AND(AT24=3,AK24="E",AV24&gt;=0.5,AW24=1),PTHealthBY,IF(AND(AT24=3,AK24="E",AV24&gt;=0.5),PTHealthBY*P24,0))))</f>
        <v>0</v>
      </c>
      <c r="BP24" s="453">
        <f>IF(AND(AT24&lt;&gt;0,(AX24+BA24)&gt;=MAXSSDIBY),SSDIBY*MAXSSDIBY*P24,IF(AT24&lt;&gt;0,SSDIBY*W24,0))</f>
        <v>0</v>
      </c>
      <c r="BQ24" s="453">
        <f>IF(AT24&lt;&gt;0,SSHIBY*W24,0)</f>
        <v>0</v>
      </c>
      <c r="BR24" s="453">
        <f>IF(AND(AT24&lt;&gt;0,AN24&lt;&gt;"NE"),VLOOKUP(AN24,Retirement_Rates,4,FALSE)*W24,0)</f>
        <v>0</v>
      </c>
      <c r="BS24" s="453">
        <f>IF(AND(AT24&lt;&gt;0,AJ24&lt;&gt;"PF"),LifeBY*W24,0)</f>
        <v>0</v>
      </c>
      <c r="BT24" s="453">
        <f>IF(AND(AT24&lt;&gt;0,AM24="Y"),UIBY*W24,0)</f>
        <v>0</v>
      </c>
      <c r="BU24" s="453">
        <f>IF(AND(AT24&lt;&gt;0,N24&lt;&gt;"NR"),DHRBY*W24,0)</f>
        <v>0</v>
      </c>
      <c r="BV24" s="453">
        <f>IF(AT24&lt;&gt;0,WCBY*W24,0)</f>
        <v>0</v>
      </c>
      <c r="BW24" s="453">
        <f>IF(OR(AND(AT24&lt;&gt;0,AJ24&lt;&gt;"PF",AN24&lt;&gt;"NE",AG24&lt;&gt;"A"),AND(AL24="E",OR(AT24=1,AT24=3))),SickBY*W24,0)</f>
        <v>0</v>
      </c>
      <c r="BX24" s="453">
        <f t="shared" si="7"/>
        <v>0</v>
      </c>
      <c r="BY24" s="453">
        <f t="shared" si="8"/>
        <v>0</v>
      </c>
      <c r="BZ24" s="453">
        <f t="shared" si="9"/>
        <v>0</v>
      </c>
      <c r="CA24" s="453">
        <f t="shared" si="10"/>
        <v>0</v>
      </c>
      <c r="CB24" s="453">
        <f t="shared" si="11"/>
        <v>0</v>
      </c>
      <c r="CC24" s="453">
        <f>IF(AT24&lt;&gt;0,SSHICHG*Y24,0)</f>
        <v>0</v>
      </c>
      <c r="CD24" s="453">
        <f>IF(AND(AT24&lt;&gt;0,AN24&lt;&gt;"NE"),VLOOKUP(AN24,Retirement_Rates,5,FALSE)*Y24,0)</f>
        <v>0</v>
      </c>
      <c r="CE24" s="453">
        <f>IF(AND(AT24&lt;&gt;0,AJ24&lt;&gt;"PF"),LifeCHG*Y24,0)</f>
        <v>0</v>
      </c>
      <c r="CF24" s="453">
        <f>IF(AND(AT24&lt;&gt;0,AM24="Y"),UICHG*Y24,0)</f>
        <v>0</v>
      </c>
      <c r="CG24" s="453">
        <f>IF(AND(AT24&lt;&gt;0,N24&lt;&gt;"NR"),DHRCHG*Y24,0)</f>
        <v>0</v>
      </c>
      <c r="CH24" s="453">
        <f>IF(AT24&lt;&gt;0,WCCHG*Y24,0)</f>
        <v>0</v>
      </c>
      <c r="CI24" s="453">
        <f>IF(OR(AND(AT24&lt;&gt;0,AJ24&lt;&gt;"PF",AN24&lt;&gt;"NE",AG24&lt;&gt;"A"),AND(AL24="E",OR(AT24=1,AT24=3))),SickCHG*Y24,0)</f>
        <v>0</v>
      </c>
      <c r="CJ24" s="453">
        <f t="shared" si="12"/>
        <v>0</v>
      </c>
      <c r="CK24" s="453" t="str">
        <f t="shared" si="13"/>
        <v/>
      </c>
      <c r="CL24" s="453">
        <f t="shared" si="14"/>
        <v>0</v>
      </c>
      <c r="CM24" s="453">
        <f t="shared" si="15"/>
        <v>0</v>
      </c>
      <c r="CN24" s="453" t="str">
        <f t="shared" si="16"/>
        <v>0421-01</v>
      </c>
    </row>
    <row r="25" spans="1:92" ht="15" thickBot="1" x14ac:dyDescent="0.35">
      <c r="A25" s="368" t="s">
        <v>161</v>
      </c>
      <c r="B25" s="368" t="s">
        <v>162</v>
      </c>
      <c r="C25" s="368" t="s">
        <v>305</v>
      </c>
      <c r="D25" s="368" t="s">
        <v>234</v>
      </c>
      <c r="E25" s="368" t="s">
        <v>165</v>
      </c>
      <c r="F25" s="369" t="s">
        <v>166</v>
      </c>
      <c r="G25" s="368" t="s">
        <v>167</v>
      </c>
      <c r="H25" s="370"/>
      <c r="I25" s="370"/>
      <c r="J25" s="368" t="s">
        <v>228</v>
      </c>
      <c r="K25" s="368" t="s">
        <v>235</v>
      </c>
      <c r="L25" s="368" t="s">
        <v>200</v>
      </c>
      <c r="M25" s="368" t="s">
        <v>171</v>
      </c>
      <c r="N25" s="368" t="s">
        <v>172</v>
      </c>
      <c r="O25" s="371">
        <v>1</v>
      </c>
      <c r="P25" s="451">
        <v>1</v>
      </c>
      <c r="Q25" s="451">
        <v>1</v>
      </c>
      <c r="R25" s="372">
        <v>80</v>
      </c>
      <c r="S25" s="451">
        <v>1</v>
      </c>
      <c r="T25" s="372">
        <v>38765.96</v>
      </c>
      <c r="U25" s="372">
        <v>0</v>
      </c>
      <c r="V25" s="372">
        <v>20514.88</v>
      </c>
      <c r="W25" s="372">
        <v>39956.800000000003</v>
      </c>
      <c r="X25" s="372">
        <v>21164.06</v>
      </c>
      <c r="Y25" s="372">
        <v>39956.800000000003</v>
      </c>
      <c r="Z25" s="372">
        <v>21048.2</v>
      </c>
      <c r="AA25" s="368" t="s">
        <v>306</v>
      </c>
      <c r="AB25" s="368" t="s">
        <v>307</v>
      </c>
      <c r="AC25" s="368" t="s">
        <v>308</v>
      </c>
      <c r="AD25" s="368" t="s">
        <v>170</v>
      </c>
      <c r="AE25" s="368" t="s">
        <v>235</v>
      </c>
      <c r="AF25" s="368" t="s">
        <v>177</v>
      </c>
      <c r="AG25" s="368" t="s">
        <v>178</v>
      </c>
      <c r="AH25" s="373">
        <v>19.21</v>
      </c>
      <c r="AI25" s="373">
        <v>11088.6</v>
      </c>
      <c r="AJ25" s="368" t="s">
        <v>179</v>
      </c>
      <c r="AK25" s="368" t="s">
        <v>180</v>
      </c>
      <c r="AL25" s="368" t="s">
        <v>181</v>
      </c>
      <c r="AM25" s="368" t="s">
        <v>182</v>
      </c>
      <c r="AN25" s="368" t="s">
        <v>68</v>
      </c>
      <c r="AO25" s="371">
        <v>80</v>
      </c>
      <c r="AP25" s="451">
        <v>1</v>
      </c>
      <c r="AQ25" s="451">
        <v>1</v>
      </c>
      <c r="AR25" s="449" t="s">
        <v>183</v>
      </c>
      <c r="AS25" s="453">
        <f t="shared" si="0"/>
        <v>1</v>
      </c>
      <c r="AT25">
        <f t="shared" si="1"/>
        <v>1</v>
      </c>
      <c r="AU25" s="453">
        <f>IF(AT25=0,"",IF(AND(AT25=1,M25="F",SUMIF(C2:C55,C25,AS2:AS55)&lt;=1),SUMIF(C2:C55,C25,AS2:AS55),IF(AND(AT25=1,M25="F",SUMIF(C2:C55,C25,AS2:AS55)&gt;1),1,"")))</f>
        <v>1</v>
      </c>
      <c r="AV25" s="453" t="str">
        <f>IF(AT25=0,"",IF(AND(AT25=3,M25="F",SUMIF(C2:C55,C25,AS2:AS55)&lt;=1),SUMIF(C2:C55,C25,AS2:AS55),IF(AND(AT25=3,M25="F",SUMIF(C2:C55,C25,AS2:AS55)&gt;1),1,"")))</f>
        <v/>
      </c>
      <c r="AW25" s="453">
        <f>SUMIF(C2:C55,C25,O2:O55)</f>
        <v>1</v>
      </c>
      <c r="AX25" s="453">
        <f>IF(AND(M25="F",AS25&lt;&gt;0),SUMIF(C2:C55,C25,W2:W55),0)</f>
        <v>39956.800000000003</v>
      </c>
      <c r="AY25" s="453">
        <f t="shared" si="2"/>
        <v>39956.800000000003</v>
      </c>
      <c r="AZ25" s="453" t="str">
        <f t="shared" si="3"/>
        <v/>
      </c>
      <c r="BA25" s="453">
        <f t="shared" si="4"/>
        <v>0</v>
      </c>
      <c r="BB25" s="453">
        <f>IF(AND(AT25=1,AK25="E",AU25&gt;=0.75,AW25=1),Health,IF(AND(AT25=1,AK25="E",AU25&gt;=0.75),Health*P25,IF(AND(AT25=1,AK25="E",AU25&gt;=0.5,AW25=1),PTHealth,IF(AND(AT25=1,AK25="E",AU25&gt;=0.5),PTHealth*P25,0))))</f>
        <v>11650</v>
      </c>
      <c r="BC25" s="453">
        <f>IF(AND(AT25=3,AK25="E",AV25&gt;=0.75,AW25=1),Health,IF(AND(AT25=3,AK25="E",AV25&gt;=0.75),Health*P25,IF(AND(AT25=3,AK25="E",AV25&gt;=0.5,AW25=1),PTHealth,IF(AND(AT25=3,AK25="E",AV25&gt;=0.5),PTHealth*P25,0))))</f>
        <v>0</v>
      </c>
      <c r="BD25" s="453">
        <f>IF(AND(AT25&lt;&gt;0,AX25&gt;=MAXSSDI),SSDI*MAXSSDI*P25,IF(AT25&lt;&gt;0,SSDI*W25,0))</f>
        <v>2477.3216000000002</v>
      </c>
      <c r="BE25" s="453">
        <f>IF(AT25&lt;&gt;0,SSHI*W25,0)</f>
        <v>579.37360000000012</v>
      </c>
      <c r="BF25" s="453">
        <f>IF(AND(AT25&lt;&gt;0,AN25&lt;&gt;"NE"),VLOOKUP(AN25,Retirement_Rates,3,FALSE)*W25,0)</f>
        <v>4770.8419200000008</v>
      </c>
      <c r="BG25" s="453">
        <f>IF(AND(AT25&lt;&gt;0,AJ25&lt;&gt;"PF"),Life*W25,0)</f>
        <v>288.08852800000005</v>
      </c>
      <c r="BH25" s="453">
        <f>IF(AND(AT25&lt;&gt;0,AM25="Y"),UI*W25,0)</f>
        <v>195.78832</v>
      </c>
      <c r="BI25" s="453">
        <f>IF(AND(AT25&lt;&gt;0,N25&lt;&gt;"NR"),DHR*W25,0)</f>
        <v>0</v>
      </c>
      <c r="BJ25" s="453">
        <f>IF(AT25&lt;&gt;0,WC*W25,0)</f>
        <v>1202.6996799999999</v>
      </c>
      <c r="BK25" s="453">
        <f>IF(OR(AND(AT25&lt;&gt;0,AJ25&lt;&gt;"PF",AN25&lt;&gt;"NE",AG25&lt;&gt;"A"),AND(AL25="E",OR(AT25=1,AT25=3))),Sick*W25,0)</f>
        <v>0</v>
      </c>
      <c r="BL25" s="453">
        <f t="shared" si="5"/>
        <v>9514.1136480000005</v>
      </c>
      <c r="BM25" s="453">
        <f t="shared" si="6"/>
        <v>0</v>
      </c>
      <c r="BN25" s="453">
        <f>IF(AND(AT25=1,AK25="E",AU25&gt;=0.75,AW25=1),HealthBY,IF(AND(AT25=1,AK25="E",AU25&gt;=0.75),HealthBY*P25,IF(AND(AT25=1,AK25="E",AU25&gt;=0.5,AW25=1),PTHealthBY,IF(AND(AT25=1,AK25="E",AU25&gt;=0.5),PTHealthBY*P25,0))))</f>
        <v>11650</v>
      </c>
      <c r="BO25" s="453">
        <f>IF(AND(AT25=3,AK25="E",AV25&gt;=0.75,AW25=1),HealthBY,IF(AND(AT25=3,AK25="E",AV25&gt;=0.75),HealthBY*P25,IF(AND(AT25=3,AK25="E",AV25&gt;=0.5,AW25=1),PTHealthBY,IF(AND(AT25=3,AK25="E",AV25&gt;=0.5),PTHealthBY*P25,0))))</f>
        <v>0</v>
      </c>
      <c r="BP25" s="453">
        <f>IF(AND(AT25&lt;&gt;0,(AX25+BA25)&gt;=MAXSSDIBY),SSDIBY*MAXSSDIBY*P25,IF(AT25&lt;&gt;0,SSDIBY*W25,0))</f>
        <v>2477.3216000000002</v>
      </c>
      <c r="BQ25" s="453">
        <f>IF(AT25&lt;&gt;0,SSHIBY*W25,0)</f>
        <v>579.37360000000012</v>
      </c>
      <c r="BR25" s="453">
        <f>IF(AND(AT25&lt;&gt;0,AN25&lt;&gt;"NE"),VLOOKUP(AN25,Retirement_Rates,4,FALSE)*W25,0)</f>
        <v>4770.8419200000008</v>
      </c>
      <c r="BS25" s="453">
        <f>IF(AND(AT25&lt;&gt;0,AJ25&lt;&gt;"PF"),LifeBY*W25,0)</f>
        <v>288.08852800000005</v>
      </c>
      <c r="BT25" s="453">
        <f>IF(AND(AT25&lt;&gt;0,AM25="Y"),UIBY*W25,0)</f>
        <v>0</v>
      </c>
      <c r="BU25" s="453">
        <f>IF(AND(AT25&lt;&gt;0,N25&lt;&gt;"NR"),DHRBY*W25,0)</f>
        <v>0</v>
      </c>
      <c r="BV25" s="453">
        <f>IF(AT25&lt;&gt;0,WCBY*W25,0)</f>
        <v>1282.61328</v>
      </c>
      <c r="BW25" s="453">
        <f>IF(OR(AND(AT25&lt;&gt;0,AJ25&lt;&gt;"PF",AN25&lt;&gt;"NE",AG25&lt;&gt;"A"),AND(AL25="E",OR(AT25=1,AT25=3))),SickBY*W25,0)</f>
        <v>0</v>
      </c>
      <c r="BX25" s="453">
        <f t="shared" si="7"/>
        <v>9398.2389280000007</v>
      </c>
      <c r="BY25" s="453">
        <f t="shared" si="8"/>
        <v>0</v>
      </c>
      <c r="BZ25" s="453">
        <f t="shared" si="9"/>
        <v>0</v>
      </c>
      <c r="CA25" s="453">
        <f t="shared" si="10"/>
        <v>0</v>
      </c>
      <c r="CB25" s="453">
        <f t="shared" si="11"/>
        <v>0</v>
      </c>
      <c r="CC25" s="453">
        <f>IF(AT25&lt;&gt;0,SSHICHG*Y25,0)</f>
        <v>0</v>
      </c>
      <c r="CD25" s="453">
        <f>IF(AND(AT25&lt;&gt;0,AN25&lt;&gt;"NE"),VLOOKUP(AN25,Retirement_Rates,5,FALSE)*Y25,0)</f>
        <v>0</v>
      </c>
      <c r="CE25" s="453">
        <f>IF(AND(AT25&lt;&gt;0,AJ25&lt;&gt;"PF"),LifeCHG*Y25,0)</f>
        <v>0</v>
      </c>
      <c r="CF25" s="453">
        <f>IF(AND(AT25&lt;&gt;0,AM25="Y"),UICHG*Y25,0)</f>
        <v>-195.78832</v>
      </c>
      <c r="CG25" s="453">
        <f>IF(AND(AT25&lt;&gt;0,N25&lt;&gt;"NR"),DHRCHG*Y25,0)</f>
        <v>0</v>
      </c>
      <c r="CH25" s="453">
        <f>IF(AT25&lt;&gt;0,WCCHG*Y25,0)</f>
        <v>79.913599999999931</v>
      </c>
      <c r="CI25" s="453">
        <f>IF(OR(AND(AT25&lt;&gt;0,AJ25&lt;&gt;"PF",AN25&lt;&gt;"NE",AG25&lt;&gt;"A"),AND(AL25="E",OR(AT25=1,AT25=3))),SickCHG*Y25,0)</f>
        <v>0</v>
      </c>
      <c r="CJ25" s="453">
        <f t="shared" si="12"/>
        <v>-115.87472000000007</v>
      </c>
      <c r="CK25" s="453" t="str">
        <f t="shared" si="13"/>
        <v/>
      </c>
      <c r="CL25" s="453" t="str">
        <f t="shared" si="14"/>
        <v/>
      </c>
      <c r="CM25" s="453" t="str">
        <f t="shared" si="15"/>
        <v/>
      </c>
      <c r="CN25" s="453" t="str">
        <f t="shared" si="16"/>
        <v>0421-01</v>
      </c>
    </row>
    <row r="26" spans="1:92" ht="15" thickBot="1" x14ac:dyDescent="0.35">
      <c r="A26" s="368" t="s">
        <v>161</v>
      </c>
      <c r="B26" s="368" t="s">
        <v>162</v>
      </c>
      <c r="C26" s="368" t="s">
        <v>309</v>
      </c>
      <c r="D26" s="368" t="s">
        <v>198</v>
      </c>
      <c r="E26" s="368" t="s">
        <v>165</v>
      </c>
      <c r="F26" s="369" t="s">
        <v>166</v>
      </c>
      <c r="G26" s="368" t="s">
        <v>167</v>
      </c>
      <c r="H26" s="370"/>
      <c r="I26" s="370"/>
      <c r="J26" s="368" t="s">
        <v>252</v>
      </c>
      <c r="K26" s="368" t="s">
        <v>199</v>
      </c>
      <c r="L26" s="368" t="s">
        <v>200</v>
      </c>
      <c r="M26" s="368" t="s">
        <v>171</v>
      </c>
      <c r="N26" s="368" t="s">
        <v>172</v>
      </c>
      <c r="O26" s="371">
        <v>1</v>
      </c>
      <c r="P26" s="451">
        <v>1</v>
      </c>
      <c r="Q26" s="451">
        <v>1</v>
      </c>
      <c r="R26" s="372">
        <v>80</v>
      </c>
      <c r="S26" s="451">
        <v>1</v>
      </c>
      <c r="T26" s="372">
        <v>47695.81</v>
      </c>
      <c r="U26" s="372">
        <v>0</v>
      </c>
      <c r="V26" s="372">
        <v>22689.8</v>
      </c>
      <c r="W26" s="372">
        <v>50107.199999999997</v>
      </c>
      <c r="X26" s="372">
        <v>23751.35</v>
      </c>
      <c r="Y26" s="372">
        <v>50107.199999999997</v>
      </c>
      <c r="Z26" s="372">
        <v>23606.05</v>
      </c>
      <c r="AA26" s="368" t="s">
        <v>310</v>
      </c>
      <c r="AB26" s="368" t="s">
        <v>311</v>
      </c>
      <c r="AC26" s="368" t="s">
        <v>312</v>
      </c>
      <c r="AD26" s="368" t="s">
        <v>313</v>
      </c>
      <c r="AE26" s="368" t="s">
        <v>199</v>
      </c>
      <c r="AF26" s="368" t="s">
        <v>177</v>
      </c>
      <c r="AG26" s="368" t="s">
        <v>178</v>
      </c>
      <c r="AH26" s="373">
        <v>24.09</v>
      </c>
      <c r="AI26" s="373">
        <v>21762.5</v>
      </c>
      <c r="AJ26" s="368" t="s">
        <v>179</v>
      </c>
      <c r="AK26" s="368" t="s">
        <v>180</v>
      </c>
      <c r="AL26" s="368" t="s">
        <v>181</v>
      </c>
      <c r="AM26" s="368" t="s">
        <v>182</v>
      </c>
      <c r="AN26" s="368" t="s">
        <v>70</v>
      </c>
      <c r="AO26" s="371">
        <v>80</v>
      </c>
      <c r="AP26" s="451">
        <v>1</v>
      </c>
      <c r="AQ26" s="451">
        <v>1</v>
      </c>
      <c r="AR26" s="449" t="s">
        <v>183</v>
      </c>
      <c r="AS26" s="453">
        <f t="shared" si="0"/>
        <v>1</v>
      </c>
      <c r="AT26">
        <f t="shared" si="1"/>
        <v>1</v>
      </c>
      <c r="AU26" s="453">
        <f>IF(AT26=0,"",IF(AND(AT26=1,M26="F",SUMIF(C2:C55,C26,AS2:AS55)&lt;=1),SUMIF(C2:C55,C26,AS2:AS55),IF(AND(AT26=1,M26="F",SUMIF(C2:C55,C26,AS2:AS55)&gt;1),1,"")))</f>
        <v>1</v>
      </c>
      <c r="AV26" s="453" t="str">
        <f>IF(AT26=0,"",IF(AND(AT26=3,M26="F",SUMIF(C2:C55,C26,AS2:AS55)&lt;=1),SUMIF(C2:C55,C26,AS2:AS55),IF(AND(AT26=3,M26="F",SUMIF(C2:C55,C26,AS2:AS55)&gt;1),1,"")))</f>
        <v/>
      </c>
      <c r="AW26" s="453">
        <f>SUMIF(C2:C55,C26,O2:O55)</f>
        <v>1</v>
      </c>
      <c r="AX26" s="453">
        <f>IF(AND(M26="F",AS26&lt;&gt;0),SUMIF(C2:C55,C26,W2:W55),0)</f>
        <v>50107.199999999997</v>
      </c>
      <c r="AY26" s="453">
        <f t="shared" si="2"/>
        <v>50107.199999999997</v>
      </c>
      <c r="AZ26" s="453" t="str">
        <f t="shared" si="3"/>
        <v/>
      </c>
      <c r="BA26" s="453">
        <f t="shared" si="4"/>
        <v>0</v>
      </c>
      <c r="BB26" s="453">
        <f>IF(AND(AT26=1,AK26="E",AU26&gt;=0.75,AW26=1),Health,IF(AND(AT26=1,AK26="E",AU26&gt;=0.75),Health*P26,IF(AND(AT26=1,AK26="E",AU26&gt;=0.5,AW26=1),PTHealth,IF(AND(AT26=1,AK26="E",AU26&gt;=0.5),PTHealth*P26,0))))</f>
        <v>11650</v>
      </c>
      <c r="BC26" s="453">
        <f>IF(AND(AT26=3,AK26="E",AV26&gt;=0.75,AW26=1),Health,IF(AND(AT26=3,AK26="E",AV26&gt;=0.75),Health*P26,IF(AND(AT26=3,AK26="E",AV26&gt;=0.5,AW26=1),PTHealth,IF(AND(AT26=3,AK26="E",AV26&gt;=0.5),PTHealth*P26,0))))</f>
        <v>0</v>
      </c>
      <c r="BD26" s="453">
        <f>IF(AND(AT26&lt;&gt;0,AX26&gt;=MAXSSDI),SSDI*MAXSSDI*P26,IF(AT26&lt;&gt;0,SSDI*W26,0))</f>
        <v>3106.6463999999996</v>
      </c>
      <c r="BE26" s="453">
        <f>IF(AT26&lt;&gt;0,SSHI*W26,0)</f>
        <v>726.55439999999999</v>
      </c>
      <c r="BF26" s="453">
        <f>IF(AND(AT26&lt;&gt;0,AN26&lt;&gt;"NE"),VLOOKUP(AN26,Retirement_Rates,3,FALSE)*W26,0)</f>
        <v>6153.1641600000003</v>
      </c>
      <c r="BG26" s="453">
        <f>IF(AND(AT26&lt;&gt;0,AJ26&lt;&gt;"PF"),Life*W26,0)</f>
        <v>361.27291200000002</v>
      </c>
      <c r="BH26" s="453">
        <f>IF(AND(AT26&lt;&gt;0,AM26="Y"),UI*W26,0)</f>
        <v>245.52527999999998</v>
      </c>
      <c r="BI26" s="453">
        <f>IF(AND(AT26&lt;&gt;0,N26&lt;&gt;"NR"),DHR*W26,0)</f>
        <v>0</v>
      </c>
      <c r="BJ26" s="453">
        <f>IF(AT26&lt;&gt;0,WC*W26,0)</f>
        <v>1508.2267199999999</v>
      </c>
      <c r="BK26" s="453">
        <f>IF(OR(AND(AT26&lt;&gt;0,AJ26&lt;&gt;"PF",AN26&lt;&gt;"NE",AG26&lt;&gt;"A"),AND(AL26="E",OR(AT26=1,AT26=3))),Sick*W26,0)</f>
        <v>0</v>
      </c>
      <c r="BL26" s="453">
        <f t="shared" si="5"/>
        <v>12101.389872</v>
      </c>
      <c r="BM26" s="453">
        <f t="shared" si="6"/>
        <v>0</v>
      </c>
      <c r="BN26" s="453">
        <f>IF(AND(AT26=1,AK26="E",AU26&gt;=0.75,AW26=1),HealthBY,IF(AND(AT26=1,AK26="E",AU26&gt;=0.75),HealthBY*P26,IF(AND(AT26=1,AK26="E",AU26&gt;=0.5,AW26=1),PTHealthBY,IF(AND(AT26=1,AK26="E",AU26&gt;=0.5),PTHealthBY*P26,0))))</f>
        <v>11650</v>
      </c>
      <c r="BO26" s="453">
        <f>IF(AND(AT26=3,AK26="E",AV26&gt;=0.75,AW26=1),HealthBY,IF(AND(AT26=3,AK26="E",AV26&gt;=0.75),HealthBY*P26,IF(AND(AT26=3,AK26="E",AV26&gt;=0.5,AW26=1),PTHealthBY,IF(AND(AT26=3,AK26="E",AV26&gt;=0.5),PTHealthBY*P26,0))))</f>
        <v>0</v>
      </c>
      <c r="BP26" s="453">
        <f>IF(AND(AT26&lt;&gt;0,(AX26+BA26)&gt;=MAXSSDIBY),SSDIBY*MAXSSDIBY*P26,IF(AT26&lt;&gt;0,SSDIBY*W26,0))</f>
        <v>3106.6463999999996</v>
      </c>
      <c r="BQ26" s="453">
        <f>IF(AT26&lt;&gt;0,SSHIBY*W26,0)</f>
        <v>726.55439999999999</v>
      </c>
      <c r="BR26" s="453">
        <f>IF(AND(AT26&lt;&gt;0,AN26&lt;&gt;"NE"),VLOOKUP(AN26,Retirement_Rates,4,FALSE)*W26,0)</f>
        <v>6153.1641600000003</v>
      </c>
      <c r="BS26" s="453">
        <f>IF(AND(AT26&lt;&gt;0,AJ26&lt;&gt;"PF"),LifeBY*W26,0)</f>
        <v>361.27291200000002</v>
      </c>
      <c r="BT26" s="453">
        <f>IF(AND(AT26&lt;&gt;0,AM26="Y"),UIBY*W26,0)</f>
        <v>0</v>
      </c>
      <c r="BU26" s="453">
        <f>IF(AND(AT26&lt;&gt;0,N26&lt;&gt;"NR"),DHRBY*W26,0)</f>
        <v>0</v>
      </c>
      <c r="BV26" s="453">
        <f>IF(AT26&lt;&gt;0,WCBY*W26,0)</f>
        <v>1608.4411199999997</v>
      </c>
      <c r="BW26" s="453">
        <f>IF(OR(AND(AT26&lt;&gt;0,AJ26&lt;&gt;"PF",AN26&lt;&gt;"NE",AG26&lt;&gt;"A"),AND(AL26="E",OR(AT26=1,AT26=3))),SickBY*W26,0)</f>
        <v>0</v>
      </c>
      <c r="BX26" s="453">
        <f t="shared" si="7"/>
        <v>11956.078991999999</v>
      </c>
      <c r="BY26" s="453">
        <f t="shared" si="8"/>
        <v>0</v>
      </c>
      <c r="BZ26" s="453">
        <f t="shared" si="9"/>
        <v>0</v>
      </c>
      <c r="CA26" s="453">
        <f t="shared" si="10"/>
        <v>0</v>
      </c>
      <c r="CB26" s="453">
        <f t="shared" si="11"/>
        <v>0</v>
      </c>
      <c r="CC26" s="453">
        <f>IF(AT26&lt;&gt;0,SSHICHG*Y26,0)</f>
        <v>0</v>
      </c>
      <c r="CD26" s="453">
        <f>IF(AND(AT26&lt;&gt;0,AN26&lt;&gt;"NE"),VLOOKUP(AN26,Retirement_Rates,5,FALSE)*Y26,0)</f>
        <v>0</v>
      </c>
      <c r="CE26" s="453">
        <f>IF(AND(AT26&lt;&gt;0,AJ26&lt;&gt;"PF"),LifeCHG*Y26,0)</f>
        <v>0</v>
      </c>
      <c r="CF26" s="453">
        <f>IF(AND(AT26&lt;&gt;0,AM26="Y"),UICHG*Y26,0)</f>
        <v>-245.52527999999998</v>
      </c>
      <c r="CG26" s="453">
        <f>IF(AND(AT26&lt;&gt;0,N26&lt;&gt;"NR"),DHRCHG*Y26,0)</f>
        <v>0</v>
      </c>
      <c r="CH26" s="453">
        <f>IF(AT26&lt;&gt;0,WCCHG*Y26,0)</f>
        <v>100.21439999999991</v>
      </c>
      <c r="CI26" s="453">
        <f>IF(OR(AND(AT26&lt;&gt;0,AJ26&lt;&gt;"PF",AN26&lt;&gt;"NE",AG26&lt;&gt;"A"),AND(AL26="E",OR(AT26=1,AT26=3))),SickCHG*Y26,0)</f>
        <v>0</v>
      </c>
      <c r="CJ26" s="453">
        <f t="shared" si="12"/>
        <v>-145.31088000000005</v>
      </c>
      <c r="CK26" s="453" t="str">
        <f t="shared" si="13"/>
        <v/>
      </c>
      <c r="CL26" s="453" t="str">
        <f t="shared" si="14"/>
        <v/>
      </c>
      <c r="CM26" s="453" t="str">
        <f t="shared" si="15"/>
        <v/>
      </c>
      <c r="CN26" s="453" t="str">
        <f t="shared" si="16"/>
        <v>0421-01</v>
      </c>
    </row>
    <row r="27" spans="1:92" ht="15" thickBot="1" x14ac:dyDescent="0.35">
      <c r="A27" s="368" t="s">
        <v>161</v>
      </c>
      <c r="B27" s="368" t="s">
        <v>162</v>
      </c>
      <c r="C27" s="368" t="s">
        <v>314</v>
      </c>
      <c r="D27" s="368" t="s">
        <v>286</v>
      </c>
      <c r="E27" s="368" t="s">
        <v>165</v>
      </c>
      <c r="F27" s="369" t="s">
        <v>166</v>
      </c>
      <c r="G27" s="368" t="s">
        <v>167</v>
      </c>
      <c r="H27" s="370"/>
      <c r="I27" s="370"/>
      <c r="J27" s="368" t="s">
        <v>315</v>
      </c>
      <c r="K27" s="368" t="s">
        <v>287</v>
      </c>
      <c r="L27" s="368" t="s">
        <v>200</v>
      </c>
      <c r="M27" s="368" t="s">
        <v>288</v>
      </c>
      <c r="N27" s="368" t="s">
        <v>289</v>
      </c>
      <c r="O27" s="371">
        <v>0</v>
      </c>
      <c r="P27" s="451">
        <v>0.87</v>
      </c>
      <c r="Q27" s="451">
        <v>0</v>
      </c>
      <c r="R27" s="372">
        <v>0</v>
      </c>
      <c r="S27" s="451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0"/>
      <c r="AB27" s="368" t="s">
        <v>45</v>
      </c>
      <c r="AC27" s="368" t="s">
        <v>45</v>
      </c>
      <c r="AD27" s="370"/>
      <c r="AE27" s="370"/>
      <c r="AF27" s="370"/>
      <c r="AG27" s="370"/>
      <c r="AH27" s="371">
        <v>0</v>
      </c>
      <c r="AI27" s="371">
        <v>0</v>
      </c>
      <c r="AJ27" s="370"/>
      <c r="AK27" s="370"/>
      <c r="AL27" s="368" t="s">
        <v>181</v>
      </c>
      <c r="AM27" s="370"/>
      <c r="AN27" s="370"/>
      <c r="AO27" s="371">
        <v>0</v>
      </c>
      <c r="AP27" s="451">
        <v>0</v>
      </c>
      <c r="AQ27" s="451">
        <v>0</v>
      </c>
      <c r="AR27" s="450"/>
      <c r="AS27" s="453">
        <f t="shared" si="0"/>
        <v>0</v>
      </c>
      <c r="AT27">
        <f t="shared" si="1"/>
        <v>0</v>
      </c>
      <c r="AU27" s="453" t="str">
        <f>IF(AT27=0,"",IF(AND(AT27=1,M27="F",SUMIF(C2:C55,C27,AS2:AS55)&lt;=1),SUMIF(C2:C55,C27,AS2:AS55),IF(AND(AT27=1,M27="F",SUMIF(C2:C55,C27,AS2:AS55)&gt;1),1,"")))</f>
        <v/>
      </c>
      <c r="AV27" s="453" t="str">
        <f>IF(AT27=0,"",IF(AND(AT27=3,M27="F",SUMIF(C2:C55,C27,AS2:AS55)&lt;=1),SUMIF(C2:C55,C27,AS2:AS55),IF(AND(AT27=3,M27="F",SUMIF(C2:C55,C27,AS2:AS55)&gt;1),1,"")))</f>
        <v/>
      </c>
      <c r="AW27" s="453">
        <f>SUMIF(C2:C55,C27,O2:O55)</f>
        <v>0</v>
      </c>
      <c r="AX27" s="453">
        <f>IF(AND(M27="F",AS27&lt;&gt;0),SUMIF(C2:C55,C27,W2:W55),0)</f>
        <v>0</v>
      </c>
      <c r="AY27" s="453" t="str">
        <f t="shared" si="2"/>
        <v/>
      </c>
      <c r="AZ27" s="453" t="str">
        <f t="shared" si="3"/>
        <v/>
      </c>
      <c r="BA27" s="453">
        <f t="shared" si="4"/>
        <v>0</v>
      </c>
      <c r="BB27" s="453">
        <f>IF(AND(AT27=1,AK27="E",AU27&gt;=0.75,AW27=1),Health,IF(AND(AT27=1,AK27="E",AU27&gt;=0.75),Health*P27,IF(AND(AT27=1,AK27="E",AU27&gt;=0.5,AW27=1),PTHealth,IF(AND(AT27=1,AK27="E",AU27&gt;=0.5),PTHealth*P27,0))))</f>
        <v>0</v>
      </c>
      <c r="BC27" s="453">
        <f>IF(AND(AT27=3,AK27="E",AV27&gt;=0.75,AW27=1),Health,IF(AND(AT27=3,AK27="E",AV27&gt;=0.75),Health*P27,IF(AND(AT27=3,AK27="E",AV27&gt;=0.5,AW27=1),PTHealth,IF(AND(AT27=3,AK27="E",AV27&gt;=0.5),PTHealth*P27,0))))</f>
        <v>0</v>
      </c>
      <c r="BD27" s="453">
        <f>IF(AND(AT27&lt;&gt;0,AX27&gt;=MAXSSDI),SSDI*MAXSSDI*P27,IF(AT27&lt;&gt;0,SSDI*W27,0))</f>
        <v>0</v>
      </c>
      <c r="BE27" s="453">
        <f>IF(AT27&lt;&gt;0,SSHI*W27,0)</f>
        <v>0</v>
      </c>
      <c r="BF27" s="453">
        <f>IF(AND(AT27&lt;&gt;0,AN27&lt;&gt;"NE"),VLOOKUP(AN27,Retirement_Rates,3,FALSE)*W27,0)</f>
        <v>0</v>
      </c>
      <c r="BG27" s="453">
        <f>IF(AND(AT27&lt;&gt;0,AJ27&lt;&gt;"PF"),Life*W27,0)</f>
        <v>0</v>
      </c>
      <c r="BH27" s="453">
        <f>IF(AND(AT27&lt;&gt;0,AM27="Y"),UI*W27,0)</f>
        <v>0</v>
      </c>
      <c r="BI27" s="453">
        <f>IF(AND(AT27&lt;&gt;0,N27&lt;&gt;"NR"),DHR*W27,0)</f>
        <v>0</v>
      </c>
      <c r="BJ27" s="453">
        <f>IF(AT27&lt;&gt;0,WC*W27,0)</f>
        <v>0</v>
      </c>
      <c r="BK27" s="453">
        <f>IF(OR(AND(AT27&lt;&gt;0,AJ27&lt;&gt;"PF",AN27&lt;&gt;"NE",AG27&lt;&gt;"A"),AND(AL27="E",OR(AT27=1,AT27=3))),Sick*W27,0)</f>
        <v>0</v>
      </c>
      <c r="BL27" s="453">
        <f t="shared" si="5"/>
        <v>0</v>
      </c>
      <c r="BM27" s="453">
        <f t="shared" si="6"/>
        <v>0</v>
      </c>
      <c r="BN27" s="453">
        <f>IF(AND(AT27=1,AK27="E",AU27&gt;=0.75,AW27=1),HealthBY,IF(AND(AT27=1,AK27="E",AU27&gt;=0.75),HealthBY*P27,IF(AND(AT27=1,AK27="E",AU27&gt;=0.5,AW27=1),PTHealthBY,IF(AND(AT27=1,AK27="E",AU27&gt;=0.5),PTHealthBY*P27,0))))</f>
        <v>0</v>
      </c>
      <c r="BO27" s="453">
        <f>IF(AND(AT27=3,AK27="E",AV27&gt;=0.75,AW27=1),HealthBY,IF(AND(AT27=3,AK27="E",AV27&gt;=0.75),HealthBY*P27,IF(AND(AT27=3,AK27="E",AV27&gt;=0.5,AW27=1),PTHealthBY,IF(AND(AT27=3,AK27="E",AV27&gt;=0.5),PTHealthBY*P27,0))))</f>
        <v>0</v>
      </c>
      <c r="BP27" s="453">
        <f>IF(AND(AT27&lt;&gt;0,(AX27+BA27)&gt;=MAXSSDIBY),SSDIBY*MAXSSDIBY*P27,IF(AT27&lt;&gt;0,SSDIBY*W27,0))</f>
        <v>0</v>
      </c>
      <c r="BQ27" s="453">
        <f>IF(AT27&lt;&gt;0,SSHIBY*W27,0)</f>
        <v>0</v>
      </c>
      <c r="BR27" s="453">
        <f>IF(AND(AT27&lt;&gt;0,AN27&lt;&gt;"NE"),VLOOKUP(AN27,Retirement_Rates,4,FALSE)*W27,0)</f>
        <v>0</v>
      </c>
      <c r="BS27" s="453">
        <f>IF(AND(AT27&lt;&gt;0,AJ27&lt;&gt;"PF"),LifeBY*W27,0)</f>
        <v>0</v>
      </c>
      <c r="BT27" s="453">
        <f>IF(AND(AT27&lt;&gt;0,AM27="Y"),UIBY*W27,0)</f>
        <v>0</v>
      </c>
      <c r="BU27" s="453">
        <f>IF(AND(AT27&lt;&gt;0,N27&lt;&gt;"NR"),DHRBY*W27,0)</f>
        <v>0</v>
      </c>
      <c r="BV27" s="453">
        <f>IF(AT27&lt;&gt;0,WCBY*W27,0)</f>
        <v>0</v>
      </c>
      <c r="BW27" s="453">
        <f>IF(OR(AND(AT27&lt;&gt;0,AJ27&lt;&gt;"PF",AN27&lt;&gt;"NE",AG27&lt;&gt;"A"),AND(AL27="E",OR(AT27=1,AT27=3))),SickBY*W27,0)</f>
        <v>0</v>
      </c>
      <c r="BX27" s="453">
        <f t="shared" si="7"/>
        <v>0</v>
      </c>
      <c r="BY27" s="453">
        <f t="shared" si="8"/>
        <v>0</v>
      </c>
      <c r="BZ27" s="453">
        <f t="shared" si="9"/>
        <v>0</v>
      </c>
      <c r="CA27" s="453">
        <f t="shared" si="10"/>
        <v>0</v>
      </c>
      <c r="CB27" s="453">
        <f t="shared" si="11"/>
        <v>0</v>
      </c>
      <c r="CC27" s="453">
        <f>IF(AT27&lt;&gt;0,SSHICHG*Y27,0)</f>
        <v>0</v>
      </c>
      <c r="CD27" s="453">
        <f>IF(AND(AT27&lt;&gt;0,AN27&lt;&gt;"NE"),VLOOKUP(AN27,Retirement_Rates,5,FALSE)*Y27,0)</f>
        <v>0</v>
      </c>
      <c r="CE27" s="453">
        <f>IF(AND(AT27&lt;&gt;0,AJ27&lt;&gt;"PF"),LifeCHG*Y27,0)</f>
        <v>0</v>
      </c>
      <c r="CF27" s="453">
        <f>IF(AND(AT27&lt;&gt;0,AM27="Y"),UICHG*Y27,0)</f>
        <v>0</v>
      </c>
      <c r="CG27" s="453">
        <f>IF(AND(AT27&lt;&gt;0,N27&lt;&gt;"NR"),DHRCHG*Y27,0)</f>
        <v>0</v>
      </c>
      <c r="CH27" s="453">
        <f>IF(AT27&lt;&gt;0,WCCHG*Y27,0)</f>
        <v>0</v>
      </c>
      <c r="CI27" s="453">
        <f>IF(OR(AND(AT27&lt;&gt;0,AJ27&lt;&gt;"PF",AN27&lt;&gt;"NE",AG27&lt;&gt;"A"),AND(AL27="E",OR(AT27=1,AT27=3))),SickCHG*Y27,0)</f>
        <v>0</v>
      </c>
      <c r="CJ27" s="453">
        <f t="shared" si="12"/>
        <v>0</v>
      </c>
      <c r="CK27" s="453" t="str">
        <f t="shared" si="13"/>
        <v/>
      </c>
      <c r="CL27" s="453">
        <f t="shared" si="14"/>
        <v>0</v>
      </c>
      <c r="CM27" s="453">
        <f t="shared" si="15"/>
        <v>0</v>
      </c>
      <c r="CN27" s="453" t="str">
        <f t="shared" si="16"/>
        <v>0421-01</v>
      </c>
    </row>
    <row r="28" spans="1:92" ht="15" thickBot="1" x14ac:dyDescent="0.35">
      <c r="A28" s="368" t="s">
        <v>161</v>
      </c>
      <c r="B28" s="368" t="s">
        <v>162</v>
      </c>
      <c r="C28" s="368" t="s">
        <v>316</v>
      </c>
      <c r="D28" s="368" t="s">
        <v>286</v>
      </c>
      <c r="E28" s="368" t="s">
        <v>165</v>
      </c>
      <c r="F28" s="369" t="s">
        <v>166</v>
      </c>
      <c r="G28" s="368" t="s">
        <v>167</v>
      </c>
      <c r="H28" s="370"/>
      <c r="I28" s="370"/>
      <c r="J28" s="368" t="s">
        <v>168</v>
      </c>
      <c r="K28" s="368" t="s">
        <v>287</v>
      </c>
      <c r="L28" s="368" t="s">
        <v>200</v>
      </c>
      <c r="M28" s="368" t="s">
        <v>288</v>
      </c>
      <c r="N28" s="368" t="s">
        <v>289</v>
      </c>
      <c r="O28" s="371">
        <v>0</v>
      </c>
      <c r="P28" s="451">
        <v>1</v>
      </c>
      <c r="Q28" s="451">
        <v>0</v>
      </c>
      <c r="R28" s="372">
        <v>0</v>
      </c>
      <c r="S28" s="451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0"/>
      <c r="AB28" s="368" t="s">
        <v>45</v>
      </c>
      <c r="AC28" s="368" t="s">
        <v>45</v>
      </c>
      <c r="AD28" s="370"/>
      <c r="AE28" s="370"/>
      <c r="AF28" s="370"/>
      <c r="AG28" s="370"/>
      <c r="AH28" s="371">
        <v>0</v>
      </c>
      <c r="AI28" s="371">
        <v>0</v>
      </c>
      <c r="AJ28" s="370"/>
      <c r="AK28" s="370"/>
      <c r="AL28" s="368" t="s">
        <v>181</v>
      </c>
      <c r="AM28" s="370"/>
      <c r="AN28" s="370"/>
      <c r="AO28" s="371">
        <v>0</v>
      </c>
      <c r="AP28" s="451">
        <v>0</v>
      </c>
      <c r="AQ28" s="451">
        <v>0</v>
      </c>
      <c r="AR28" s="450"/>
      <c r="AS28" s="453">
        <f t="shared" si="0"/>
        <v>0</v>
      </c>
      <c r="AT28">
        <f t="shared" si="1"/>
        <v>0</v>
      </c>
      <c r="AU28" s="453" t="str">
        <f>IF(AT28=0,"",IF(AND(AT28=1,M28="F",SUMIF(C2:C55,C28,AS2:AS55)&lt;=1),SUMIF(C2:C55,C28,AS2:AS55),IF(AND(AT28=1,M28="F",SUMIF(C2:C55,C28,AS2:AS55)&gt;1),1,"")))</f>
        <v/>
      </c>
      <c r="AV28" s="453" t="str">
        <f>IF(AT28=0,"",IF(AND(AT28=3,M28="F",SUMIF(C2:C55,C28,AS2:AS55)&lt;=1),SUMIF(C2:C55,C28,AS2:AS55),IF(AND(AT28=3,M28="F",SUMIF(C2:C55,C28,AS2:AS55)&gt;1),1,"")))</f>
        <v/>
      </c>
      <c r="AW28" s="453">
        <f>SUMIF(C2:C55,C28,O2:O55)</f>
        <v>0</v>
      </c>
      <c r="AX28" s="453">
        <f>IF(AND(M28="F",AS28&lt;&gt;0),SUMIF(C2:C55,C28,W2:W55),0)</f>
        <v>0</v>
      </c>
      <c r="AY28" s="453" t="str">
        <f t="shared" si="2"/>
        <v/>
      </c>
      <c r="AZ28" s="453" t="str">
        <f t="shared" si="3"/>
        <v/>
      </c>
      <c r="BA28" s="453">
        <f t="shared" si="4"/>
        <v>0</v>
      </c>
      <c r="BB28" s="453">
        <f>IF(AND(AT28=1,AK28="E",AU28&gt;=0.75,AW28=1),Health,IF(AND(AT28=1,AK28="E",AU28&gt;=0.75),Health*P28,IF(AND(AT28=1,AK28="E",AU28&gt;=0.5,AW28=1),PTHealth,IF(AND(AT28=1,AK28="E",AU28&gt;=0.5),PTHealth*P28,0))))</f>
        <v>0</v>
      </c>
      <c r="BC28" s="453">
        <f>IF(AND(AT28=3,AK28="E",AV28&gt;=0.75,AW28=1),Health,IF(AND(AT28=3,AK28="E",AV28&gt;=0.75),Health*P28,IF(AND(AT28=3,AK28="E",AV28&gt;=0.5,AW28=1),PTHealth,IF(AND(AT28=3,AK28="E",AV28&gt;=0.5),PTHealth*P28,0))))</f>
        <v>0</v>
      </c>
      <c r="BD28" s="453">
        <f>IF(AND(AT28&lt;&gt;0,AX28&gt;=MAXSSDI),SSDI*MAXSSDI*P28,IF(AT28&lt;&gt;0,SSDI*W28,0))</f>
        <v>0</v>
      </c>
      <c r="BE28" s="453">
        <f>IF(AT28&lt;&gt;0,SSHI*W28,0)</f>
        <v>0</v>
      </c>
      <c r="BF28" s="453">
        <f>IF(AND(AT28&lt;&gt;0,AN28&lt;&gt;"NE"),VLOOKUP(AN28,Retirement_Rates,3,FALSE)*W28,0)</f>
        <v>0</v>
      </c>
      <c r="BG28" s="453">
        <f>IF(AND(AT28&lt;&gt;0,AJ28&lt;&gt;"PF"),Life*W28,0)</f>
        <v>0</v>
      </c>
      <c r="BH28" s="453">
        <f>IF(AND(AT28&lt;&gt;0,AM28="Y"),UI*W28,0)</f>
        <v>0</v>
      </c>
      <c r="BI28" s="453">
        <f>IF(AND(AT28&lt;&gt;0,N28&lt;&gt;"NR"),DHR*W28,0)</f>
        <v>0</v>
      </c>
      <c r="BJ28" s="453">
        <f>IF(AT28&lt;&gt;0,WC*W28,0)</f>
        <v>0</v>
      </c>
      <c r="BK28" s="453">
        <f>IF(OR(AND(AT28&lt;&gt;0,AJ28&lt;&gt;"PF",AN28&lt;&gt;"NE",AG28&lt;&gt;"A"),AND(AL28="E",OR(AT28=1,AT28=3))),Sick*W28,0)</f>
        <v>0</v>
      </c>
      <c r="BL28" s="453">
        <f t="shared" si="5"/>
        <v>0</v>
      </c>
      <c r="BM28" s="453">
        <f t="shared" si="6"/>
        <v>0</v>
      </c>
      <c r="BN28" s="453">
        <f>IF(AND(AT28=1,AK28="E",AU28&gt;=0.75,AW28=1),HealthBY,IF(AND(AT28=1,AK28="E",AU28&gt;=0.75),HealthBY*P28,IF(AND(AT28=1,AK28="E",AU28&gt;=0.5,AW28=1),PTHealthBY,IF(AND(AT28=1,AK28="E",AU28&gt;=0.5),PTHealthBY*P28,0))))</f>
        <v>0</v>
      </c>
      <c r="BO28" s="453">
        <f>IF(AND(AT28=3,AK28="E",AV28&gt;=0.75,AW28=1),HealthBY,IF(AND(AT28=3,AK28="E",AV28&gt;=0.75),HealthBY*P28,IF(AND(AT28=3,AK28="E",AV28&gt;=0.5,AW28=1),PTHealthBY,IF(AND(AT28=3,AK28="E",AV28&gt;=0.5),PTHealthBY*P28,0))))</f>
        <v>0</v>
      </c>
      <c r="BP28" s="453">
        <f>IF(AND(AT28&lt;&gt;0,(AX28+BA28)&gt;=MAXSSDIBY),SSDIBY*MAXSSDIBY*P28,IF(AT28&lt;&gt;0,SSDIBY*W28,0))</f>
        <v>0</v>
      </c>
      <c r="BQ28" s="453">
        <f>IF(AT28&lt;&gt;0,SSHIBY*W28,0)</f>
        <v>0</v>
      </c>
      <c r="BR28" s="453">
        <f>IF(AND(AT28&lt;&gt;0,AN28&lt;&gt;"NE"),VLOOKUP(AN28,Retirement_Rates,4,FALSE)*W28,0)</f>
        <v>0</v>
      </c>
      <c r="BS28" s="453">
        <f>IF(AND(AT28&lt;&gt;0,AJ28&lt;&gt;"PF"),LifeBY*W28,0)</f>
        <v>0</v>
      </c>
      <c r="BT28" s="453">
        <f>IF(AND(AT28&lt;&gt;0,AM28="Y"),UIBY*W28,0)</f>
        <v>0</v>
      </c>
      <c r="BU28" s="453">
        <f>IF(AND(AT28&lt;&gt;0,N28&lt;&gt;"NR"),DHRBY*W28,0)</f>
        <v>0</v>
      </c>
      <c r="BV28" s="453">
        <f>IF(AT28&lt;&gt;0,WCBY*W28,0)</f>
        <v>0</v>
      </c>
      <c r="BW28" s="453">
        <f>IF(OR(AND(AT28&lt;&gt;0,AJ28&lt;&gt;"PF",AN28&lt;&gt;"NE",AG28&lt;&gt;"A"),AND(AL28="E",OR(AT28=1,AT28=3))),SickBY*W28,0)</f>
        <v>0</v>
      </c>
      <c r="BX28" s="453">
        <f t="shared" si="7"/>
        <v>0</v>
      </c>
      <c r="BY28" s="453">
        <f t="shared" si="8"/>
        <v>0</v>
      </c>
      <c r="BZ28" s="453">
        <f t="shared" si="9"/>
        <v>0</v>
      </c>
      <c r="CA28" s="453">
        <f t="shared" si="10"/>
        <v>0</v>
      </c>
      <c r="CB28" s="453">
        <f t="shared" si="11"/>
        <v>0</v>
      </c>
      <c r="CC28" s="453">
        <f>IF(AT28&lt;&gt;0,SSHICHG*Y28,0)</f>
        <v>0</v>
      </c>
      <c r="CD28" s="453">
        <f>IF(AND(AT28&lt;&gt;0,AN28&lt;&gt;"NE"),VLOOKUP(AN28,Retirement_Rates,5,FALSE)*Y28,0)</f>
        <v>0</v>
      </c>
      <c r="CE28" s="453">
        <f>IF(AND(AT28&lt;&gt;0,AJ28&lt;&gt;"PF"),LifeCHG*Y28,0)</f>
        <v>0</v>
      </c>
      <c r="CF28" s="453">
        <f>IF(AND(AT28&lt;&gt;0,AM28="Y"),UICHG*Y28,0)</f>
        <v>0</v>
      </c>
      <c r="CG28" s="453">
        <f>IF(AND(AT28&lt;&gt;0,N28&lt;&gt;"NR"),DHRCHG*Y28,0)</f>
        <v>0</v>
      </c>
      <c r="CH28" s="453">
        <f>IF(AT28&lt;&gt;0,WCCHG*Y28,0)</f>
        <v>0</v>
      </c>
      <c r="CI28" s="453">
        <f>IF(OR(AND(AT28&lt;&gt;0,AJ28&lt;&gt;"PF",AN28&lt;&gt;"NE",AG28&lt;&gt;"A"),AND(AL28="E",OR(AT28=1,AT28=3))),SickCHG*Y28,0)</f>
        <v>0</v>
      </c>
      <c r="CJ28" s="453">
        <f t="shared" si="12"/>
        <v>0</v>
      </c>
      <c r="CK28" s="453" t="str">
        <f t="shared" si="13"/>
        <v/>
      </c>
      <c r="CL28" s="453">
        <f t="shared" si="14"/>
        <v>0</v>
      </c>
      <c r="CM28" s="453">
        <f t="shared" si="15"/>
        <v>0</v>
      </c>
      <c r="CN28" s="453" t="str">
        <f t="shared" si="16"/>
        <v>0421-01</v>
      </c>
    </row>
    <row r="29" spans="1:92" ht="15" thickBot="1" x14ac:dyDescent="0.35">
      <c r="A29" s="368" t="s">
        <v>161</v>
      </c>
      <c r="B29" s="368" t="s">
        <v>162</v>
      </c>
      <c r="C29" s="368" t="s">
        <v>317</v>
      </c>
      <c r="D29" s="368" t="s">
        <v>234</v>
      </c>
      <c r="E29" s="368" t="s">
        <v>165</v>
      </c>
      <c r="F29" s="369" t="s">
        <v>166</v>
      </c>
      <c r="G29" s="368" t="s">
        <v>167</v>
      </c>
      <c r="H29" s="370"/>
      <c r="I29" s="370"/>
      <c r="J29" s="368" t="s">
        <v>228</v>
      </c>
      <c r="K29" s="368" t="s">
        <v>235</v>
      </c>
      <c r="L29" s="368" t="s">
        <v>200</v>
      </c>
      <c r="M29" s="368" t="s">
        <v>171</v>
      </c>
      <c r="N29" s="368" t="s">
        <v>172</v>
      </c>
      <c r="O29" s="371">
        <v>1</v>
      </c>
      <c r="P29" s="451">
        <v>1</v>
      </c>
      <c r="Q29" s="451">
        <v>1</v>
      </c>
      <c r="R29" s="372">
        <v>80</v>
      </c>
      <c r="S29" s="451">
        <v>1</v>
      </c>
      <c r="T29" s="372">
        <v>39152.01</v>
      </c>
      <c r="U29" s="372">
        <v>0</v>
      </c>
      <c r="V29" s="372">
        <v>20676.62</v>
      </c>
      <c r="W29" s="372">
        <v>40622.400000000001</v>
      </c>
      <c r="X29" s="372">
        <v>21322.55</v>
      </c>
      <c r="Y29" s="372">
        <v>40622.400000000001</v>
      </c>
      <c r="Z29" s="372">
        <v>21204.75</v>
      </c>
      <c r="AA29" s="368" t="s">
        <v>318</v>
      </c>
      <c r="AB29" s="368" t="s">
        <v>319</v>
      </c>
      <c r="AC29" s="368" t="s">
        <v>320</v>
      </c>
      <c r="AD29" s="368" t="s">
        <v>313</v>
      </c>
      <c r="AE29" s="368" t="s">
        <v>235</v>
      </c>
      <c r="AF29" s="368" t="s">
        <v>177</v>
      </c>
      <c r="AG29" s="368" t="s">
        <v>178</v>
      </c>
      <c r="AH29" s="373">
        <v>19.53</v>
      </c>
      <c r="AI29" s="371">
        <v>5553</v>
      </c>
      <c r="AJ29" s="368" t="s">
        <v>179</v>
      </c>
      <c r="AK29" s="368" t="s">
        <v>180</v>
      </c>
      <c r="AL29" s="368" t="s">
        <v>181</v>
      </c>
      <c r="AM29" s="368" t="s">
        <v>182</v>
      </c>
      <c r="AN29" s="368" t="s">
        <v>68</v>
      </c>
      <c r="AO29" s="371">
        <v>80</v>
      </c>
      <c r="AP29" s="451">
        <v>1</v>
      </c>
      <c r="AQ29" s="451">
        <v>1</v>
      </c>
      <c r="AR29" s="449" t="s">
        <v>183</v>
      </c>
      <c r="AS29" s="453">
        <f t="shared" si="0"/>
        <v>1</v>
      </c>
      <c r="AT29">
        <f t="shared" si="1"/>
        <v>1</v>
      </c>
      <c r="AU29" s="453">
        <f>IF(AT29=0,"",IF(AND(AT29=1,M29="F",SUMIF(C2:C55,C29,AS2:AS55)&lt;=1),SUMIF(C2:C55,C29,AS2:AS55),IF(AND(AT29=1,M29="F",SUMIF(C2:C55,C29,AS2:AS55)&gt;1),1,"")))</f>
        <v>1</v>
      </c>
      <c r="AV29" s="453" t="str">
        <f>IF(AT29=0,"",IF(AND(AT29=3,M29="F",SUMIF(C2:C55,C29,AS2:AS55)&lt;=1),SUMIF(C2:C55,C29,AS2:AS55),IF(AND(AT29=3,M29="F",SUMIF(C2:C55,C29,AS2:AS55)&gt;1),1,"")))</f>
        <v/>
      </c>
      <c r="AW29" s="453">
        <f>SUMIF(C2:C55,C29,O2:O55)</f>
        <v>1</v>
      </c>
      <c r="AX29" s="453">
        <f>IF(AND(M29="F",AS29&lt;&gt;0),SUMIF(C2:C55,C29,W2:W55),0)</f>
        <v>40622.400000000001</v>
      </c>
      <c r="AY29" s="453">
        <f t="shared" si="2"/>
        <v>40622.400000000001</v>
      </c>
      <c r="AZ29" s="453" t="str">
        <f t="shared" si="3"/>
        <v/>
      </c>
      <c r="BA29" s="453">
        <f t="shared" si="4"/>
        <v>0</v>
      </c>
      <c r="BB29" s="453">
        <f>IF(AND(AT29=1,AK29="E",AU29&gt;=0.75,AW29=1),Health,IF(AND(AT29=1,AK29="E",AU29&gt;=0.75),Health*P29,IF(AND(AT29=1,AK29="E",AU29&gt;=0.5,AW29=1),PTHealth,IF(AND(AT29=1,AK29="E",AU29&gt;=0.5),PTHealth*P29,0))))</f>
        <v>11650</v>
      </c>
      <c r="BC29" s="453">
        <f>IF(AND(AT29=3,AK29="E",AV29&gt;=0.75,AW29=1),Health,IF(AND(AT29=3,AK29="E",AV29&gt;=0.75),Health*P29,IF(AND(AT29=3,AK29="E",AV29&gt;=0.5,AW29=1),PTHealth,IF(AND(AT29=3,AK29="E",AV29&gt;=0.5),PTHealth*P29,0))))</f>
        <v>0</v>
      </c>
      <c r="BD29" s="453">
        <f>IF(AND(AT29&lt;&gt;0,AX29&gt;=MAXSSDI),SSDI*MAXSSDI*P29,IF(AT29&lt;&gt;0,SSDI*W29,0))</f>
        <v>2518.5888</v>
      </c>
      <c r="BE29" s="453">
        <f>IF(AT29&lt;&gt;0,SSHI*W29,0)</f>
        <v>589.02480000000003</v>
      </c>
      <c r="BF29" s="453">
        <f>IF(AND(AT29&lt;&gt;0,AN29&lt;&gt;"NE"),VLOOKUP(AN29,Retirement_Rates,3,FALSE)*W29,0)</f>
        <v>4850.3145600000007</v>
      </c>
      <c r="BG29" s="453">
        <f>IF(AND(AT29&lt;&gt;0,AJ29&lt;&gt;"PF"),Life*W29,0)</f>
        <v>292.88750400000004</v>
      </c>
      <c r="BH29" s="453">
        <f>IF(AND(AT29&lt;&gt;0,AM29="Y"),UI*W29,0)</f>
        <v>199.04975999999999</v>
      </c>
      <c r="BI29" s="453">
        <f>IF(AND(AT29&lt;&gt;0,N29&lt;&gt;"NR"),DHR*W29,0)</f>
        <v>0</v>
      </c>
      <c r="BJ29" s="453">
        <f>IF(AT29&lt;&gt;0,WC*W29,0)</f>
        <v>1222.73424</v>
      </c>
      <c r="BK29" s="453">
        <f>IF(OR(AND(AT29&lt;&gt;0,AJ29&lt;&gt;"PF",AN29&lt;&gt;"NE",AG29&lt;&gt;"A"),AND(AL29="E",OR(AT29=1,AT29=3))),Sick*W29,0)</f>
        <v>0</v>
      </c>
      <c r="BL29" s="453">
        <f t="shared" si="5"/>
        <v>9672.5996640000012</v>
      </c>
      <c r="BM29" s="453">
        <f t="shared" si="6"/>
        <v>0</v>
      </c>
      <c r="BN29" s="453">
        <f>IF(AND(AT29=1,AK29="E",AU29&gt;=0.75,AW29=1),HealthBY,IF(AND(AT29=1,AK29="E",AU29&gt;=0.75),HealthBY*P29,IF(AND(AT29=1,AK29="E",AU29&gt;=0.5,AW29=1),PTHealthBY,IF(AND(AT29=1,AK29="E",AU29&gt;=0.5),PTHealthBY*P29,0))))</f>
        <v>11650</v>
      </c>
      <c r="BO29" s="453">
        <f>IF(AND(AT29=3,AK29="E",AV29&gt;=0.75,AW29=1),HealthBY,IF(AND(AT29=3,AK29="E",AV29&gt;=0.75),HealthBY*P29,IF(AND(AT29=3,AK29="E",AV29&gt;=0.5,AW29=1),PTHealthBY,IF(AND(AT29=3,AK29="E",AV29&gt;=0.5),PTHealthBY*P29,0))))</f>
        <v>0</v>
      </c>
      <c r="BP29" s="453">
        <f>IF(AND(AT29&lt;&gt;0,(AX29+BA29)&gt;=MAXSSDIBY),SSDIBY*MAXSSDIBY*P29,IF(AT29&lt;&gt;0,SSDIBY*W29,0))</f>
        <v>2518.5888</v>
      </c>
      <c r="BQ29" s="453">
        <f>IF(AT29&lt;&gt;0,SSHIBY*W29,0)</f>
        <v>589.02480000000003</v>
      </c>
      <c r="BR29" s="453">
        <f>IF(AND(AT29&lt;&gt;0,AN29&lt;&gt;"NE"),VLOOKUP(AN29,Retirement_Rates,4,FALSE)*W29,0)</f>
        <v>4850.3145600000007</v>
      </c>
      <c r="BS29" s="453">
        <f>IF(AND(AT29&lt;&gt;0,AJ29&lt;&gt;"PF"),LifeBY*W29,0)</f>
        <v>292.88750400000004</v>
      </c>
      <c r="BT29" s="453">
        <f>IF(AND(AT29&lt;&gt;0,AM29="Y"),UIBY*W29,0)</f>
        <v>0</v>
      </c>
      <c r="BU29" s="453">
        <f>IF(AND(AT29&lt;&gt;0,N29&lt;&gt;"NR"),DHRBY*W29,0)</f>
        <v>0</v>
      </c>
      <c r="BV29" s="453">
        <f>IF(AT29&lt;&gt;0,WCBY*W29,0)</f>
        <v>1303.9790399999999</v>
      </c>
      <c r="BW29" s="453">
        <f>IF(OR(AND(AT29&lt;&gt;0,AJ29&lt;&gt;"PF",AN29&lt;&gt;"NE",AG29&lt;&gt;"A"),AND(AL29="E",OR(AT29=1,AT29=3))),SickBY*W29,0)</f>
        <v>0</v>
      </c>
      <c r="BX29" s="453">
        <f t="shared" si="7"/>
        <v>9554.7947040000017</v>
      </c>
      <c r="BY29" s="453">
        <f t="shared" si="8"/>
        <v>0</v>
      </c>
      <c r="BZ29" s="453">
        <f t="shared" si="9"/>
        <v>0</v>
      </c>
      <c r="CA29" s="453">
        <f t="shared" si="10"/>
        <v>0</v>
      </c>
      <c r="CB29" s="453">
        <f t="shared" si="11"/>
        <v>0</v>
      </c>
      <c r="CC29" s="453">
        <f>IF(AT29&lt;&gt;0,SSHICHG*Y29,0)</f>
        <v>0</v>
      </c>
      <c r="CD29" s="453">
        <f>IF(AND(AT29&lt;&gt;0,AN29&lt;&gt;"NE"),VLOOKUP(AN29,Retirement_Rates,5,FALSE)*Y29,0)</f>
        <v>0</v>
      </c>
      <c r="CE29" s="453">
        <f>IF(AND(AT29&lt;&gt;0,AJ29&lt;&gt;"PF"),LifeCHG*Y29,0)</f>
        <v>0</v>
      </c>
      <c r="CF29" s="453">
        <f>IF(AND(AT29&lt;&gt;0,AM29="Y"),UICHG*Y29,0)</f>
        <v>-199.04975999999999</v>
      </c>
      <c r="CG29" s="453">
        <f>IF(AND(AT29&lt;&gt;0,N29&lt;&gt;"NR"),DHRCHG*Y29,0)</f>
        <v>0</v>
      </c>
      <c r="CH29" s="453">
        <f>IF(AT29&lt;&gt;0,WCCHG*Y29,0)</f>
        <v>81.244799999999941</v>
      </c>
      <c r="CI29" s="453">
        <f>IF(OR(AND(AT29&lt;&gt;0,AJ29&lt;&gt;"PF",AN29&lt;&gt;"NE",AG29&lt;&gt;"A"),AND(AL29="E",OR(AT29=1,AT29=3))),SickCHG*Y29,0)</f>
        <v>0</v>
      </c>
      <c r="CJ29" s="453">
        <f t="shared" si="12"/>
        <v>-117.80496000000005</v>
      </c>
      <c r="CK29" s="453" t="str">
        <f t="shared" si="13"/>
        <v/>
      </c>
      <c r="CL29" s="453" t="str">
        <f t="shared" si="14"/>
        <v/>
      </c>
      <c r="CM29" s="453" t="str">
        <f t="shared" si="15"/>
        <v/>
      </c>
      <c r="CN29" s="453" t="str">
        <f t="shared" si="16"/>
        <v>0421-01</v>
      </c>
    </row>
    <row r="30" spans="1:92" ht="15" thickBot="1" x14ac:dyDescent="0.35">
      <c r="A30" s="368" t="s">
        <v>161</v>
      </c>
      <c r="B30" s="368" t="s">
        <v>162</v>
      </c>
      <c r="C30" s="368" t="s">
        <v>321</v>
      </c>
      <c r="D30" s="368" t="s">
        <v>322</v>
      </c>
      <c r="E30" s="368" t="s">
        <v>165</v>
      </c>
      <c r="F30" s="369" t="s">
        <v>166</v>
      </c>
      <c r="G30" s="368" t="s">
        <v>167</v>
      </c>
      <c r="H30" s="370"/>
      <c r="I30" s="370"/>
      <c r="J30" s="368" t="s">
        <v>228</v>
      </c>
      <c r="K30" s="368" t="s">
        <v>323</v>
      </c>
      <c r="L30" s="368" t="s">
        <v>200</v>
      </c>
      <c r="M30" s="368" t="s">
        <v>171</v>
      </c>
      <c r="N30" s="368" t="s">
        <v>172</v>
      </c>
      <c r="O30" s="371">
        <v>1</v>
      </c>
      <c r="P30" s="451">
        <v>1</v>
      </c>
      <c r="Q30" s="451">
        <v>1</v>
      </c>
      <c r="R30" s="372">
        <v>80</v>
      </c>
      <c r="S30" s="451">
        <v>1</v>
      </c>
      <c r="T30" s="372">
        <v>73773.759999999995</v>
      </c>
      <c r="U30" s="372">
        <v>0</v>
      </c>
      <c r="V30" s="372">
        <v>21674.06</v>
      </c>
      <c r="W30" s="372">
        <v>87360</v>
      </c>
      <c r="X30" s="372">
        <v>32451.25</v>
      </c>
      <c r="Y30" s="372">
        <v>87360</v>
      </c>
      <c r="Z30" s="372">
        <v>32197.9</v>
      </c>
      <c r="AA30" s="368" t="s">
        <v>324</v>
      </c>
      <c r="AB30" s="368" t="s">
        <v>325</v>
      </c>
      <c r="AC30" s="368" t="s">
        <v>284</v>
      </c>
      <c r="AD30" s="368" t="s">
        <v>326</v>
      </c>
      <c r="AE30" s="368" t="s">
        <v>323</v>
      </c>
      <c r="AF30" s="368" t="s">
        <v>177</v>
      </c>
      <c r="AG30" s="368" t="s">
        <v>178</v>
      </c>
      <c r="AH30" s="371">
        <v>42</v>
      </c>
      <c r="AI30" s="373">
        <v>29385.5</v>
      </c>
      <c r="AJ30" s="368" t="s">
        <v>179</v>
      </c>
      <c r="AK30" s="368" t="s">
        <v>180</v>
      </c>
      <c r="AL30" s="368" t="s">
        <v>181</v>
      </c>
      <c r="AM30" s="368" t="s">
        <v>182</v>
      </c>
      <c r="AN30" s="368" t="s">
        <v>68</v>
      </c>
      <c r="AO30" s="371">
        <v>80</v>
      </c>
      <c r="AP30" s="451">
        <v>1</v>
      </c>
      <c r="AQ30" s="451">
        <v>1</v>
      </c>
      <c r="AR30" s="449" t="s">
        <v>183</v>
      </c>
      <c r="AS30" s="453">
        <f t="shared" si="0"/>
        <v>1</v>
      </c>
      <c r="AT30">
        <f t="shared" si="1"/>
        <v>1</v>
      </c>
      <c r="AU30" s="453">
        <f>IF(AT30=0,"",IF(AND(AT30=1,M30="F",SUMIF(C2:C55,C30,AS2:AS55)&lt;=1),SUMIF(C2:C55,C30,AS2:AS55),IF(AND(AT30=1,M30="F",SUMIF(C2:C55,C30,AS2:AS55)&gt;1),1,"")))</f>
        <v>1</v>
      </c>
      <c r="AV30" s="453" t="str">
        <f>IF(AT30=0,"",IF(AND(AT30=3,M30="F",SUMIF(C2:C55,C30,AS2:AS55)&lt;=1),SUMIF(C2:C55,C30,AS2:AS55),IF(AND(AT30=3,M30="F",SUMIF(C2:C55,C30,AS2:AS55)&gt;1),1,"")))</f>
        <v/>
      </c>
      <c r="AW30" s="453">
        <f>SUMIF(C2:C55,C30,O2:O55)</f>
        <v>1</v>
      </c>
      <c r="AX30" s="453">
        <f>IF(AND(M30="F",AS30&lt;&gt;0),SUMIF(C2:C55,C30,W2:W55),0)</f>
        <v>87360</v>
      </c>
      <c r="AY30" s="453">
        <f t="shared" si="2"/>
        <v>87360</v>
      </c>
      <c r="AZ30" s="453" t="str">
        <f t="shared" si="3"/>
        <v/>
      </c>
      <c r="BA30" s="453">
        <f t="shared" si="4"/>
        <v>0</v>
      </c>
      <c r="BB30" s="453">
        <f>IF(AND(AT30=1,AK30="E",AU30&gt;=0.75,AW30=1),Health,IF(AND(AT30=1,AK30="E",AU30&gt;=0.75),Health*P30,IF(AND(AT30=1,AK30="E",AU30&gt;=0.5,AW30=1),PTHealth,IF(AND(AT30=1,AK30="E",AU30&gt;=0.5),PTHealth*P30,0))))</f>
        <v>11650</v>
      </c>
      <c r="BC30" s="453">
        <f>IF(AND(AT30=3,AK30="E",AV30&gt;=0.75,AW30=1),Health,IF(AND(AT30=3,AK30="E",AV30&gt;=0.75),Health*P30,IF(AND(AT30=3,AK30="E",AV30&gt;=0.5,AW30=1),PTHealth,IF(AND(AT30=3,AK30="E",AV30&gt;=0.5),PTHealth*P30,0))))</f>
        <v>0</v>
      </c>
      <c r="BD30" s="453">
        <f>IF(AND(AT30&lt;&gt;0,AX30&gt;=MAXSSDI),SSDI*MAXSSDI*P30,IF(AT30&lt;&gt;0,SSDI*W30,0))</f>
        <v>5416.32</v>
      </c>
      <c r="BE30" s="453">
        <f>IF(AT30&lt;&gt;0,SSHI*W30,0)</f>
        <v>1266.72</v>
      </c>
      <c r="BF30" s="453">
        <f>IF(AND(AT30&lt;&gt;0,AN30&lt;&gt;"NE"),VLOOKUP(AN30,Retirement_Rates,3,FALSE)*W30,0)</f>
        <v>10430.784</v>
      </c>
      <c r="BG30" s="453">
        <f>IF(AND(AT30&lt;&gt;0,AJ30&lt;&gt;"PF"),Life*W30,0)</f>
        <v>629.86559999999997</v>
      </c>
      <c r="BH30" s="453">
        <f>IF(AND(AT30&lt;&gt;0,AM30="Y"),UI*W30,0)</f>
        <v>428.06399999999996</v>
      </c>
      <c r="BI30" s="453">
        <f>IF(AND(AT30&lt;&gt;0,N30&lt;&gt;"NR"),DHR*W30,0)</f>
        <v>0</v>
      </c>
      <c r="BJ30" s="453">
        <f>IF(AT30&lt;&gt;0,WC*W30,0)</f>
        <v>2629.5360000000001</v>
      </c>
      <c r="BK30" s="453">
        <f>IF(OR(AND(AT30&lt;&gt;0,AJ30&lt;&gt;"PF",AN30&lt;&gt;"NE",AG30&lt;&gt;"A"),AND(AL30="E",OR(AT30=1,AT30=3))),Sick*W30,0)</f>
        <v>0</v>
      </c>
      <c r="BL30" s="453">
        <f t="shared" si="5"/>
        <v>20801.2896</v>
      </c>
      <c r="BM30" s="453">
        <f t="shared" si="6"/>
        <v>0</v>
      </c>
      <c r="BN30" s="453">
        <f>IF(AND(AT30=1,AK30="E",AU30&gt;=0.75,AW30=1),HealthBY,IF(AND(AT30=1,AK30="E",AU30&gt;=0.75),HealthBY*P30,IF(AND(AT30=1,AK30="E",AU30&gt;=0.5,AW30=1),PTHealthBY,IF(AND(AT30=1,AK30="E",AU30&gt;=0.5),PTHealthBY*P30,0))))</f>
        <v>11650</v>
      </c>
      <c r="BO30" s="453">
        <f>IF(AND(AT30=3,AK30="E",AV30&gt;=0.75,AW30=1),HealthBY,IF(AND(AT30=3,AK30="E",AV30&gt;=0.75),HealthBY*P30,IF(AND(AT30=3,AK30="E",AV30&gt;=0.5,AW30=1),PTHealthBY,IF(AND(AT30=3,AK30="E",AV30&gt;=0.5),PTHealthBY*P30,0))))</f>
        <v>0</v>
      </c>
      <c r="BP30" s="453">
        <f>IF(AND(AT30&lt;&gt;0,(AX30+BA30)&gt;=MAXSSDIBY),SSDIBY*MAXSSDIBY*P30,IF(AT30&lt;&gt;0,SSDIBY*W30,0))</f>
        <v>5416.32</v>
      </c>
      <c r="BQ30" s="453">
        <f>IF(AT30&lt;&gt;0,SSHIBY*W30,0)</f>
        <v>1266.72</v>
      </c>
      <c r="BR30" s="453">
        <f>IF(AND(AT30&lt;&gt;0,AN30&lt;&gt;"NE"),VLOOKUP(AN30,Retirement_Rates,4,FALSE)*W30,0)</f>
        <v>10430.784</v>
      </c>
      <c r="BS30" s="453">
        <f>IF(AND(AT30&lt;&gt;0,AJ30&lt;&gt;"PF"),LifeBY*W30,0)</f>
        <v>629.86559999999997</v>
      </c>
      <c r="BT30" s="453">
        <f>IF(AND(AT30&lt;&gt;0,AM30="Y"),UIBY*W30,0)</f>
        <v>0</v>
      </c>
      <c r="BU30" s="453">
        <f>IF(AND(AT30&lt;&gt;0,N30&lt;&gt;"NR"),DHRBY*W30,0)</f>
        <v>0</v>
      </c>
      <c r="BV30" s="453">
        <f>IF(AT30&lt;&gt;0,WCBY*W30,0)</f>
        <v>2804.2559999999999</v>
      </c>
      <c r="BW30" s="453">
        <f>IF(OR(AND(AT30&lt;&gt;0,AJ30&lt;&gt;"PF",AN30&lt;&gt;"NE",AG30&lt;&gt;"A"),AND(AL30="E",OR(AT30=1,AT30=3))),SickBY*W30,0)</f>
        <v>0</v>
      </c>
      <c r="BX30" s="453">
        <f t="shared" si="7"/>
        <v>20547.945600000003</v>
      </c>
      <c r="BY30" s="453">
        <f t="shared" si="8"/>
        <v>0</v>
      </c>
      <c r="BZ30" s="453">
        <f t="shared" si="9"/>
        <v>0</v>
      </c>
      <c r="CA30" s="453">
        <f t="shared" si="10"/>
        <v>0</v>
      </c>
      <c r="CB30" s="453">
        <f t="shared" si="11"/>
        <v>0</v>
      </c>
      <c r="CC30" s="453">
        <f>IF(AT30&lt;&gt;0,SSHICHG*Y30,0)</f>
        <v>0</v>
      </c>
      <c r="CD30" s="453">
        <f>IF(AND(AT30&lt;&gt;0,AN30&lt;&gt;"NE"),VLOOKUP(AN30,Retirement_Rates,5,FALSE)*Y30,0)</f>
        <v>0</v>
      </c>
      <c r="CE30" s="453">
        <f>IF(AND(AT30&lt;&gt;0,AJ30&lt;&gt;"PF"),LifeCHG*Y30,0)</f>
        <v>0</v>
      </c>
      <c r="CF30" s="453">
        <f>IF(AND(AT30&lt;&gt;0,AM30="Y"),UICHG*Y30,0)</f>
        <v>-428.06399999999996</v>
      </c>
      <c r="CG30" s="453">
        <f>IF(AND(AT30&lt;&gt;0,N30&lt;&gt;"NR"),DHRCHG*Y30,0)</f>
        <v>0</v>
      </c>
      <c r="CH30" s="453">
        <f>IF(AT30&lt;&gt;0,WCCHG*Y30,0)</f>
        <v>174.71999999999986</v>
      </c>
      <c r="CI30" s="453">
        <f>IF(OR(AND(AT30&lt;&gt;0,AJ30&lt;&gt;"PF",AN30&lt;&gt;"NE",AG30&lt;&gt;"A"),AND(AL30="E",OR(AT30=1,AT30=3))),SickCHG*Y30,0)</f>
        <v>0</v>
      </c>
      <c r="CJ30" s="453">
        <f t="shared" si="12"/>
        <v>-253.34400000000011</v>
      </c>
      <c r="CK30" s="453" t="str">
        <f t="shared" si="13"/>
        <v/>
      </c>
      <c r="CL30" s="453" t="str">
        <f t="shared" si="14"/>
        <v/>
      </c>
      <c r="CM30" s="453" t="str">
        <f t="shared" si="15"/>
        <v/>
      </c>
      <c r="CN30" s="453" t="str">
        <f t="shared" si="16"/>
        <v>0421-01</v>
      </c>
    </row>
    <row r="31" spans="1:92" ht="15" thickBot="1" x14ac:dyDescent="0.35">
      <c r="A31" s="368" t="s">
        <v>161</v>
      </c>
      <c r="B31" s="368" t="s">
        <v>162</v>
      </c>
      <c r="C31" s="368" t="s">
        <v>327</v>
      </c>
      <c r="D31" s="368" t="s">
        <v>234</v>
      </c>
      <c r="E31" s="368" t="s">
        <v>165</v>
      </c>
      <c r="F31" s="369" t="s">
        <v>166</v>
      </c>
      <c r="G31" s="368" t="s">
        <v>167</v>
      </c>
      <c r="H31" s="370"/>
      <c r="I31" s="370"/>
      <c r="J31" s="368" t="s">
        <v>315</v>
      </c>
      <c r="K31" s="368" t="s">
        <v>235</v>
      </c>
      <c r="L31" s="368" t="s">
        <v>200</v>
      </c>
      <c r="M31" s="368" t="s">
        <v>288</v>
      </c>
      <c r="N31" s="368" t="s">
        <v>289</v>
      </c>
      <c r="O31" s="371">
        <v>0</v>
      </c>
      <c r="P31" s="451">
        <v>0.67</v>
      </c>
      <c r="Q31" s="451">
        <v>0</v>
      </c>
      <c r="R31" s="372">
        <v>0</v>
      </c>
      <c r="S31" s="451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0"/>
      <c r="AB31" s="368" t="s">
        <v>45</v>
      </c>
      <c r="AC31" s="368" t="s">
        <v>45</v>
      </c>
      <c r="AD31" s="370"/>
      <c r="AE31" s="370"/>
      <c r="AF31" s="370"/>
      <c r="AG31" s="370"/>
      <c r="AH31" s="371">
        <v>0</v>
      </c>
      <c r="AI31" s="371">
        <v>0</v>
      </c>
      <c r="AJ31" s="370"/>
      <c r="AK31" s="370"/>
      <c r="AL31" s="368" t="s">
        <v>181</v>
      </c>
      <c r="AM31" s="370"/>
      <c r="AN31" s="370"/>
      <c r="AO31" s="371">
        <v>0</v>
      </c>
      <c r="AP31" s="451">
        <v>0</v>
      </c>
      <c r="AQ31" s="451">
        <v>0</v>
      </c>
      <c r="AR31" s="450"/>
      <c r="AS31" s="453">
        <f t="shared" si="0"/>
        <v>0</v>
      </c>
      <c r="AT31">
        <f t="shared" si="1"/>
        <v>0</v>
      </c>
      <c r="AU31" s="453" t="str">
        <f>IF(AT31=0,"",IF(AND(AT31=1,M31="F",SUMIF(C2:C55,C31,AS2:AS55)&lt;=1),SUMIF(C2:C55,C31,AS2:AS55),IF(AND(AT31=1,M31="F",SUMIF(C2:C55,C31,AS2:AS55)&gt;1),1,"")))</f>
        <v/>
      </c>
      <c r="AV31" s="453" t="str">
        <f>IF(AT31=0,"",IF(AND(AT31=3,M31="F",SUMIF(C2:C55,C31,AS2:AS55)&lt;=1),SUMIF(C2:C55,C31,AS2:AS55),IF(AND(AT31=3,M31="F",SUMIF(C2:C55,C31,AS2:AS55)&gt;1),1,"")))</f>
        <v/>
      </c>
      <c r="AW31" s="453">
        <f>SUMIF(C2:C55,C31,O2:O55)</f>
        <v>0</v>
      </c>
      <c r="AX31" s="453">
        <f>IF(AND(M31="F",AS31&lt;&gt;0),SUMIF(C2:C55,C31,W2:W55),0)</f>
        <v>0</v>
      </c>
      <c r="AY31" s="453" t="str">
        <f t="shared" si="2"/>
        <v/>
      </c>
      <c r="AZ31" s="453" t="str">
        <f t="shared" si="3"/>
        <v/>
      </c>
      <c r="BA31" s="453">
        <f t="shared" si="4"/>
        <v>0</v>
      </c>
      <c r="BB31" s="453">
        <f>IF(AND(AT31=1,AK31="E",AU31&gt;=0.75,AW31=1),Health,IF(AND(AT31=1,AK31="E",AU31&gt;=0.75),Health*P31,IF(AND(AT31=1,AK31="E",AU31&gt;=0.5,AW31=1),PTHealth,IF(AND(AT31=1,AK31="E",AU31&gt;=0.5),PTHealth*P31,0))))</f>
        <v>0</v>
      </c>
      <c r="BC31" s="453">
        <f>IF(AND(AT31=3,AK31="E",AV31&gt;=0.75,AW31=1),Health,IF(AND(AT31=3,AK31="E",AV31&gt;=0.75),Health*P31,IF(AND(AT31=3,AK31="E",AV31&gt;=0.5,AW31=1),PTHealth,IF(AND(AT31=3,AK31="E",AV31&gt;=0.5),PTHealth*P31,0))))</f>
        <v>0</v>
      </c>
      <c r="BD31" s="453">
        <f>IF(AND(AT31&lt;&gt;0,AX31&gt;=MAXSSDI),SSDI*MAXSSDI*P31,IF(AT31&lt;&gt;0,SSDI*W31,0))</f>
        <v>0</v>
      </c>
      <c r="BE31" s="453">
        <f>IF(AT31&lt;&gt;0,SSHI*W31,0)</f>
        <v>0</v>
      </c>
      <c r="BF31" s="453">
        <f>IF(AND(AT31&lt;&gt;0,AN31&lt;&gt;"NE"),VLOOKUP(AN31,Retirement_Rates,3,FALSE)*W31,0)</f>
        <v>0</v>
      </c>
      <c r="BG31" s="453">
        <f>IF(AND(AT31&lt;&gt;0,AJ31&lt;&gt;"PF"),Life*W31,0)</f>
        <v>0</v>
      </c>
      <c r="BH31" s="453">
        <f>IF(AND(AT31&lt;&gt;0,AM31="Y"),UI*W31,0)</f>
        <v>0</v>
      </c>
      <c r="BI31" s="453">
        <f>IF(AND(AT31&lt;&gt;0,N31&lt;&gt;"NR"),DHR*W31,0)</f>
        <v>0</v>
      </c>
      <c r="BJ31" s="453">
        <f>IF(AT31&lt;&gt;0,WC*W31,0)</f>
        <v>0</v>
      </c>
      <c r="BK31" s="453">
        <f>IF(OR(AND(AT31&lt;&gt;0,AJ31&lt;&gt;"PF",AN31&lt;&gt;"NE",AG31&lt;&gt;"A"),AND(AL31="E",OR(AT31=1,AT31=3))),Sick*W31,0)</f>
        <v>0</v>
      </c>
      <c r="BL31" s="453">
        <f t="shared" si="5"/>
        <v>0</v>
      </c>
      <c r="BM31" s="453">
        <f t="shared" si="6"/>
        <v>0</v>
      </c>
      <c r="BN31" s="453">
        <f>IF(AND(AT31=1,AK31="E",AU31&gt;=0.75,AW31=1),HealthBY,IF(AND(AT31=1,AK31="E",AU31&gt;=0.75),HealthBY*P31,IF(AND(AT31=1,AK31="E",AU31&gt;=0.5,AW31=1),PTHealthBY,IF(AND(AT31=1,AK31="E",AU31&gt;=0.5),PTHealthBY*P31,0))))</f>
        <v>0</v>
      </c>
      <c r="BO31" s="453">
        <f>IF(AND(AT31=3,AK31="E",AV31&gt;=0.75,AW31=1),HealthBY,IF(AND(AT31=3,AK31="E",AV31&gt;=0.75),HealthBY*P31,IF(AND(AT31=3,AK31="E",AV31&gt;=0.5,AW31=1),PTHealthBY,IF(AND(AT31=3,AK31="E",AV31&gt;=0.5),PTHealthBY*P31,0))))</f>
        <v>0</v>
      </c>
      <c r="BP31" s="453">
        <f>IF(AND(AT31&lt;&gt;0,(AX31+BA31)&gt;=MAXSSDIBY),SSDIBY*MAXSSDIBY*P31,IF(AT31&lt;&gt;0,SSDIBY*W31,0))</f>
        <v>0</v>
      </c>
      <c r="BQ31" s="453">
        <f>IF(AT31&lt;&gt;0,SSHIBY*W31,0)</f>
        <v>0</v>
      </c>
      <c r="BR31" s="453">
        <f>IF(AND(AT31&lt;&gt;0,AN31&lt;&gt;"NE"),VLOOKUP(AN31,Retirement_Rates,4,FALSE)*W31,0)</f>
        <v>0</v>
      </c>
      <c r="BS31" s="453">
        <f>IF(AND(AT31&lt;&gt;0,AJ31&lt;&gt;"PF"),LifeBY*W31,0)</f>
        <v>0</v>
      </c>
      <c r="BT31" s="453">
        <f>IF(AND(AT31&lt;&gt;0,AM31="Y"),UIBY*W31,0)</f>
        <v>0</v>
      </c>
      <c r="BU31" s="453">
        <f>IF(AND(AT31&lt;&gt;0,N31&lt;&gt;"NR"),DHRBY*W31,0)</f>
        <v>0</v>
      </c>
      <c r="BV31" s="453">
        <f>IF(AT31&lt;&gt;0,WCBY*W31,0)</f>
        <v>0</v>
      </c>
      <c r="BW31" s="453">
        <f>IF(OR(AND(AT31&lt;&gt;0,AJ31&lt;&gt;"PF",AN31&lt;&gt;"NE",AG31&lt;&gt;"A"),AND(AL31="E",OR(AT31=1,AT31=3))),SickBY*W31,0)</f>
        <v>0</v>
      </c>
      <c r="BX31" s="453">
        <f t="shared" si="7"/>
        <v>0</v>
      </c>
      <c r="BY31" s="453">
        <f t="shared" si="8"/>
        <v>0</v>
      </c>
      <c r="BZ31" s="453">
        <f t="shared" si="9"/>
        <v>0</v>
      </c>
      <c r="CA31" s="453">
        <f t="shared" si="10"/>
        <v>0</v>
      </c>
      <c r="CB31" s="453">
        <f t="shared" si="11"/>
        <v>0</v>
      </c>
      <c r="CC31" s="453">
        <f>IF(AT31&lt;&gt;0,SSHICHG*Y31,0)</f>
        <v>0</v>
      </c>
      <c r="CD31" s="453">
        <f>IF(AND(AT31&lt;&gt;0,AN31&lt;&gt;"NE"),VLOOKUP(AN31,Retirement_Rates,5,FALSE)*Y31,0)</f>
        <v>0</v>
      </c>
      <c r="CE31" s="453">
        <f>IF(AND(AT31&lt;&gt;0,AJ31&lt;&gt;"PF"),LifeCHG*Y31,0)</f>
        <v>0</v>
      </c>
      <c r="CF31" s="453">
        <f>IF(AND(AT31&lt;&gt;0,AM31="Y"),UICHG*Y31,0)</f>
        <v>0</v>
      </c>
      <c r="CG31" s="453">
        <f>IF(AND(AT31&lt;&gt;0,N31&lt;&gt;"NR"),DHRCHG*Y31,0)</f>
        <v>0</v>
      </c>
      <c r="CH31" s="453">
        <f>IF(AT31&lt;&gt;0,WCCHG*Y31,0)</f>
        <v>0</v>
      </c>
      <c r="CI31" s="453">
        <f>IF(OR(AND(AT31&lt;&gt;0,AJ31&lt;&gt;"PF",AN31&lt;&gt;"NE",AG31&lt;&gt;"A"),AND(AL31="E",OR(AT31=1,AT31=3))),SickCHG*Y31,0)</f>
        <v>0</v>
      </c>
      <c r="CJ31" s="453">
        <f t="shared" si="12"/>
        <v>0</v>
      </c>
      <c r="CK31" s="453" t="str">
        <f t="shared" si="13"/>
        <v/>
      </c>
      <c r="CL31" s="453">
        <f t="shared" si="14"/>
        <v>0</v>
      </c>
      <c r="CM31" s="453">
        <f t="shared" si="15"/>
        <v>0</v>
      </c>
      <c r="CN31" s="453" t="str">
        <f t="shared" si="16"/>
        <v>0421-01</v>
      </c>
    </row>
    <row r="32" spans="1:92" ht="15" thickBot="1" x14ac:dyDescent="0.35">
      <c r="A32" s="368" t="s">
        <v>161</v>
      </c>
      <c r="B32" s="368" t="s">
        <v>162</v>
      </c>
      <c r="C32" s="368" t="s">
        <v>328</v>
      </c>
      <c r="D32" s="368" t="s">
        <v>206</v>
      </c>
      <c r="E32" s="368" t="s">
        <v>165</v>
      </c>
      <c r="F32" s="369" t="s">
        <v>166</v>
      </c>
      <c r="G32" s="368" t="s">
        <v>167</v>
      </c>
      <c r="H32" s="370"/>
      <c r="I32" s="370"/>
      <c r="J32" s="368" t="s">
        <v>168</v>
      </c>
      <c r="K32" s="368" t="s">
        <v>207</v>
      </c>
      <c r="L32" s="368" t="s">
        <v>200</v>
      </c>
      <c r="M32" s="368" t="s">
        <v>171</v>
      </c>
      <c r="N32" s="368" t="s">
        <v>172</v>
      </c>
      <c r="O32" s="371">
        <v>1</v>
      </c>
      <c r="P32" s="451">
        <v>1</v>
      </c>
      <c r="Q32" s="451">
        <v>1</v>
      </c>
      <c r="R32" s="372">
        <v>80</v>
      </c>
      <c r="S32" s="451">
        <v>1</v>
      </c>
      <c r="T32" s="372">
        <v>54927.6</v>
      </c>
      <c r="U32" s="372">
        <v>1848.95</v>
      </c>
      <c r="V32" s="372">
        <v>24053.25</v>
      </c>
      <c r="W32" s="372">
        <v>29764.799999999999</v>
      </c>
      <c r="X32" s="372">
        <v>18737.259999999998</v>
      </c>
      <c r="Y32" s="372">
        <v>29764.799999999999</v>
      </c>
      <c r="Z32" s="372">
        <v>18650.95</v>
      </c>
      <c r="AA32" s="368" t="s">
        <v>329</v>
      </c>
      <c r="AB32" s="368" t="s">
        <v>330</v>
      </c>
      <c r="AC32" s="368" t="s">
        <v>331</v>
      </c>
      <c r="AD32" s="368" t="s">
        <v>332</v>
      </c>
      <c r="AE32" s="368" t="s">
        <v>207</v>
      </c>
      <c r="AF32" s="368" t="s">
        <v>177</v>
      </c>
      <c r="AG32" s="368" t="s">
        <v>178</v>
      </c>
      <c r="AH32" s="373">
        <v>14.31</v>
      </c>
      <c r="AI32" s="373">
        <v>14135.7</v>
      </c>
      <c r="AJ32" s="368" t="s">
        <v>179</v>
      </c>
      <c r="AK32" s="368" t="s">
        <v>180</v>
      </c>
      <c r="AL32" s="368" t="s">
        <v>181</v>
      </c>
      <c r="AM32" s="368" t="s">
        <v>182</v>
      </c>
      <c r="AN32" s="368" t="s">
        <v>68</v>
      </c>
      <c r="AO32" s="371">
        <v>80</v>
      </c>
      <c r="AP32" s="451">
        <v>1</v>
      </c>
      <c r="AQ32" s="451">
        <v>1</v>
      </c>
      <c r="AR32" s="449" t="s">
        <v>183</v>
      </c>
      <c r="AS32" s="453">
        <f t="shared" si="0"/>
        <v>1</v>
      </c>
      <c r="AT32">
        <f t="shared" si="1"/>
        <v>1</v>
      </c>
      <c r="AU32" s="453">
        <f>IF(AT32=0,"",IF(AND(AT32=1,M32="F",SUMIF(C2:C55,C32,AS2:AS55)&lt;=1),SUMIF(C2:C55,C32,AS2:AS55),IF(AND(AT32=1,M32="F",SUMIF(C2:C55,C32,AS2:AS55)&gt;1),1,"")))</f>
        <v>1</v>
      </c>
      <c r="AV32" s="453" t="str">
        <f>IF(AT32=0,"",IF(AND(AT32=3,M32="F",SUMIF(C2:C55,C32,AS2:AS55)&lt;=1),SUMIF(C2:C55,C32,AS2:AS55),IF(AND(AT32=3,M32="F",SUMIF(C2:C55,C32,AS2:AS55)&gt;1),1,"")))</f>
        <v/>
      </c>
      <c r="AW32" s="453">
        <f>SUMIF(C2:C55,C32,O2:O55)</f>
        <v>1</v>
      </c>
      <c r="AX32" s="453">
        <f>IF(AND(M32="F",AS32&lt;&gt;0),SUMIF(C2:C55,C32,W2:W55),0)</f>
        <v>29764.799999999999</v>
      </c>
      <c r="AY32" s="453">
        <f t="shared" si="2"/>
        <v>29764.799999999999</v>
      </c>
      <c r="AZ32" s="453" t="str">
        <f t="shared" si="3"/>
        <v/>
      </c>
      <c r="BA32" s="453">
        <f t="shared" si="4"/>
        <v>0</v>
      </c>
      <c r="BB32" s="453">
        <f>IF(AND(AT32=1,AK32="E",AU32&gt;=0.75,AW32=1),Health,IF(AND(AT32=1,AK32="E",AU32&gt;=0.75),Health*P32,IF(AND(AT32=1,AK32="E",AU32&gt;=0.5,AW32=1),PTHealth,IF(AND(AT32=1,AK32="E",AU32&gt;=0.5),PTHealth*P32,0))))</f>
        <v>11650</v>
      </c>
      <c r="BC32" s="453">
        <f>IF(AND(AT32=3,AK32="E",AV32&gt;=0.75,AW32=1),Health,IF(AND(AT32=3,AK32="E",AV32&gt;=0.75),Health*P32,IF(AND(AT32=3,AK32="E",AV32&gt;=0.5,AW32=1),PTHealth,IF(AND(AT32=3,AK32="E",AV32&gt;=0.5),PTHealth*P32,0))))</f>
        <v>0</v>
      </c>
      <c r="BD32" s="453">
        <f>IF(AND(AT32&lt;&gt;0,AX32&gt;=MAXSSDI),SSDI*MAXSSDI*P32,IF(AT32&lt;&gt;0,SSDI*W32,0))</f>
        <v>1845.4176</v>
      </c>
      <c r="BE32" s="453">
        <f>IF(AT32&lt;&gt;0,SSHI*W32,0)</f>
        <v>431.58960000000002</v>
      </c>
      <c r="BF32" s="453">
        <f>IF(AND(AT32&lt;&gt;0,AN32&lt;&gt;"NE"),VLOOKUP(AN32,Retirement_Rates,3,FALSE)*W32,0)</f>
        <v>3553.9171200000001</v>
      </c>
      <c r="BG32" s="453">
        <f>IF(AND(AT32&lt;&gt;0,AJ32&lt;&gt;"PF"),Life*W32,0)</f>
        <v>214.604208</v>
      </c>
      <c r="BH32" s="453">
        <f>IF(AND(AT32&lt;&gt;0,AM32="Y"),UI*W32,0)</f>
        <v>145.84752</v>
      </c>
      <c r="BI32" s="453">
        <f>IF(AND(AT32&lt;&gt;0,N32&lt;&gt;"NR"),DHR*W32,0)</f>
        <v>0</v>
      </c>
      <c r="BJ32" s="453">
        <f>IF(AT32&lt;&gt;0,WC*W32,0)</f>
        <v>895.92047999999988</v>
      </c>
      <c r="BK32" s="453">
        <f>IF(OR(AND(AT32&lt;&gt;0,AJ32&lt;&gt;"PF",AN32&lt;&gt;"NE",AG32&lt;&gt;"A"),AND(AL32="E",OR(AT32=1,AT32=3))),Sick*W32,0)</f>
        <v>0</v>
      </c>
      <c r="BL32" s="453">
        <f t="shared" si="5"/>
        <v>7087.2965279999999</v>
      </c>
      <c r="BM32" s="453">
        <f t="shared" si="6"/>
        <v>0</v>
      </c>
      <c r="BN32" s="453">
        <f>IF(AND(AT32=1,AK32="E",AU32&gt;=0.75,AW32=1),HealthBY,IF(AND(AT32=1,AK32="E",AU32&gt;=0.75),HealthBY*P32,IF(AND(AT32=1,AK32="E",AU32&gt;=0.5,AW32=1),PTHealthBY,IF(AND(AT32=1,AK32="E",AU32&gt;=0.5),PTHealthBY*P32,0))))</f>
        <v>11650</v>
      </c>
      <c r="BO32" s="453">
        <f>IF(AND(AT32=3,AK32="E",AV32&gt;=0.75,AW32=1),HealthBY,IF(AND(AT32=3,AK32="E",AV32&gt;=0.75),HealthBY*P32,IF(AND(AT32=3,AK32="E",AV32&gt;=0.5,AW32=1),PTHealthBY,IF(AND(AT32=3,AK32="E",AV32&gt;=0.5),PTHealthBY*P32,0))))</f>
        <v>0</v>
      </c>
      <c r="BP32" s="453">
        <f>IF(AND(AT32&lt;&gt;0,(AX32+BA32)&gt;=MAXSSDIBY),SSDIBY*MAXSSDIBY*P32,IF(AT32&lt;&gt;0,SSDIBY*W32,0))</f>
        <v>1845.4176</v>
      </c>
      <c r="BQ32" s="453">
        <f>IF(AT32&lt;&gt;0,SSHIBY*W32,0)</f>
        <v>431.58960000000002</v>
      </c>
      <c r="BR32" s="453">
        <f>IF(AND(AT32&lt;&gt;0,AN32&lt;&gt;"NE"),VLOOKUP(AN32,Retirement_Rates,4,FALSE)*W32,0)</f>
        <v>3553.9171200000001</v>
      </c>
      <c r="BS32" s="453">
        <f>IF(AND(AT32&lt;&gt;0,AJ32&lt;&gt;"PF"),LifeBY*W32,0)</f>
        <v>214.604208</v>
      </c>
      <c r="BT32" s="453">
        <f>IF(AND(AT32&lt;&gt;0,AM32="Y"),UIBY*W32,0)</f>
        <v>0</v>
      </c>
      <c r="BU32" s="453">
        <f>IF(AND(AT32&lt;&gt;0,N32&lt;&gt;"NR"),DHRBY*W32,0)</f>
        <v>0</v>
      </c>
      <c r="BV32" s="453">
        <f>IF(AT32&lt;&gt;0,WCBY*W32,0)</f>
        <v>955.45007999999984</v>
      </c>
      <c r="BW32" s="453">
        <f>IF(OR(AND(AT32&lt;&gt;0,AJ32&lt;&gt;"PF",AN32&lt;&gt;"NE",AG32&lt;&gt;"A"),AND(AL32="E",OR(AT32=1,AT32=3))),SickBY*W32,0)</f>
        <v>0</v>
      </c>
      <c r="BX32" s="453">
        <f t="shared" si="7"/>
        <v>7000.9786079999994</v>
      </c>
      <c r="BY32" s="453">
        <f t="shared" si="8"/>
        <v>0</v>
      </c>
      <c r="BZ32" s="453">
        <f t="shared" si="9"/>
        <v>0</v>
      </c>
      <c r="CA32" s="453">
        <f t="shared" si="10"/>
        <v>0</v>
      </c>
      <c r="CB32" s="453">
        <f t="shared" si="11"/>
        <v>0</v>
      </c>
      <c r="CC32" s="453">
        <f>IF(AT32&lt;&gt;0,SSHICHG*Y32,0)</f>
        <v>0</v>
      </c>
      <c r="CD32" s="453">
        <f>IF(AND(AT32&lt;&gt;0,AN32&lt;&gt;"NE"),VLOOKUP(AN32,Retirement_Rates,5,FALSE)*Y32,0)</f>
        <v>0</v>
      </c>
      <c r="CE32" s="453">
        <f>IF(AND(AT32&lt;&gt;0,AJ32&lt;&gt;"PF"),LifeCHG*Y32,0)</f>
        <v>0</v>
      </c>
      <c r="CF32" s="453">
        <f>IF(AND(AT32&lt;&gt;0,AM32="Y"),UICHG*Y32,0)</f>
        <v>-145.84752</v>
      </c>
      <c r="CG32" s="453">
        <f>IF(AND(AT32&lt;&gt;0,N32&lt;&gt;"NR"),DHRCHG*Y32,0)</f>
        <v>0</v>
      </c>
      <c r="CH32" s="453">
        <f>IF(AT32&lt;&gt;0,WCCHG*Y32,0)</f>
        <v>59.529599999999945</v>
      </c>
      <c r="CI32" s="453">
        <f>IF(OR(AND(AT32&lt;&gt;0,AJ32&lt;&gt;"PF",AN32&lt;&gt;"NE",AG32&lt;&gt;"A"),AND(AL32="E",OR(AT32=1,AT32=3))),SickCHG*Y32,0)</f>
        <v>0</v>
      </c>
      <c r="CJ32" s="453">
        <f t="shared" si="12"/>
        <v>-86.317920000000058</v>
      </c>
      <c r="CK32" s="453" t="str">
        <f t="shared" si="13"/>
        <v/>
      </c>
      <c r="CL32" s="453" t="str">
        <f t="shared" si="14"/>
        <v/>
      </c>
      <c r="CM32" s="453" t="str">
        <f t="shared" si="15"/>
        <v/>
      </c>
      <c r="CN32" s="453" t="str">
        <f t="shared" si="16"/>
        <v>0421-01</v>
      </c>
    </row>
    <row r="33" spans="1:92" ht="15" thickBot="1" x14ac:dyDescent="0.35">
      <c r="A33" s="368" t="s">
        <v>161</v>
      </c>
      <c r="B33" s="368" t="s">
        <v>162</v>
      </c>
      <c r="C33" s="368" t="s">
        <v>333</v>
      </c>
      <c r="D33" s="368" t="s">
        <v>198</v>
      </c>
      <c r="E33" s="368" t="s">
        <v>165</v>
      </c>
      <c r="F33" s="369" t="s">
        <v>166</v>
      </c>
      <c r="G33" s="368" t="s">
        <v>167</v>
      </c>
      <c r="H33" s="370"/>
      <c r="I33" s="370"/>
      <c r="J33" s="368" t="s">
        <v>168</v>
      </c>
      <c r="K33" s="368" t="s">
        <v>199</v>
      </c>
      <c r="L33" s="368" t="s">
        <v>200</v>
      </c>
      <c r="M33" s="368" t="s">
        <v>288</v>
      </c>
      <c r="N33" s="368" t="s">
        <v>172</v>
      </c>
      <c r="O33" s="371">
        <v>0</v>
      </c>
      <c r="P33" s="451">
        <v>1</v>
      </c>
      <c r="Q33" s="451">
        <v>1</v>
      </c>
      <c r="R33" s="372">
        <v>80</v>
      </c>
      <c r="S33" s="451">
        <v>1</v>
      </c>
      <c r="T33" s="372">
        <v>17046.09</v>
      </c>
      <c r="U33" s="372">
        <v>601.51</v>
      </c>
      <c r="V33" s="372">
        <v>5182.59</v>
      </c>
      <c r="W33" s="372">
        <v>42452.800000000003</v>
      </c>
      <c r="X33" s="372">
        <v>18594.32</v>
      </c>
      <c r="Y33" s="372">
        <v>42452.800000000003</v>
      </c>
      <c r="Z33" s="372">
        <v>18382.060000000001</v>
      </c>
      <c r="AA33" s="370"/>
      <c r="AB33" s="368" t="s">
        <v>45</v>
      </c>
      <c r="AC33" s="368" t="s">
        <v>45</v>
      </c>
      <c r="AD33" s="370"/>
      <c r="AE33" s="370"/>
      <c r="AF33" s="370"/>
      <c r="AG33" s="370"/>
      <c r="AH33" s="371">
        <v>0</v>
      </c>
      <c r="AI33" s="371">
        <v>0</v>
      </c>
      <c r="AJ33" s="370"/>
      <c r="AK33" s="370"/>
      <c r="AL33" s="368" t="s">
        <v>181</v>
      </c>
      <c r="AM33" s="370"/>
      <c r="AN33" s="370"/>
      <c r="AO33" s="371">
        <v>0</v>
      </c>
      <c r="AP33" s="451">
        <v>0</v>
      </c>
      <c r="AQ33" s="451">
        <v>0</v>
      </c>
      <c r="AR33" s="450"/>
      <c r="AS33" s="453">
        <f t="shared" si="0"/>
        <v>0</v>
      </c>
      <c r="AT33">
        <f t="shared" si="1"/>
        <v>0</v>
      </c>
      <c r="AU33" s="453" t="str">
        <f>IF(AT33=0,"",IF(AND(AT33=1,M33="F",SUMIF(C2:C55,C33,AS2:AS55)&lt;=1),SUMIF(C2:C55,C33,AS2:AS55),IF(AND(AT33=1,M33="F",SUMIF(C2:C55,C33,AS2:AS55)&gt;1),1,"")))</f>
        <v/>
      </c>
      <c r="AV33" s="453" t="str">
        <f>IF(AT33=0,"",IF(AND(AT33=3,M33="F",SUMIF(C2:C55,C33,AS2:AS55)&lt;=1),SUMIF(C2:C55,C33,AS2:AS55),IF(AND(AT33=3,M33="F",SUMIF(C2:C55,C33,AS2:AS55)&gt;1),1,"")))</f>
        <v/>
      </c>
      <c r="AW33" s="453">
        <f>SUMIF(C2:C55,C33,O2:O55)</f>
        <v>0</v>
      </c>
      <c r="AX33" s="453">
        <f>IF(AND(M33="F",AS33&lt;&gt;0),SUMIF(C2:C55,C33,W2:W55),0)</f>
        <v>0</v>
      </c>
      <c r="AY33" s="453" t="str">
        <f t="shared" si="2"/>
        <v/>
      </c>
      <c r="AZ33" s="453" t="str">
        <f t="shared" si="3"/>
        <v/>
      </c>
      <c r="BA33" s="453">
        <f t="shared" si="4"/>
        <v>0</v>
      </c>
      <c r="BB33" s="453">
        <f>IF(AND(AT33=1,AK33="E",AU33&gt;=0.75,AW33=1),Health,IF(AND(AT33=1,AK33="E",AU33&gt;=0.75),Health*P33,IF(AND(AT33=1,AK33="E",AU33&gt;=0.5,AW33=1),PTHealth,IF(AND(AT33=1,AK33="E",AU33&gt;=0.5),PTHealth*P33,0))))</f>
        <v>0</v>
      </c>
      <c r="BC33" s="453">
        <f>IF(AND(AT33=3,AK33="E",AV33&gt;=0.75,AW33=1),Health,IF(AND(AT33=3,AK33="E",AV33&gt;=0.75),Health*P33,IF(AND(AT33=3,AK33="E",AV33&gt;=0.5,AW33=1),PTHealth,IF(AND(AT33=3,AK33="E",AV33&gt;=0.5),PTHealth*P33,0))))</f>
        <v>0</v>
      </c>
      <c r="BD33" s="453">
        <f>IF(AND(AT33&lt;&gt;0,AX33&gt;=MAXSSDI),SSDI*MAXSSDI*P33,IF(AT33&lt;&gt;0,SSDI*W33,0))</f>
        <v>0</v>
      </c>
      <c r="BE33" s="453">
        <f>IF(AT33&lt;&gt;0,SSHI*W33,0)</f>
        <v>0</v>
      </c>
      <c r="BF33" s="453">
        <f>IF(AND(AT33&lt;&gt;0,AN33&lt;&gt;"NE"),VLOOKUP(AN33,Retirement_Rates,3,FALSE)*W33,0)</f>
        <v>0</v>
      </c>
      <c r="BG33" s="453">
        <f>IF(AND(AT33&lt;&gt;0,AJ33&lt;&gt;"PF"),Life*W33,0)</f>
        <v>0</v>
      </c>
      <c r="BH33" s="453">
        <f>IF(AND(AT33&lt;&gt;0,AM33="Y"),UI*W33,0)</f>
        <v>0</v>
      </c>
      <c r="BI33" s="453">
        <f>IF(AND(AT33&lt;&gt;0,N33&lt;&gt;"NR"),DHR*W33,0)</f>
        <v>0</v>
      </c>
      <c r="BJ33" s="453">
        <f>IF(AT33&lt;&gt;0,WC*W33,0)</f>
        <v>0</v>
      </c>
      <c r="BK33" s="453">
        <f>IF(OR(AND(AT33&lt;&gt;0,AJ33&lt;&gt;"PF",AN33&lt;&gt;"NE",AG33&lt;&gt;"A"),AND(AL33="E",OR(AT33=1,AT33=3))),Sick*W33,0)</f>
        <v>0</v>
      </c>
      <c r="BL33" s="453">
        <f t="shared" si="5"/>
        <v>0</v>
      </c>
      <c r="BM33" s="453">
        <f t="shared" si="6"/>
        <v>0</v>
      </c>
      <c r="BN33" s="453">
        <f>IF(AND(AT33=1,AK33="E",AU33&gt;=0.75,AW33=1),HealthBY,IF(AND(AT33=1,AK33="E",AU33&gt;=0.75),HealthBY*P33,IF(AND(AT33=1,AK33="E",AU33&gt;=0.5,AW33=1),PTHealthBY,IF(AND(AT33=1,AK33="E",AU33&gt;=0.5),PTHealthBY*P33,0))))</f>
        <v>0</v>
      </c>
      <c r="BO33" s="453">
        <f>IF(AND(AT33=3,AK33="E",AV33&gt;=0.75,AW33=1),HealthBY,IF(AND(AT33=3,AK33="E",AV33&gt;=0.75),HealthBY*P33,IF(AND(AT33=3,AK33="E",AV33&gt;=0.5,AW33=1),PTHealthBY,IF(AND(AT33=3,AK33="E",AV33&gt;=0.5),PTHealthBY*P33,0))))</f>
        <v>0</v>
      </c>
      <c r="BP33" s="453">
        <f>IF(AND(AT33&lt;&gt;0,(AX33+BA33)&gt;=MAXSSDIBY),SSDIBY*MAXSSDIBY*P33,IF(AT33&lt;&gt;0,SSDIBY*W33,0))</f>
        <v>0</v>
      </c>
      <c r="BQ33" s="453">
        <f>IF(AT33&lt;&gt;0,SSHIBY*W33,0)</f>
        <v>0</v>
      </c>
      <c r="BR33" s="453">
        <f>IF(AND(AT33&lt;&gt;0,AN33&lt;&gt;"NE"),VLOOKUP(AN33,Retirement_Rates,4,FALSE)*W33,0)</f>
        <v>0</v>
      </c>
      <c r="BS33" s="453">
        <f>IF(AND(AT33&lt;&gt;0,AJ33&lt;&gt;"PF"),LifeBY*W33,0)</f>
        <v>0</v>
      </c>
      <c r="BT33" s="453">
        <f>IF(AND(AT33&lt;&gt;0,AM33="Y"),UIBY*W33,0)</f>
        <v>0</v>
      </c>
      <c r="BU33" s="453">
        <f>IF(AND(AT33&lt;&gt;0,N33&lt;&gt;"NR"),DHRBY*W33,0)</f>
        <v>0</v>
      </c>
      <c r="BV33" s="453">
        <f>IF(AT33&lt;&gt;0,WCBY*W33,0)</f>
        <v>0</v>
      </c>
      <c r="BW33" s="453">
        <f>IF(OR(AND(AT33&lt;&gt;0,AJ33&lt;&gt;"PF",AN33&lt;&gt;"NE",AG33&lt;&gt;"A"),AND(AL33="E",OR(AT33=1,AT33=3))),SickBY*W33,0)</f>
        <v>0</v>
      </c>
      <c r="BX33" s="453">
        <f t="shared" si="7"/>
        <v>0</v>
      </c>
      <c r="BY33" s="453">
        <f t="shared" si="8"/>
        <v>0</v>
      </c>
      <c r="BZ33" s="453">
        <f t="shared" si="9"/>
        <v>0</v>
      </c>
      <c r="CA33" s="453">
        <f t="shared" si="10"/>
        <v>0</v>
      </c>
      <c r="CB33" s="453">
        <f t="shared" si="11"/>
        <v>0</v>
      </c>
      <c r="CC33" s="453">
        <f>IF(AT33&lt;&gt;0,SSHICHG*Y33,0)</f>
        <v>0</v>
      </c>
      <c r="CD33" s="453">
        <f>IF(AND(AT33&lt;&gt;0,AN33&lt;&gt;"NE"),VLOOKUP(AN33,Retirement_Rates,5,FALSE)*Y33,0)</f>
        <v>0</v>
      </c>
      <c r="CE33" s="453">
        <f>IF(AND(AT33&lt;&gt;0,AJ33&lt;&gt;"PF"),LifeCHG*Y33,0)</f>
        <v>0</v>
      </c>
      <c r="CF33" s="453">
        <f>IF(AND(AT33&lt;&gt;0,AM33="Y"),UICHG*Y33,0)</f>
        <v>0</v>
      </c>
      <c r="CG33" s="453">
        <f>IF(AND(AT33&lt;&gt;0,N33&lt;&gt;"NR"),DHRCHG*Y33,0)</f>
        <v>0</v>
      </c>
      <c r="CH33" s="453">
        <f>IF(AT33&lt;&gt;0,WCCHG*Y33,0)</f>
        <v>0</v>
      </c>
      <c r="CI33" s="453">
        <f>IF(OR(AND(AT33&lt;&gt;0,AJ33&lt;&gt;"PF",AN33&lt;&gt;"NE",AG33&lt;&gt;"A"),AND(AL33="E",OR(AT33=1,AT33=3))),SickCHG*Y33,0)</f>
        <v>0</v>
      </c>
      <c r="CJ33" s="453">
        <f t="shared" si="12"/>
        <v>0</v>
      </c>
      <c r="CK33" s="453" t="str">
        <f t="shared" si="13"/>
        <v/>
      </c>
      <c r="CL33" s="453" t="str">
        <f t="shared" si="14"/>
        <v/>
      </c>
      <c r="CM33" s="453" t="str">
        <f t="shared" si="15"/>
        <v/>
      </c>
      <c r="CN33" s="453" t="str">
        <f t="shared" si="16"/>
        <v>0421-01</v>
      </c>
    </row>
    <row r="34" spans="1:92" ht="15" thickBot="1" x14ac:dyDescent="0.35">
      <c r="A34" s="368" t="s">
        <v>161</v>
      </c>
      <c r="B34" s="368" t="s">
        <v>162</v>
      </c>
      <c r="C34" s="368" t="s">
        <v>334</v>
      </c>
      <c r="D34" s="368" t="s">
        <v>198</v>
      </c>
      <c r="E34" s="368" t="s">
        <v>165</v>
      </c>
      <c r="F34" s="369" t="s">
        <v>166</v>
      </c>
      <c r="G34" s="368" t="s">
        <v>167</v>
      </c>
      <c r="H34" s="370"/>
      <c r="I34" s="370"/>
      <c r="J34" s="368" t="s">
        <v>228</v>
      </c>
      <c r="K34" s="368" t="s">
        <v>199</v>
      </c>
      <c r="L34" s="368" t="s">
        <v>200</v>
      </c>
      <c r="M34" s="368" t="s">
        <v>171</v>
      </c>
      <c r="N34" s="368" t="s">
        <v>172</v>
      </c>
      <c r="O34" s="371">
        <v>1</v>
      </c>
      <c r="P34" s="451">
        <v>1</v>
      </c>
      <c r="Q34" s="451">
        <v>1</v>
      </c>
      <c r="R34" s="372">
        <v>80</v>
      </c>
      <c r="S34" s="451">
        <v>1</v>
      </c>
      <c r="T34" s="372">
        <v>8532.01</v>
      </c>
      <c r="U34" s="372">
        <v>0</v>
      </c>
      <c r="V34" s="372">
        <v>3930.04</v>
      </c>
      <c r="W34" s="372">
        <v>49774.400000000001</v>
      </c>
      <c r="X34" s="372">
        <v>23501.73</v>
      </c>
      <c r="Y34" s="372">
        <v>49774.400000000001</v>
      </c>
      <c r="Z34" s="372">
        <v>23357.4</v>
      </c>
      <c r="AA34" s="368" t="s">
        <v>335</v>
      </c>
      <c r="AB34" s="368" t="s">
        <v>336</v>
      </c>
      <c r="AC34" s="368" t="s">
        <v>337</v>
      </c>
      <c r="AD34" s="368" t="s">
        <v>338</v>
      </c>
      <c r="AE34" s="368" t="s">
        <v>199</v>
      </c>
      <c r="AF34" s="368" t="s">
        <v>219</v>
      </c>
      <c r="AG34" s="368" t="s">
        <v>178</v>
      </c>
      <c r="AH34" s="373">
        <v>23.93</v>
      </c>
      <c r="AI34" s="373">
        <v>4611.7</v>
      </c>
      <c r="AJ34" s="368" t="s">
        <v>179</v>
      </c>
      <c r="AK34" s="368" t="s">
        <v>180</v>
      </c>
      <c r="AL34" s="368" t="s">
        <v>181</v>
      </c>
      <c r="AM34" s="368" t="s">
        <v>182</v>
      </c>
      <c r="AN34" s="368" t="s">
        <v>68</v>
      </c>
      <c r="AO34" s="371">
        <v>80</v>
      </c>
      <c r="AP34" s="451">
        <v>1</v>
      </c>
      <c r="AQ34" s="451">
        <v>1</v>
      </c>
      <c r="AR34" s="449" t="s">
        <v>183</v>
      </c>
      <c r="AS34" s="453">
        <f t="shared" si="0"/>
        <v>1</v>
      </c>
      <c r="AT34">
        <f t="shared" si="1"/>
        <v>1</v>
      </c>
      <c r="AU34" s="453">
        <f>IF(AT34=0,"",IF(AND(AT34=1,M34="F",SUMIF(C2:C55,C34,AS2:AS55)&lt;=1),SUMIF(C2:C55,C34,AS2:AS55),IF(AND(AT34=1,M34="F",SUMIF(C2:C55,C34,AS2:AS55)&gt;1),1,"")))</f>
        <v>1</v>
      </c>
      <c r="AV34" s="453" t="str">
        <f>IF(AT34=0,"",IF(AND(AT34=3,M34="F",SUMIF(C2:C55,C34,AS2:AS55)&lt;=1),SUMIF(C2:C55,C34,AS2:AS55),IF(AND(AT34=3,M34="F",SUMIF(C2:C55,C34,AS2:AS55)&gt;1),1,"")))</f>
        <v/>
      </c>
      <c r="AW34" s="453">
        <f>SUMIF(C2:C55,C34,O2:O55)</f>
        <v>1</v>
      </c>
      <c r="AX34" s="453">
        <f>IF(AND(M34="F",AS34&lt;&gt;0),SUMIF(C2:C55,C34,W2:W55),0)</f>
        <v>49774.400000000001</v>
      </c>
      <c r="AY34" s="453">
        <f t="shared" si="2"/>
        <v>49774.400000000001</v>
      </c>
      <c r="AZ34" s="453" t="str">
        <f t="shared" si="3"/>
        <v/>
      </c>
      <c r="BA34" s="453">
        <f t="shared" si="4"/>
        <v>0</v>
      </c>
      <c r="BB34" s="453">
        <f>IF(AND(AT34=1,AK34="E",AU34&gt;=0.75,AW34=1),Health,IF(AND(AT34=1,AK34="E",AU34&gt;=0.75),Health*P34,IF(AND(AT34=1,AK34="E",AU34&gt;=0.5,AW34=1),PTHealth,IF(AND(AT34=1,AK34="E",AU34&gt;=0.5),PTHealth*P34,0))))</f>
        <v>11650</v>
      </c>
      <c r="BC34" s="453">
        <f>IF(AND(AT34=3,AK34="E",AV34&gt;=0.75,AW34=1),Health,IF(AND(AT34=3,AK34="E",AV34&gt;=0.75),Health*P34,IF(AND(AT34=3,AK34="E",AV34&gt;=0.5,AW34=1),PTHealth,IF(AND(AT34=3,AK34="E",AV34&gt;=0.5),PTHealth*P34,0))))</f>
        <v>0</v>
      </c>
      <c r="BD34" s="453">
        <f>IF(AND(AT34&lt;&gt;0,AX34&gt;=MAXSSDI),SSDI*MAXSSDI*P34,IF(AT34&lt;&gt;0,SSDI*W34,0))</f>
        <v>3086.0128</v>
      </c>
      <c r="BE34" s="453">
        <f>IF(AT34&lt;&gt;0,SSHI*W34,0)</f>
        <v>721.72880000000009</v>
      </c>
      <c r="BF34" s="453">
        <f>IF(AND(AT34&lt;&gt;0,AN34&lt;&gt;"NE"),VLOOKUP(AN34,Retirement_Rates,3,FALSE)*W34,0)</f>
        <v>5943.0633600000001</v>
      </c>
      <c r="BG34" s="453">
        <f>IF(AND(AT34&lt;&gt;0,AJ34&lt;&gt;"PF"),Life*W34,0)</f>
        <v>358.873424</v>
      </c>
      <c r="BH34" s="453">
        <f>IF(AND(AT34&lt;&gt;0,AM34="Y"),UI*W34,0)</f>
        <v>243.89456000000001</v>
      </c>
      <c r="BI34" s="453">
        <f>IF(AND(AT34&lt;&gt;0,N34&lt;&gt;"NR"),DHR*W34,0)</f>
        <v>0</v>
      </c>
      <c r="BJ34" s="453">
        <f>IF(AT34&lt;&gt;0,WC*W34,0)</f>
        <v>1498.2094399999999</v>
      </c>
      <c r="BK34" s="453">
        <f>IF(OR(AND(AT34&lt;&gt;0,AJ34&lt;&gt;"PF",AN34&lt;&gt;"NE",AG34&lt;&gt;"A"),AND(AL34="E",OR(AT34=1,AT34=3))),Sick*W34,0)</f>
        <v>0</v>
      </c>
      <c r="BL34" s="453">
        <f t="shared" si="5"/>
        <v>11851.782384000002</v>
      </c>
      <c r="BM34" s="453">
        <f t="shared" si="6"/>
        <v>0</v>
      </c>
      <c r="BN34" s="453">
        <f>IF(AND(AT34=1,AK34="E",AU34&gt;=0.75,AW34=1),HealthBY,IF(AND(AT34=1,AK34="E",AU34&gt;=0.75),HealthBY*P34,IF(AND(AT34=1,AK34="E",AU34&gt;=0.5,AW34=1),PTHealthBY,IF(AND(AT34=1,AK34="E",AU34&gt;=0.5),PTHealthBY*P34,0))))</f>
        <v>11650</v>
      </c>
      <c r="BO34" s="453">
        <f>IF(AND(AT34=3,AK34="E",AV34&gt;=0.75,AW34=1),HealthBY,IF(AND(AT34=3,AK34="E",AV34&gt;=0.75),HealthBY*P34,IF(AND(AT34=3,AK34="E",AV34&gt;=0.5,AW34=1),PTHealthBY,IF(AND(AT34=3,AK34="E",AV34&gt;=0.5),PTHealthBY*P34,0))))</f>
        <v>0</v>
      </c>
      <c r="BP34" s="453">
        <f>IF(AND(AT34&lt;&gt;0,(AX34+BA34)&gt;=MAXSSDIBY),SSDIBY*MAXSSDIBY*P34,IF(AT34&lt;&gt;0,SSDIBY*W34,0))</f>
        <v>3086.0128</v>
      </c>
      <c r="BQ34" s="453">
        <f>IF(AT34&lt;&gt;0,SSHIBY*W34,0)</f>
        <v>721.72880000000009</v>
      </c>
      <c r="BR34" s="453">
        <f>IF(AND(AT34&lt;&gt;0,AN34&lt;&gt;"NE"),VLOOKUP(AN34,Retirement_Rates,4,FALSE)*W34,0)</f>
        <v>5943.0633600000001</v>
      </c>
      <c r="BS34" s="453">
        <f>IF(AND(AT34&lt;&gt;0,AJ34&lt;&gt;"PF"),LifeBY*W34,0)</f>
        <v>358.873424</v>
      </c>
      <c r="BT34" s="453">
        <f>IF(AND(AT34&lt;&gt;0,AM34="Y"),UIBY*W34,0)</f>
        <v>0</v>
      </c>
      <c r="BU34" s="453">
        <f>IF(AND(AT34&lt;&gt;0,N34&lt;&gt;"NR"),DHRBY*W34,0)</f>
        <v>0</v>
      </c>
      <c r="BV34" s="453">
        <f>IF(AT34&lt;&gt;0,WCBY*W34,0)</f>
        <v>1597.7582399999999</v>
      </c>
      <c r="BW34" s="453">
        <f>IF(OR(AND(AT34&lt;&gt;0,AJ34&lt;&gt;"PF",AN34&lt;&gt;"NE",AG34&lt;&gt;"A"),AND(AL34="E",OR(AT34=1,AT34=3))),SickBY*W34,0)</f>
        <v>0</v>
      </c>
      <c r="BX34" s="453">
        <f t="shared" si="7"/>
        <v>11707.436624</v>
      </c>
      <c r="BY34" s="453">
        <f t="shared" si="8"/>
        <v>0</v>
      </c>
      <c r="BZ34" s="453">
        <f t="shared" si="9"/>
        <v>0</v>
      </c>
      <c r="CA34" s="453">
        <f t="shared" si="10"/>
        <v>0</v>
      </c>
      <c r="CB34" s="453">
        <f t="shared" si="11"/>
        <v>0</v>
      </c>
      <c r="CC34" s="453">
        <f>IF(AT34&lt;&gt;0,SSHICHG*Y34,0)</f>
        <v>0</v>
      </c>
      <c r="CD34" s="453">
        <f>IF(AND(AT34&lt;&gt;0,AN34&lt;&gt;"NE"),VLOOKUP(AN34,Retirement_Rates,5,FALSE)*Y34,0)</f>
        <v>0</v>
      </c>
      <c r="CE34" s="453">
        <f>IF(AND(AT34&lt;&gt;0,AJ34&lt;&gt;"PF"),LifeCHG*Y34,0)</f>
        <v>0</v>
      </c>
      <c r="CF34" s="453">
        <f>IF(AND(AT34&lt;&gt;0,AM34="Y"),UICHG*Y34,0)</f>
        <v>-243.89456000000001</v>
      </c>
      <c r="CG34" s="453">
        <f>IF(AND(AT34&lt;&gt;0,N34&lt;&gt;"NR"),DHRCHG*Y34,0)</f>
        <v>0</v>
      </c>
      <c r="CH34" s="453">
        <f>IF(AT34&lt;&gt;0,WCCHG*Y34,0)</f>
        <v>99.548799999999915</v>
      </c>
      <c r="CI34" s="453">
        <f>IF(OR(AND(AT34&lt;&gt;0,AJ34&lt;&gt;"PF",AN34&lt;&gt;"NE",AG34&lt;&gt;"A"),AND(AL34="E",OR(AT34=1,AT34=3))),SickCHG*Y34,0)</f>
        <v>0</v>
      </c>
      <c r="CJ34" s="453">
        <f t="shared" si="12"/>
        <v>-144.3457600000001</v>
      </c>
      <c r="CK34" s="453" t="str">
        <f t="shared" si="13"/>
        <v/>
      </c>
      <c r="CL34" s="453" t="str">
        <f t="shared" si="14"/>
        <v/>
      </c>
      <c r="CM34" s="453" t="str">
        <f t="shared" si="15"/>
        <v/>
      </c>
      <c r="CN34" s="453" t="str">
        <f t="shared" si="16"/>
        <v>0421-01</v>
      </c>
    </row>
    <row r="35" spans="1:92" ht="15" thickBot="1" x14ac:dyDescent="0.35">
      <c r="A35" s="368" t="s">
        <v>161</v>
      </c>
      <c r="B35" s="368" t="s">
        <v>162</v>
      </c>
      <c r="C35" s="368" t="s">
        <v>339</v>
      </c>
      <c r="D35" s="368" t="s">
        <v>234</v>
      </c>
      <c r="E35" s="368" t="s">
        <v>165</v>
      </c>
      <c r="F35" s="369" t="s">
        <v>166</v>
      </c>
      <c r="G35" s="368" t="s">
        <v>167</v>
      </c>
      <c r="H35" s="370"/>
      <c r="I35" s="370"/>
      <c r="J35" s="368" t="s">
        <v>168</v>
      </c>
      <c r="K35" s="368" t="s">
        <v>235</v>
      </c>
      <c r="L35" s="368" t="s">
        <v>200</v>
      </c>
      <c r="M35" s="368" t="s">
        <v>288</v>
      </c>
      <c r="N35" s="368" t="s">
        <v>172</v>
      </c>
      <c r="O35" s="371">
        <v>0</v>
      </c>
      <c r="P35" s="451">
        <v>1</v>
      </c>
      <c r="Q35" s="451">
        <v>1</v>
      </c>
      <c r="R35" s="372">
        <v>80</v>
      </c>
      <c r="S35" s="451">
        <v>1</v>
      </c>
      <c r="T35" s="372">
        <v>19541.62</v>
      </c>
      <c r="U35" s="372">
        <v>0</v>
      </c>
      <c r="V35" s="372">
        <v>10266.26</v>
      </c>
      <c r="W35" s="372">
        <v>39083.199999999997</v>
      </c>
      <c r="X35" s="372">
        <v>17118.439999999999</v>
      </c>
      <c r="Y35" s="372">
        <v>39083.199999999997</v>
      </c>
      <c r="Z35" s="372">
        <v>16923.02</v>
      </c>
      <c r="AA35" s="370"/>
      <c r="AB35" s="368" t="s">
        <v>45</v>
      </c>
      <c r="AC35" s="368" t="s">
        <v>45</v>
      </c>
      <c r="AD35" s="370"/>
      <c r="AE35" s="370"/>
      <c r="AF35" s="370"/>
      <c r="AG35" s="370"/>
      <c r="AH35" s="371">
        <v>0</v>
      </c>
      <c r="AI35" s="371">
        <v>0</v>
      </c>
      <c r="AJ35" s="370"/>
      <c r="AK35" s="370"/>
      <c r="AL35" s="368" t="s">
        <v>181</v>
      </c>
      <c r="AM35" s="370"/>
      <c r="AN35" s="370"/>
      <c r="AO35" s="371">
        <v>0</v>
      </c>
      <c r="AP35" s="451">
        <v>0</v>
      </c>
      <c r="AQ35" s="451">
        <v>0</v>
      </c>
      <c r="AR35" s="450"/>
      <c r="AS35" s="453">
        <f t="shared" si="0"/>
        <v>0</v>
      </c>
      <c r="AT35">
        <f t="shared" si="1"/>
        <v>0</v>
      </c>
      <c r="AU35" s="453" t="str">
        <f>IF(AT35=0,"",IF(AND(AT35=1,M35="F",SUMIF(C2:C55,C35,AS2:AS55)&lt;=1),SUMIF(C2:C55,C35,AS2:AS55),IF(AND(AT35=1,M35="F",SUMIF(C2:C55,C35,AS2:AS55)&gt;1),1,"")))</f>
        <v/>
      </c>
      <c r="AV35" s="453" t="str">
        <f>IF(AT35=0,"",IF(AND(AT35=3,M35="F",SUMIF(C2:C55,C35,AS2:AS55)&lt;=1),SUMIF(C2:C55,C35,AS2:AS55),IF(AND(AT35=3,M35="F",SUMIF(C2:C55,C35,AS2:AS55)&gt;1),1,"")))</f>
        <v/>
      </c>
      <c r="AW35" s="453">
        <f>SUMIF(C2:C55,C35,O2:O55)</f>
        <v>0</v>
      </c>
      <c r="AX35" s="453">
        <f>IF(AND(M35="F",AS35&lt;&gt;0),SUMIF(C2:C55,C35,W2:W55),0)</f>
        <v>0</v>
      </c>
      <c r="AY35" s="453" t="str">
        <f t="shared" si="2"/>
        <v/>
      </c>
      <c r="AZ35" s="453" t="str">
        <f t="shared" si="3"/>
        <v/>
      </c>
      <c r="BA35" s="453">
        <f t="shared" si="4"/>
        <v>0</v>
      </c>
      <c r="BB35" s="453">
        <f>IF(AND(AT35=1,AK35="E",AU35&gt;=0.75,AW35=1),Health,IF(AND(AT35=1,AK35="E",AU35&gt;=0.75),Health*P35,IF(AND(AT35=1,AK35="E",AU35&gt;=0.5,AW35=1),PTHealth,IF(AND(AT35=1,AK35="E",AU35&gt;=0.5),PTHealth*P35,0))))</f>
        <v>0</v>
      </c>
      <c r="BC35" s="453">
        <f>IF(AND(AT35=3,AK35="E",AV35&gt;=0.75,AW35=1),Health,IF(AND(AT35=3,AK35="E",AV35&gt;=0.75),Health*P35,IF(AND(AT35=3,AK35="E",AV35&gt;=0.5,AW35=1),PTHealth,IF(AND(AT35=3,AK35="E",AV35&gt;=0.5),PTHealth*P35,0))))</f>
        <v>0</v>
      </c>
      <c r="BD35" s="453">
        <f>IF(AND(AT35&lt;&gt;0,AX35&gt;=MAXSSDI),SSDI*MAXSSDI*P35,IF(AT35&lt;&gt;0,SSDI*W35,0))</f>
        <v>0</v>
      </c>
      <c r="BE35" s="453">
        <f>IF(AT35&lt;&gt;0,SSHI*W35,0)</f>
        <v>0</v>
      </c>
      <c r="BF35" s="453">
        <f>IF(AND(AT35&lt;&gt;0,AN35&lt;&gt;"NE"),VLOOKUP(AN35,Retirement_Rates,3,FALSE)*W35,0)</f>
        <v>0</v>
      </c>
      <c r="BG35" s="453">
        <f>IF(AND(AT35&lt;&gt;0,AJ35&lt;&gt;"PF"),Life*W35,0)</f>
        <v>0</v>
      </c>
      <c r="BH35" s="453">
        <f>IF(AND(AT35&lt;&gt;0,AM35="Y"),UI*W35,0)</f>
        <v>0</v>
      </c>
      <c r="BI35" s="453">
        <f>IF(AND(AT35&lt;&gt;0,N35&lt;&gt;"NR"),DHR*W35,0)</f>
        <v>0</v>
      </c>
      <c r="BJ35" s="453">
        <f>IF(AT35&lt;&gt;0,WC*W35,0)</f>
        <v>0</v>
      </c>
      <c r="BK35" s="453">
        <f>IF(OR(AND(AT35&lt;&gt;0,AJ35&lt;&gt;"PF",AN35&lt;&gt;"NE",AG35&lt;&gt;"A"),AND(AL35="E",OR(AT35=1,AT35=3))),Sick*W35,0)</f>
        <v>0</v>
      </c>
      <c r="BL35" s="453">
        <f t="shared" si="5"/>
        <v>0</v>
      </c>
      <c r="BM35" s="453">
        <f t="shared" si="6"/>
        <v>0</v>
      </c>
      <c r="BN35" s="453">
        <f>IF(AND(AT35=1,AK35="E",AU35&gt;=0.75,AW35=1),HealthBY,IF(AND(AT35=1,AK35="E",AU35&gt;=0.75),HealthBY*P35,IF(AND(AT35=1,AK35="E",AU35&gt;=0.5,AW35=1),PTHealthBY,IF(AND(AT35=1,AK35="E",AU35&gt;=0.5),PTHealthBY*P35,0))))</f>
        <v>0</v>
      </c>
      <c r="BO35" s="453">
        <f>IF(AND(AT35=3,AK35="E",AV35&gt;=0.75,AW35=1),HealthBY,IF(AND(AT35=3,AK35="E",AV35&gt;=0.75),HealthBY*P35,IF(AND(AT35=3,AK35="E",AV35&gt;=0.5,AW35=1),PTHealthBY,IF(AND(AT35=3,AK35="E",AV35&gt;=0.5),PTHealthBY*P35,0))))</f>
        <v>0</v>
      </c>
      <c r="BP35" s="453">
        <f>IF(AND(AT35&lt;&gt;0,(AX35+BA35)&gt;=MAXSSDIBY),SSDIBY*MAXSSDIBY*P35,IF(AT35&lt;&gt;0,SSDIBY*W35,0))</f>
        <v>0</v>
      </c>
      <c r="BQ35" s="453">
        <f>IF(AT35&lt;&gt;0,SSHIBY*W35,0)</f>
        <v>0</v>
      </c>
      <c r="BR35" s="453">
        <f>IF(AND(AT35&lt;&gt;0,AN35&lt;&gt;"NE"),VLOOKUP(AN35,Retirement_Rates,4,FALSE)*W35,0)</f>
        <v>0</v>
      </c>
      <c r="BS35" s="453">
        <f>IF(AND(AT35&lt;&gt;0,AJ35&lt;&gt;"PF"),LifeBY*W35,0)</f>
        <v>0</v>
      </c>
      <c r="BT35" s="453">
        <f>IF(AND(AT35&lt;&gt;0,AM35="Y"),UIBY*W35,0)</f>
        <v>0</v>
      </c>
      <c r="BU35" s="453">
        <f>IF(AND(AT35&lt;&gt;0,N35&lt;&gt;"NR"),DHRBY*W35,0)</f>
        <v>0</v>
      </c>
      <c r="BV35" s="453">
        <f>IF(AT35&lt;&gt;0,WCBY*W35,0)</f>
        <v>0</v>
      </c>
      <c r="BW35" s="453">
        <f>IF(OR(AND(AT35&lt;&gt;0,AJ35&lt;&gt;"PF",AN35&lt;&gt;"NE",AG35&lt;&gt;"A"),AND(AL35="E",OR(AT35=1,AT35=3))),SickBY*W35,0)</f>
        <v>0</v>
      </c>
      <c r="BX35" s="453">
        <f t="shared" si="7"/>
        <v>0</v>
      </c>
      <c r="BY35" s="453">
        <f t="shared" si="8"/>
        <v>0</v>
      </c>
      <c r="BZ35" s="453">
        <f t="shared" si="9"/>
        <v>0</v>
      </c>
      <c r="CA35" s="453">
        <f t="shared" si="10"/>
        <v>0</v>
      </c>
      <c r="CB35" s="453">
        <f t="shared" si="11"/>
        <v>0</v>
      </c>
      <c r="CC35" s="453">
        <f>IF(AT35&lt;&gt;0,SSHICHG*Y35,0)</f>
        <v>0</v>
      </c>
      <c r="CD35" s="453">
        <f>IF(AND(AT35&lt;&gt;0,AN35&lt;&gt;"NE"),VLOOKUP(AN35,Retirement_Rates,5,FALSE)*Y35,0)</f>
        <v>0</v>
      </c>
      <c r="CE35" s="453">
        <f>IF(AND(AT35&lt;&gt;0,AJ35&lt;&gt;"PF"),LifeCHG*Y35,0)</f>
        <v>0</v>
      </c>
      <c r="CF35" s="453">
        <f>IF(AND(AT35&lt;&gt;0,AM35="Y"),UICHG*Y35,0)</f>
        <v>0</v>
      </c>
      <c r="CG35" s="453">
        <f>IF(AND(AT35&lt;&gt;0,N35&lt;&gt;"NR"),DHRCHG*Y35,0)</f>
        <v>0</v>
      </c>
      <c r="CH35" s="453">
        <f>IF(AT35&lt;&gt;0,WCCHG*Y35,0)</f>
        <v>0</v>
      </c>
      <c r="CI35" s="453">
        <f>IF(OR(AND(AT35&lt;&gt;0,AJ35&lt;&gt;"PF",AN35&lt;&gt;"NE",AG35&lt;&gt;"A"),AND(AL35="E",OR(AT35=1,AT35=3))),SickCHG*Y35,0)</f>
        <v>0</v>
      </c>
      <c r="CJ35" s="453">
        <f t="shared" si="12"/>
        <v>0</v>
      </c>
      <c r="CK35" s="453" t="str">
        <f t="shared" si="13"/>
        <v/>
      </c>
      <c r="CL35" s="453" t="str">
        <f t="shared" si="14"/>
        <v/>
      </c>
      <c r="CM35" s="453" t="str">
        <f t="shared" si="15"/>
        <v/>
      </c>
      <c r="CN35" s="453" t="str">
        <f t="shared" si="16"/>
        <v>0421-01</v>
      </c>
    </row>
    <row r="36" spans="1:92" ht="15" thickBot="1" x14ac:dyDescent="0.35">
      <c r="A36" s="368" t="s">
        <v>161</v>
      </c>
      <c r="B36" s="368" t="s">
        <v>162</v>
      </c>
      <c r="C36" s="368" t="s">
        <v>340</v>
      </c>
      <c r="D36" s="368" t="s">
        <v>198</v>
      </c>
      <c r="E36" s="368" t="s">
        <v>165</v>
      </c>
      <c r="F36" s="369" t="s">
        <v>166</v>
      </c>
      <c r="G36" s="368" t="s">
        <v>167</v>
      </c>
      <c r="H36" s="370"/>
      <c r="I36" s="370"/>
      <c r="J36" s="368" t="s">
        <v>252</v>
      </c>
      <c r="K36" s="368" t="s">
        <v>199</v>
      </c>
      <c r="L36" s="368" t="s">
        <v>200</v>
      </c>
      <c r="M36" s="368" t="s">
        <v>171</v>
      </c>
      <c r="N36" s="368" t="s">
        <v>172</v>
      </c>
      <c r="O36" s="371">
        <v>1</v>
      </c>
      <c r="P36" s="451">
        <v>1</v>
      </c>
      <c r="Q36" s="451">
        <v>1</v>
      </c>
      <c r="R36" s="372">
        <v>80</v>
      </c>
      <c r="S36" s="451">
        <v>1</v>
      </c>
      <c r="T36" s="372">
        <v>42157.1</v>
      </c>
      <c r="U36" s="372">
        <v>55.52</v>
      </c>
      <c r="V36" s="372">
        <v>21413.32</v>
      </c>
      <c r="W36" s="372">
        <v>49524.800000000003</v>
      </c>
      <c r="X36" s="372">
        <v>23442.32</v>
      </c>
      <c r="Y36" s="372">
        <v>49524.800000000003</v>
      </c>
      <c r="Z36" s="372">
        <v>23298.7</v>
      </c>
      <c r="AA36" s="368" t="s">
        <v>341</v>
      </c>
      <c r="AB36" s="368" t="s">
        <v>342</v>
      </c>
      <c r="AC36" s="368" t="s">
        <v>343</v>
      </c>
      <c r="AD36" s="368" t="s">
        <v>190</v>
      </c>
      <c r="AE36" s="368" t="s">
        <v>199</v>
      </c>
      <c r="AF36" s="368" t="s">
        <v>177</v>
      </c>
      <c r="AG36" s="368" t="s">
        <v>178</v>
      </c>
      <c r="AH36" s="373">
        <v>23.81</v>
      </c>
      <c r="AI36" s="373">
        <v>4717.2</v>
      </c>
      <c r="AJ36" s="368" t="s">
        <v>179</v>
      </c>
      <c r="AK36" s="368" t="s">
        <v>180</v>
      </c>
      <c r="AL36" s="368" t="s">
        <v>181</v>
      </c>
      <c r="AM36" s="368" t="s">
        <v>182</v>
      </c>
      <c r="AN36" s="368" t="s">
        <v>68</v>
      </c>
      <c r="AO36" s="371">
        <v>80</v>
      </c>
      <c r="AP36" s="451">
        <v>1</v>
      </c>
      <c r="AQ36" s="451">
        <v>1</v>
      </c>
      <c r="AR36" s="449" t="s">
        <v>183</v>
      </c>
      <c r="AS36" s="453">
        <f t="shared" si="0"/>
        <v>1</v>
      </c>
      <c r="AT36">
        <f t="shared" si="1"/>
        <v>1</v>
      </c>
      <c r="AU36" s="453">
        <f>IF(AT36=0,"",IF(AND(AT36=1,M36="F",SUMIF(C2:C55,C36,AS2:AS55)&lt;=1),SUMIF(C2:C55,C36,AS2:AS55),IF(AND(AT36=1,M36="F",SUMIF(C2:C55,C36,AS2:AS55)&gt;1),1,"")))</f>
        <v>1</v>
      </c>
      <c r="AV36" s="453" t="str">
        <f>IF(AT36=0,"",IF(AND(AT36=3,M36="F",SUMIF(C2:C55,C36,AS2:AS55)&lt;=1),SUMIF(C2:C55,C36,AS2:AS55),IF(AND(AT36=3,M36="F",SUMIF(C2:C55,C36,AS2:AS55)&gt;1),1,"")))</f>
        <v/>
      </c>
      <c r="AW36" s="453">
        <f>SUMIF(C2:C55,C36,O2:O55)</f>
        <v>1</v>
      </c>
      <c r="AX36" s="453">
        <f>IF(AND(M36="F",AS36&lt;&gt;0),SUMIF(C2:C55,C36,W2:W55),0)</f>
        <v>49524.800000000003</v>
      </c>
      <c r="AY36" s="453">
        <f t="shared" si="2"/>
        <v>49524.800000000003</v>
      </c>
      <c r="AZ36" s="453" t="str">
        <f t="shared" si="3"/>
        <v/>
      </c>
      <c r="BA36" s="453">
        <f t="shared" si="4"/>
        <v>0</v>
      </c>
      <c r="BB36" s="453">
        <f>IF(AND(AT36=1,AK36="E",AU36&gt;=0.75,AW36=1),Health,IF(AND(AT36=1,AK36="E",AU36&gt;=0.75),Health*P36,IF(AND(AT36=1,AK36="E",AU36&gt;=0.5,AW36=1),PTHealth,IF(AND(AT36=1,AK36="E",AU36&gt;=0.5),PTHealth*P36,0))))</f>
        <v>11650</v>
      </c>
      <c r="BC36" s="453">
        <f>IF(AND(AT36=3,AK36="E",AV36&gt;=0.75,AW36=1),Health,IF(AND(AT36=3,AK36="E",AV36&gt;=0.75),Health*P36,IF(AND(AT36=3,AK36="E",AV36&gt;=0.5,AW36=1),PTHealth,IF(AND(AT36=3,AK36="E",AV36&gt;=0.5),PTHealth*P36,0))))</f>
        <v>0</v>
      </c>
      <c r="BD36" s="453">
        <f>IF(AND(AT36&lt;&gt;0,AX36&gt;=MAXSSDI),SSDI*MAXSSDI*P36,IF(AT36&lt;&gt;0,SSDI*W36,0))</f>
        <v>3070.5376000000001</v>
      </c>
      <c r="BE36" s="453">
        <f>IF(AT36&lt;&gt;0,SSHI*W36,0)</f>
        <v>718.10960000000011</v>
      </c>
      <c r="BF36" s="453">
        <f>IF(AND(AT36&lt;&gt;0,AN36&lt;&gt;"NE"),VLOOKUP(AN36,Retirement_Rates,3,FALSE)*W36,0)</f>
        <v>5913.261120000001</v>
      </c>
      <c r="BG36" s="453">
        <f>IF(AND(AT36&lt;&gt;0,AJ36&lt;&gt;"PF"),Life*W36,0)</f>
        <v>357.07380800000004</v>
      </c>
      <c r="BH36" s="453">
        <f>IF(AND(AT36&lt;&gt;0,AM36="Y"),UI*W36,0)</f>
        <v>242.67152000000002</v>
      </c>
      <c r="BI36" s="453">
        <f>IF(AND(AT36&lt;&gt;0,N36&lt;&gt;"NR"),DHR*W36,0)</f>
        <v>0</v>
      </c>
      <c r="BJ36" s="453">
        <f>IF(AT36&lt;&gt;0,WC*W36,0)</f>
        <v>1490.6964800000001</v>
      </c>
      <c r="BK36" s="453">
        <f>IF(OR(AND(AT36&lt;&gt;0,AJ36&lt;&gt;"PF",AN36&lt;&gt;"NE",AG36&lt;&gt;"A"),AND(AL36="E",OR(AT36=1,AT36=3))),Sick*W36,0)</f>
        <v>0</v>
      </c>
      <c r="BL36" s="453">
        <f t="shared" si="5"/>
        <v>11792.350128000002</v>
      </c>
      <c r="BM36" s="453">
        <f t="shared" si="6"/>
        <v>0</v>
      </c>
      <c r="BN36" s="453">
        <f>IF(AND(AT36=1,AK36="E",AU36&gt;=0.75,AW36=1),HealthBY,IF(AND(AT36=1,AK36="E",AU36&gt;=0.75),HealthBY*P36,IF(AND(AT36=1,AK36="E",AU36&gt;=0.5,AW36=1),PTHealthBY,IF(AND(AT36=1,AK36="E",AU36&gt;=0.5),PTHealthBY*P36,0))))</f>
        <v>11650</v>
      </c>
      <c r="BO36" s="453">
        <f>IF(AND(AT36=3,AK36="E",AV36&gt;=0.75,AW36=1),HealthBY,IF(AND(AT36=3,AK36="E",AV36&gt;=0.75),HealthBY*P36,IF(AND(AT36=3,AK36="E",AV36&gt;=0.5,AW36=1),PTHealthBY,IF(AND(AT36=3,AK36="E",AV36&gt;=0.5),PTHealthBY*P36,0))))</f>
        <v>0</v>
      </c>
      <c r="BP36" s="453">
        <f>IF(AND(AT36&lt;&gt;0,(AX36+BA36)&gt;=MAXSSDIBY),SSDIBY*MAXSSDIBY*P36,IF(AT36&lt;&gt;0,SSDIBY*W36,0))</f>
        <v>3070.5376000000001</v>
      </c>
      <c r="BQ36" s="453">
        <f>IF(AT36&lt;&gt;0,SSHIBY*W36,0)</f>
        <v>718.10960000000011</v>
      </c>
      <c r="BR36" s="453">
        <f>IF(AND(AT36&lt;&gt;0,AN36&lt;&gt;"NE"),VLOOKUP(AN36,Retirement_Rates,4,FALSE)*W36,0)</f>
        <v>5913.261120000001</v>
      </c>
      <c r="BS36" s="453">
        <f>IF(AND(AT36&lt;&gt;0,AJ36&lt;&gt;"PF"),LifeBY*W36,0)</f>
        <v>357.07380800000004</v>
      </c>
      <c r="BT36" s="453">
        <f>IF(AND(AT36&lt;&gt;0,AM36="Y"),UIBY*W36,0)</f>
        <v>0</v>
      </c>
      <c r="BU36" s="453">
        <f>IF(AND(AT36&lt;&gt;0,N36&lt;&gt;"NR"),DHRBY*W36,0)</f>
        <v>0</v>
      </c>
      <c r="BV36" s="453">
        <f>IF(AT36&lt;&gt;0,WCBY*W36,0)</f>
        <v>1589.7460799999999</v>
      </c>
      <c r="BW36" s="453">
        <f>IF(OR(AND(AT36&lt;&gt;0,AJ36&lt;&gt;"PF",AN36&lt;&gt;"NE",AG36&lt;&gt;"A"),AND(AL36="E",OR(AT36=1,AT36=3))),SickBY*W36,0)</f>
        <v>0</v>
      </c>
      <c r="BX36" s="453">
        <f t="shared" si="7"/>
        <v>11648.728208</v>
      </c>
      <c r="BY36" s="453">
        <f t="shared" si="8"/>
        <v>0</v>
      </c>
      <c r="BZ36" s="453">
        <f t="shared" si="9"/>
        <v>0</v>
      </c>
      <c r="CA36" s="453">
        <f t="shared" si="10"/>
        <v>0</v>
      </c>
      <c r="CB36" s="453">
        <f t="shared" si="11"/>
        <v>0</v>
      </c>
      <c r="CC36" s="453">
        <f>IF(AT36&lt;&gt;0,SSHICHG*Y36,0)</f>
        <v>0</v>
      </c>
      <c r="CD36" s="453">
        <f>IF(AND(AT36&lt;&gt;0,AN36&lt;&gt;"NE"),VLOOKUP(AN36,Retirement_Rates,5,FALSE)*Y36,0)</f>
        <v>0</v>
      </c>
      <c r="CE36" s="453">
        <f>IF(AND(AT36&lt;&gt;0,AJ36&lt;&gt;"PF"),LifeCHG*Y36,0)</f>
        <v>0</v>
      </c>
      <c r="CF36" s="453">
        <f>IF(AND(AT36&lt;&gt;0,AM36="Y"),UICHG*Y36,0)</f>
        <v>-242.67152000000002</v>
      </c>
      <c r="CG36" s="453">
        <f>IF(AND(AT36&lt;&gt;0,N36&lt;&gt;"NR"),DHRCHG*Y36,0)</f>
        <v>0</v>
      </c>
      <c r="CH36" s="453">
        <f>IF(AT36&lt;&gt;0,WCCHG*Y36,0)</f>
        <v>99.049599999999927</v>
      </c>
      <c r="CI36" s="453">
        <f>IF(OR(AND(AT36&lt;&gt;0,AJ36&lt;&gt;"PF",AN36&lt;&gt;"NE",AG36&lt;&gt;"A"),AND(AL36="E",OR(AT36=1,AT36=3))),SickCHG*Y36,0)</f>
        <v>0</v>
      </c>
      <c r="CJ36" s="453">
        <f t="shared" si="12"/>
        <v>-143.6219200000001</v>
      </c>
      <c r="CK36" s="453" t="str">
        <f t="shared" si="13"/>
        <v/>
      </c>
      <c r="CL36" s="453" t="str">
        <f t="shared" si="14"/>
        <v/>
      </c>
      <c r="CM36" s="453" t="str">
        <f t="shared" si="15"/>
        <v/>
      </c>
      <c r="CN36" s="453" t="str">
        <f t="shared" si="16"/>
        <v>0421-01</v>
      </c>
    </row>
    <row r="37" spans="1:92" ht="15" thickBot="1" x14ac:dyDescent="0.35">
      <c r="A37" s="368" t="s">
        <v>161</v>
      </c>
      <c r="B37" s="368" t="s">
        <v>162</v>
      </c>
      <c r="C37" s="368" t="s">
        <v>344</v>
      </c>
      <c r="D37" s="368" t="s">
        <v>345</v>
      </c>
      <c r="E37" s="368" t="s">
        <v>165</v>
      </c>
      <c r="F37" s="369" t="s">
        <v>166</v>
      </c>
      <c r="G37" s="368" t="s">
        <v>167</v>
      </c>
      <c r="H37" s="370"/>
      <c r="I37" s="370"/>
      <c r="J37" s="368" t="s">
        <v>168</v>
      </c>
      <c r="K37" s="368" t="s">
        <v>346</v>
      </c>
      <c r="L37" s="368" t="s">
        <v>347</v>
      </c>
      <c r="M37" s="368" t="s">
        <v>288</v>
      </c>
      <c r="N37" s="368" t="s">
        <v>172</v>
      </c>
      <c r="O37" s="371">
        <v>0</v>
      </c>
      <c r="P37" s="451">
        <v>1</v>
      </c>
      <c r="Q37" s="451">
        <v>1</v>
      </c>
      <c r="R37" s="372">
        <v>80</v>
      </c>
      <c r="S37" s="451">
        <v>1</v>
      </c>
      <c r="T37" s="372">
        <v>36303.46</v>
      </c>
      <c r="U37" s="372">
        <v>210.24</v>
      </c>
      <c r="V37" s="372">
        <v>18808.61</v>
      </c>
      <c r="W37" s="372">
        <v>35734.400000000001</v>
      </c>
      <c r="X37" s="372">
        <v>15651.66</v>
      </c>
      <c r="Y37" s="372">
        <v>35734.400000000001</v>
      </c>
      <c r="Z37" s="372">
        <v>15472.99</v>
      </c>
      <c r="AA37" s="370"/>
      <c r="AB37" s="368" t="s">
        <v>45</v>
      </c>
      <c r="AC37" s="368" t="s">
        <v>45</v>
      </c>
      <c r="AD37" s="370"/>
      <c r="AE37" s="370"/>
      <c r="AF37" s="370"/>
      <c r="AG37" s="370"/>
      <c r="AH37" s="371">
        <v>0</v>
      </c>
      <c r="AI37" s="371">
        <v>0</v>
      </c>
      <c r="AJ37" s="370"/>
      <c r="AK37" s="370"/>
      <c r="AL37" s="368" t="s">
        <v>181</v>
      </c>
      <c r="AM37" s="370"/>
      <c r="AN37" s="370"/>
      <c r="AO37" s="371">
        <v>0</v>
      </c>
      <c r="AP37" s="451">
        <v>0</v>
      </c>
      <c r="AQ37" s="451">
        <v>0</v>
      </c>
      <c r="AR37" s="450"/>
      <c r="AS37" s="453">
        <f t="shared" si="0"/>
        <v>0</v>
      </c>
      <c r="AT37">
        <f t="shared" si="1"/>
        <v>0</v>
      </c>
      <c r="AU37" s="453" t="str">
        <f>IF(AT37=0,"",IF(AND(AT37=1,M37="F",SUMIF(C2:C55,C37,AS2:AS55)&lt;=1),SUMIF(C2:C55,C37,AS2:AS55),IF(AND(AT37=1,M37="F",SUMIF(C2:C55,C37,AS2:AS55)&gt;1),1,"")))</f>
        <v/>
      </c>
      <c r="AV37" s="453" t="str">
        <f>IF(AT37=0,"",IF(AND(AT37=3,M37="F",SUMIF(C2:C55,C37,AS2:AS55)&lt;=1),SUMIF(C2:C55,C37,AS2:AS55),IF(AND(AT37=3,M37="F",SUMIF(C2:C55,C37,AS2:AS55)&gt;1),1,"")))</f>
        <v/>
      </c>
      <c r="AW37" s="453">
        <f>SUMIF(C2:C55,C37,O2:O55)</f>
        <v>0</v>
      </c>
      <c r="AX37" s="453">
        <f>IF(AND(M37="F",AS37&lt;&gt;0),SUMIF(C2:C55,C37,W2:W55),0)</f>
        <v>0</v>
      </c>
      <c r="AY37" s="453" t="str">
        <f t="shared" si="2"/>
        <v/>
      </c>
      <c r="AZ37" s="453" t="str">
        <f t="shared" si="3"/>
        <v/>
      </c>
      <c r="BA37" s="453">
        <f t="shared" si="4"/>
        <v>0</v>
      </c>
      <c r="BB37" s="453">
        <f>IF(AND(AT37=1,AK37="E",AU37&gt;=0.75,AW37=1),Health,IF(AND(AT37=1,AK37="E",AU37&gt;=0.75),Health*P37,IF(AND(AT37=1,AK37="E",AU37&gt;=0.5,AW37=1),PTHealth,IF(AND(AT37=1,AK37="E",AU37&gt;=0.5),PTHealth*P37,0))))</f>
        <v>0</v>
      </c>
      <c r="BC37" s="453">
        <f>IF(AND(AT37=3,AK37="E",AV37&gt;=0.75,AW37=1),Health,IF(AND(AT37=3,AK37="E",AV37&gt;=0.75),Health*P37,IF(AND(AT37=3,AK37="E",AV37&gt;=0.5,AW37=1),PTHealth,IF(AND(AT37=3,AK37="E",AV37&gt;=0.5),PTHealth*P37,0))))</f>
        <v>0</v>
      </c>
      <c r="BD37" s="453">
        <f>IF(AND(AT37&lt;&gt;0,AX37&gt;=MAXSSDI),SSDI*MAXSSDI*P37,IF(AT37&lt;&gt;0,SSDI*W37,0))</f>
        <v>0</v>
      </c>
      <c r="BE37" s="453">
        <f>IF(AT37&lt;&gt;0,SSHI*W37,0)</f>
        <v>0</v>
      </c>
      <c r="BF37" s="453">
        <f>IF(AND(AT37&lt;&gt;0,AN37&lt;&gt;"NE"),VLOOKUP(AN37,Retirement_Rates,3,FALSE)*W37,0)</f>
        <v>0</v>
      </c>
      <c r="BG37" s="453">
        <f>IF(AND(AT37&lt;&gt;0,AJ37&lt;&gt;"PF"),Life*W37,0)</f>
        <v>0</v>
      </c>
      <c r="BH37" s="453">
        <f>IF(AND(AT37&lt;&gt;0,AM37="Y"),UI*W37,0)</f>
        <v>0</v>
      </c>
      <c r="BI37" s="453">
        <f>IF(AND(AT37&lt;&gt;0,N37&lt;&gt;"NR"),DHR*W37,0)</f>
        <v>0</v>
      </c>
      <c r="BJ37" s="453">
        <f>IF(AT37&lt;&gt;0,WC*W37,0)</f>
        <v>0</v>
      </c>
      <c r="BK37" s="453">
        <f>IF(OR(AND(AT37&lt;&gt;0,AJ37&lt;&gt;"PF",AN37&lt;&gt;"NE",AG37&lt;&gt;"A"),AND(AL37="E",OR(AT37=1,AT37=3))),Sick*W37,0)</f>
        <v>0</v>
      </c>
      <c r="BL37" s="453">
        <f t="shared" si="5"/>
        <v>0</v>
      </c>
      <c r="BM37" s="453">
        <f t="shared" si="6"/>
        <v>0</v>
      </c>
      <c r="BN37" s="453">
        <f>IF(AND(AT37=1,AK37="E",AU37&gt;=0.75,AW37=1),HealthBY,IF(AND(AT37=1,AK37="E",AU37&gt;=0.75),HealthBY*P37,IF(AND(AT37=1,AK37="E",AU37&gt;=0.5,AW37=1),PTHealthBY,IF(AND(AT37=1,AK37="E",AU37&gt;=0.5),PTHealthBY*P37,0))))</f>
        <v>0</v>
      </c>
      <c r="BO37" s="453">
        <f>IF(AND(AT37=3,AK37="E",AV37&gt;=0.75,AW37=1),HealthBY,IF(AND(AT37=3,AK37="E",AV37&gt;=0.75),HealthBY*P37,IF(AND(AT37=3,AK37="E",AV37&gt;=0.5,AW37=1),PTHealthBY,IF(AND(AT37=3,AK37="E",AV37&gt;=0.5),PTHealthBY*P37,0))))</f>
        <v>0</v>
      </c>
      <c r="BP37" s="453">
        <f>IF(AND(AT37&lt;&gt;0,(AX37+BA37)&gt;=MAXSSDIBY),SSDIBY*MAXSSDIBY*P37,IF(AT37&lt;&gt;0,SSDIBY*W37,0))</f>
        <v>0</v>
      </c>
      <c r="BQ37" s="453">
        <f>IF(AT37&lt;&gt;0,SSHIBY*W37,0)</f>
        <v>0</v>
      </c>
      <c r="BR37" s="453">
        <f>IF(AND(AT37&lt;&gt;0,AN37&lt;&gt;"NE"),VLOOKUP(AN37,Retirement_Rates,4,FALSE)*W37,0)</f>
        <v>0</v>
      </c>
      <c r="BS37" s="453">
        <f>IF(AND(AT37&lt;&gt;0,AJ37&lt;&gt;"PF"),LifeBY*W37,0)</f>
        <v>0</v>
      </c>
      <c r="BT37" s="453">
        <f>IF(AND(AT37&lt;&gt;0,AM37="Y"),UIBY*W37,0)</f>
        <v>0</v>
      </c>
      <c r="BU37" s="453">
        <f>IF(AND(AT37&lt;&gt;0,N37&lt;&gt;"NR"),DHRBY*W37,0)</f>
        <v>0</v>
      </c>
      <c r="BV37" s="453">
        <f>IF(AT37&lt;&gt;0,WCBY*W37,0)</f>
        <v>0</v>
      </c>
      <c r="BW37" s="453">
        <f>IF(OR(AND(AT37&lt;&gt;0,AJ37&lt;&gt;"PF",AN37&lt;&gt;"NE",AG37&lt;&gt;"A"),AND(AL37="E",OR(AT37=1,AT37=3))),SickBY*W37,0)</f>
        <v>0</v>
      </c>
      <c r="BX37" s="453">
        <f t="shared" si="7"/>
        <v>0</v>
      </c>
      <c r="BY37" s="453">
        <f t="shared" si="8"/>
        <v>0</v>
      </c>
      <c r="BZ37" s="453">
        <f t="shared" si="9"/>
        <v>0</v>
      </c>
      <c r="CA37" s="453">
        <f t="shared" si="10"/>
        <v>0</v>
      </c>
      <c r="CB37" s="453">
        <f t="shared" si="11"/>
        <v>0</v>
      </c>
      <c r="CC37" s="453">
        <f>IF(AT37&lt;&gt;0,SSHICHG*Y37,0)</f>
        <v>0</v>
      </c>
      <c r="CD37" s="453">
        <f>IF(AND(AT37&lt;&gt;0,AN37&lt;&gt;"NE"),VLOOKUP(AN37,Retirement_Rates,5,FALSE)*Y37,0)</f>
        <v>0</v>
      </c>
      <c r="CE37" s="453">
        <f>IF(AND(AT37&lt;&gt;0,AJ37&lt;&gt;"PF"),LifeCHG*Y37,0)</f>
        <v>0</v>
      </c>
      <c r="CF37" s="453">
        <f>IF(AND(AT37&lt;&gt;0,AM37="Y"),UICHG*Y37,0)</f>
        <v>0</v>
      </c>
      <c r="CG37" s="453">
        <f>IF(AND(AT37&lt;&gt;0,N37&lt;&gt;"NR"),DHRCHG*Y37,0)</f>
        <v>0</v>
      </c>
      <c r="CH37" s="453">
        <f>IF(AT37&lt;&gt;0,WCCHG*Y37,0)</f>
        <v>0</v>
      </c>
      <c r="CI37" s="453">
        <f>IF(OR(AND(AT37&lt;&gt;0,AJ37&lt;&gt;"PF",AN37&lt;&gt;"NE",AG37&lt;&gt;"A"),AND(AL37="E",OR(AT37=1,AT37=3))),SickCHG*Y37,0)</f>
        <v>0</v>
      </c>
      <c r="CJ37" s="453">
        <f t="shared" si="12"/>
        <v>0</v>
      </c>
      <c r="CK37" s="453" t="str">
        <f t="shared" si="13"/>
        <v/>
      </c>
      <c r="CL37" s="453" t="str">
        <f t="shared" si="14"/>
        <v/>
      </c>
      <c r="CM37" s="453" t="str">
        <f t="shared" si="15"/>
        <v/>
      </c>
      <c r="CN37" s="453" t="str">
        <f t="shared" si="16"/>
        <v>0421-01</v>
      </c>
    </row>
    <row r="38" spans="1:92" ht="15" thickBot="1" x14ac:dyDescent="0.35">
      <c r="A38" s="368" t="s">
        <v>161</v>
      </c>
      <c r="B38" s="368" t="s">
        <v>162</v>
      </c>
      <c r="C38" s="368" t="s">
        <v>348</v>
      </c>
      <c r="D38" s="368" t="s">
        <v>349</v>
      </c>
      <c r="E38" s="368" t="s">
        <v>165</v>
      </c>
      <c r="F38" s="369" t="s">
        <v>166</v>
      </c>
      <c r="G38" s="368" t="s">
        <v>167</v>
      </c>
      <c r="H38" s="370"/>
      <c r="I38" s="370"/>
      <c r="J38" s="368" t="s">
        <v>168</v>
      </c>
      <c r="K38" s="368" t="s">
        <v>350</v>
      </c>
      <c r="L38" s="368" t="s">
        <v>347</v>
      </c>
      <c r="M38" s="368" t="s">
        <v>171</v>
      </c>
      <c r="N38" s="368" t="s">
        <v>172</v>
      </c>
      <c r="O38" s="371">
        <v>1</v>
      </c>
      <c r="P38" s="451">
        <v>1</v>
      </c>
      <c r="Q38" s="451">
        <v>1</v>
      </c>
      <c r="R38" s="372">
        <v>80</v>
      </c>
      <c r="S38" s="451">
        <v>1</v>
      </c>
      <c r="T38" s="372">
        <v>35534.26</v>
      </c>
      <c r="U38" s="372">
        <v>0</v>
      </c>
      <c r="V38" s="372">
        <v>19846.07</v>
      </c>
      <c r="W38" s="372">
        <v>37793.599999999999</v>
      </c>
      <c r="X38" s="372">
        <v>20649</v>
      </c>
      <c r="Y38" s="372">
        <v>37793.599999999999</v>
      </c>
      <c r="Z38" s="372">
        <v>20539.41</v>
      </c>
      <c r="AA38" s="368" t="s">
        <v>351</v>
      </c>
      <c r="AB38" s="368" t="s">
        <v>352</v>
      </c>
      <c r="AC38" s="368" t="s">
        <v>353</v>
      </c>
      <c r="AD38" s="368" t="s">
        <v>260</v>
      </c>
      <c r="AE38" s="368" t="s">
        <v>350</v>
      </c>
      <c r="AF38" s="368" t="s">
        <v>354</v>
      </c>
      <c r="AG38" s="368" t="s">
        <v>178</v>
      </c>
      <c r="AH38" s="373">
        <v>18.170000000000002</v>
      </c>
      <c r="AI38" s="373">
        <v>12354.8</v>
      </c>
      <c r="AJ38" s="368" t="s">
        <v>179</v>
      </c>
      <c r="AK38" s="368" t="s">
        <v>180</v>
      </c>
      <c r="AL38" s="368" t="s">
        <v>181</v>
      </c>
      <c r="AM38" s="368" t="s">
        <v>182</v>
      </c>
      <c r="AN38" s="368" t="s">
        <v>68</v>
      </c>
      <c r="AO38" s="371">
        <v>80</v>
      </c>
      <c r="AP38" s="451">
        <v>1</v>
      </c>
      <c r="AQ38" s="451">
        <v>1</v>
      </c>
      <c r="AR38" s="449" t="s">
        <v>183</v>
      </c>
      <c r="AS38" s="453">
        <f t="shared" si="0"/>
        <v>1</v>
      </c>
      <c r="AT38">
        <f t="shared" si="1"/>
        <v>1</v>
      </c>
      <c r="AU38" s="453">
        <f>IF(AT38=0,"",IF(AND(AT38=1,M38="F",SUMIF(C2:C55,C38,AS2:AS55)&lt;=1),SUMIF(C2:C55,C38,AS2:AS55),IF(AND(AT38=1,M38="F",SUMIF(C2:C55,C38,AS2:AS55)&gt;1),1,"")))</f>
        <v>1</v>
      </c>
      <c r="AV38" s="453" t="str">
        <f>IF(AT38=0,"",IF(AND(AT38=3,M38="F",SUMIF(C2:C55,C38,AS2:AS55)&lt;=1),SUMIF(C2:C55,C38,AS2:AS55),IF(AND(AT38=3,M38="F",SUMIF(C2:C55,C38,AS2:AS55)&gt;1),1,"")))</f>
        <v/>
      </c>
      <c r="AW38" s="453">
        <f>SUMIF(C2:C55,C38,O2:O55)</f>
        <v>1</v>
      </c>
      <c r="AX38" s="453">
        <f>IF(AND(M38="F",AS38&lt;&gt;0),SUMIF(C2:C55,C38,W2:W55),0)</f>
        <v>37793.599999999999</v>
      </c>
      <c r="AY38" s="453">
        <f t="shared" si="2"/>
        <v>37793.599999999999</v>
      </c>
      <c r="AZ38" s="453" t="str">
        <f t="shared" si="3"/>
        <v/>
      </c>
      <c r="BA38" s="453">
        <f t="shared" si="4"/>
        <v>0</v>
      </c>
      <c r="BB38" s="453">
        <f>IF(AND(AT38=1,AK38="E",AU38&gt;=0.75,AW38=1),Health,IF(AND(AT38=1,AK38="E",AU38&gt;=0.75),Health*P38,IF(AND(AT38=1,AK38="E",AU38&gt;=0.5,AW38=1),PTHealth,IF(AND(AT38=1,AK38="E",AU38&gt;=0.5),PTHealth*P38,0))))</f>
        <v>11650</v>
      </c>
      <c r="BC38" s="453">
        <f>IF(AND(AT38=3,AK38="E",AV38&gt;=0.75,AW38=1),Health,IF(AND(AT38=3,AK38="E",AV38&gt;=0.75),Health*P38,IF(AND(AT38=3,AK38="E",AV38&gt;=0.5,AW38=1),PTHealth,IF(AND(AT38=3,AK38="E",AV38&gt;=0.5),PTHealth*P38,0))))</f>
        <v>0</v>
      </c>
      <c r="BD38" s="453">
        <f>IF(AND(AT38&lt;&gt;0,AX38&gt;=MAXSSDI),SSDI*MAXSSDI*P38,IF(AT38&lt;&gt;0,SSDI*W38,0))</f>
        <v>2343.2031999999999</v>
      </c>
      <c r="BE38" s="453">
        <f>IF(AT38&lt;&gt;0,SSHI*W38,0)</f>
        <v>548.00720000000001</v>
      </c>
      <c r="BF38" s="453">
        <f>IF(AND(AT38&lt;&gt;0,AN38&lt;&gt;"NE"),VLOOKUP(AN38,Retirement_Rates,3,FALSE)*W38,0)</f>
        <v>4512.55584</v>
      </c>
      <c r="BG38" s="453">
        <f>IF(AND(AT38&lt;&gt;0,AJ38&lt;&gt;"PF"),Life*W38,0)</f>
        <v>272.49185599999998</v>
      </c>
      <c r="BH38" s="453">
        <f>IF(AND(AT38&lt;&gt;0,AM38="Y"),UI*W38,0)</f>
        <v>185.18863999999999</v>
      </c>
      <c r="BI38" s="453">
        <f>IF(AND(AT38&lt;&gt;0,N38&lt;&gt;"NR"),DHR*W38,0)</f>
        <v>0</v>
      </c>
      <c r="BJ38" s="453">
        <f>IF(AT38&lt;&gt;0,WC*W38,0)</f>
        <v>1137.58736</v>
      </c>
      <c r="BK38" s="453">
        <f>IF(OR(AND(AT38&lt;&gt;0,AJ38&lt;&gt;"PF",AN38&lt;&gt;"NE",AG38&lt;&gt;"A"),AND(AL38="E",OR(AT38=1,AT38=3))),Sick*W38,0)</f>
        <v>0</v>
      </c>
      <c r="BL38" s="453">
        <f t="shared" si="5"/>
        <v>8999.0340959999994</v>
      </c>
      <c r="BM38" s="453">
        <f t="shared" si="6"/>
        <v>0</v>
      </c>
      <c r="BN38" s="453">
        <f>IF(AND(AT38=1,AK38="E",AU38&gt;=0.75,AW38=1),HealthBY,IF(AND(AT38=1,AK38="E",AU38&gt;=0.75),HealthBY*P38,IF(AND(AT38=1,AK38="E",AU38&gt;=0.5,AW38=1),PTHealthBY,IF(AND(AT38=1,AK38="E",AU38&gt;=0.5),PTHealthBY*P38,0))))</f>
        <v>11650</v>
      </c>
      <c r="BO38" s="453">
        <f>IF(AND(AT38=3,AK38="E",AV38&gt;=0.75,AW38=1),HealthBY,IF(AND(AT38=3,AK38="E",AV38&gt;=0.75),HealthBY*P38,IF(AND(AT38=3,AK38="E",AV38&gt;=0.5,AW38=1),PTHealthBY,IF(AND(AT38=3,AK38="E",AV38&gt;=0.5),PTHealthBY*P38,0))))</f>
        <v>0</v>
      </c>
      <c r="BP38" s="453">
        <f>IF(AND(AT38&lt;&gt;0,(AX38+BA38)&gt;=MAXSSDIBY),SSDIBY*MAXSSDIBY*P38,IF(AT38&lt;&gt;0,SSDIBY*W38,0))</f>
        <v>2343.2031999999999</v>
      </c>
      <c r="BQ38" s="453">
        <f>IF(AT38&lt;&gt;0,SSHIBY*W38,0)</f>
        <v>548.00720000000001</v>
      </c>
      <c r="BR38" s="453">
        <f>IF(AND(AT38&lt;&gt;0,AN38&lt;&gt;"NE"),VLOOKUP(AN38,Retirement_Rates,4,FALSE)*W38,0)</f>
        <v>4512.55584</v>
      </c>
      <c r="BS38" s="453">
        <f>IF(AND(AT38&lt;&gt;0,AJ38&lt;&gt;"PF"),LifeBY*W38,0)</f>
        <v>272.49185599999998</v>
      </c>
      <c r="BT38" s="453">
        <f>IF(AND(AT38&lt;&gt;0,AM38="Y"),UIBY*W38,0)</f>
        <v>0</v>
      </c>
      <c r="BU38" s="453">
        <f>IF(AND(AT38&lt;&gt;0,N38&lt;&gt;"NR"),DHRBY*W38,0)</f>
        <v>0</v>
      </c>
      <c r="BV38" s="453">
        <f>IF(AT38&lt;&gt;0,WCBY*W38,0)</f>
        <v>1213.1745599999999</v>
      </c>
      <c r="BW38" s="453">
        <f>IF(OR(AND(AT38&lt;&gt;0,AJ38&lt;&gt;"PF",AN38&lt;&gt;"NE",AG38&lt;&gt;"A"),AND(AL38="E",OR(AT38=1,AT38=3))),SickBY*W38,0)</f>
        <v>0</v>
      </c>
      <c r="BX38" s="453">
        <f t="shared" si="7"/>
        <v>8889.432655999999</v>
      </c>
      <c r="BY38" s="453">
        <f t="shared" si="8"/>
        <v>0</v>
      </c>
      <c r="BZ38" s="453">
        <f t="shared" si="9"/>
        <v>0</v>
      </c>
      <c r="CA38" s="453">
        <f t="shared" si="10"/>
        <v>0</v>
      </c>
      <c r="CB38" s="453">
        <f t="shared" si="11"/>
        <v>0</v>
      </c>
      <c r="CC38" s="453">
        <f>IF(AT38&lt;&gt;0,SSHICHG*Y38,0)</f>
        <v>0</v>
      </c>
      <c r="CD38" s="453">
        <f>IF(AND(AT38&lt;&gt;0,AN38&lt;&gt;"NE"),VLOOKUP(AN38,Retirement_Rates,5,FALSE)*Y38,0)</f>
        <v>0</v>
      </c>
      <c r="CE38" s="453">
        <f>IF(AND(AT38&lt;&gt;0,AJ38&lt;&gt;"PF"),LifeCHG*Y38,0)</f>
        <v>0</v>
      </c>
      <c r="CF38" s="453">
        <f>IF(AND(AT38&lt;&gt;0,AM38="Y"),UICHG*Y38,0)</f>
        <v>-185.18863999999999</v>
      </c>
      <c r="CG38" s="453">
        <f>IF(AND(AT38&lt;&gt;0,N38&lt;&gt;"NR"),DHRCHG*Y38,0)</f>
        <v>0</v>
      </c>
      <c r="CH38" s="453">
        <f>IF(AT38&lt;&gt;0,WCCHG*Y38,0)</f>
        <v>75.587199999999939</v>
      </c>
      <c r="CI38" s="453">
        <f>IF(OR(AND(AT38&lt;&gt;0,AJ38&lt;&gt;"PF",AN38&lt;&gt;"NE",AG38&lt;&gt;"A"),AND(AL38="E",OR(AT38=1,AT38=3))),SickCHG*Y38,0)</f>
        <v>0</v>
      </c>
      <c r="CJ38" s="453">
        <f t="shared" si="12"/>
        <v>-109.60144000000005</v>
      </c>
      <c r="CK38" s="453" t="str">
        <f t="shared" si="13"/>
        <v/>
      </c>
      <c r="CL38" s="453" t="str">
        <f t="shared" si="14"/>
        <v/>
      </c>
      <c r="CM38" s="453" t="str">
        <f t="shared" si="15"/>
        <v/>
      </c>
      <c r="CN38" s="453" t="str">
        <f t="shared" si="16"/>
        <v>0421-01</v>
      </c>
    </row>
    <row r="39" spans="1:92" ht="15" thickBot="1" x14ac:dyDescent="0.35">
      <c r="A39" s="368" t="s">
        <v>161</v>
      </c>
      <c r="B39" s="368" t="s">
        <v>162</v>
      </c>
      <c r="C39" s="368" t="s">
        <v>355</v>
      </c>
      <c r="D39" s="368" t="s">
        <v>356</v>
      </c>
      <c r="E39" s="368" t="s">
        <v>165</v>
      </c>
      <c r="F39" s="369" t="s">
        <v>166</v>
      </c>
      <c r="G39" s="368" t="s">
        <v>167</v>
      </c>
      <c r="H39" s="370"/>
      <c r="I39" s="370"/>
      <c r="J39" s="368" t="s">
        <v>168</v>
      </c>
      <c r="K39" s="368" t="s">
        <v>357</v>
      </c>
      <c r="L39" s="368" t="s">
        <v>200</v>
      </c>
      <c r="M39" s="368" t="s">
        <v>288</v>
      </c>
      <c r="N39" s="368" t="s">
        <v>172</v>
      </c>
      <c r="O39" s="371">
        <v>0</v>
      </c>
      <c r="P39" s="451">
        <v>1</v>
      </c>
      <c r="Q39" s="451">
        <v>1</v>
      </c>
      <c r="R39" s="372">
        <v>80</v>
      </c>
      <c r="S39" s="451">
        <v>1</v>
      </c>
      <c r="T39" s="372">
        <v>43409.51</v>
      </c>
      <c r="U39" s="372">
        <v>0</v>
      </c>
      <c r="V39" s="372">
        <v>16086.5</v>
      </c>
      <c r="W39" s="372">
        <v>65249.599999999999</v>
      </c>
      <c r="X39" s="372">
        <v>28579.32</v>
      </c>
      <c r="Y39" s="372">
        <v>65249.599999999999</v>
      </c>
      <c r="Z39" s="372">
        <v>28253.07</v>
      </c>
      <c r="AA39" s="370"/>
      <c r="AB39" s="368" t="s">
        <v>45</v>
      </c>
      <c r="AC39" s="368" t="s">
        <v>45</v>
      </c>
      <c r="AD39" s="370"/>
      <c r="AE39" s="370"/>
      <c r="AF39" s="370"/>
      <c r="AG39" s="370"/>
      <c r="AH39" s="371">
        <v>0</v>
      </c>
      <c r="AI39" s="371">
        <v>0</v>
      </c>
      <c r="AJ39" s="370"/>
      <c r="AK39" s="370"/>
      <c r="AL39" s="368" t="s">
        <v>181</v>
      </c>
      <c r="AM39" s="370"/>
      <c r="AN39" s="370"/>
      <c r="AO39" s="371">
        <v>0</v>
      </c>
      <c r="AP39" s="451">
        <v>0</v>
      </c>
      <c r="AQ39" s="451">
        <v>0</v>
      </c>
      <c r="AR39" s="450"/>
      <c r="AS39" s="453">
        <f t="shared" si="0"/>
        <v>0</v>
      </c>
      <c r="AT39">
        <f t="shared" si="1"/>
        <v>0</v>
      </c>
      <c r="AU39" s="453" t="str">
        <f>IF(AT39=0,"",IF(AND(AT39=1,M39="F",SUMIF(C2:C55,C39,AS2:AS55)&lt;=1),SUMIF(C2:C55,C39,AS2:AS55),IF(AND(AT39=1,M39="F",SUMIF(C2:C55,C39,AS2:AS55)&gt;1),1,"")))</f>
        <v/>
      </c>
      <c r="AV39" s="453" t="str">
        <f>IF(AT39=0,"",IF(AND(AT39=3,M39="F",SUMIF(C2:C55,C39,AS2:AS55)&lt;=1),SUMIF(C2:C55,C39,AS2:AS55),IF(AND(AT39=3,M39="F",SUMIF(C2:C55,C39,AS2:AS55)&gt;1),1,"")))</f>
        <v/>
      </c>
      <c r="AW39" s="453">
        <f>SUMIF(C2:C55,C39,O2:O55)</f>
        <v>0</v>
      </c>
      <c r="AX39" s="453">
        <f>IF(AND(M39="F",AS39&lt;&gt;0),SUMIF(C2:C55,C39,W2:W55),0)</f>
        <v>0</v>
      </c>
      <c r="AY39" s="453" t="str">
        <f t="shared" si="2"/>
        <v/>
      </c>
      <c r="AZ39" s="453" t="str">
        <f t="shared" si="3"/>
        <v/>
      </c>
      <c r="BA39" s="453">
        <f t="shared" si="4"/>
        <v>0</v>
      </c>
      <c r="BB39" s="453">
        <f>IF(AND(AT39=1,AK39="E",AU39&gt;=0.75,AW39=1),Health,IF(AND(AT39=1,AK39="E",AU39&gt;=0.75),Health*P39,IF(AND(AT39=1,AK39="E",AU39&gt;=0.5,AW39=1),PTHealth,IF(AND(AT39=1,AK39="E",AU39&gt;=0.5),PTHealth*P39,0))))</f>
        <v>0</v>
      </c>
      <c r="BC39" s="453">
        <f>IF(AND(AT39=3,AK39="E",AV39&gt;=0.75,AW39=1),Health,IF(AND(AT39=3,AK39="E",AV39&gt;=0.75),Health*P39,IF(AND(AT39=3,AK39="E",AV39&gt;=0.5,AW39=1),PTHealth,IF(AND(AT39=3,AK39="E",AV39&gt;=0.5),PTHealth*P39,0))))</f>
        <v>0</v>
      </c>
      <c r="BD39" s="453">
        <f>IF(AND(AT39&lt;&gt;0,AX39&gt;=MAXSSDI),SSDI*MAXSSDI*P39,IF(AT39&lt;&gt;0,SSDI*W39,0))</f>
        <v>0</v>
      </c>
      <c r="BE39" s="453">
        <f>IF(AT39&lt;&gt;0,SSHI*W39,0)</f>
        <v>0</v>
      </c>
      <c r="BF39" s="453">
        <f>IF(AND(AT39&lt;&gt;0,AN39&lt;&gt;"NE"),VLOOKUP(AN39,Retirement_Rates,3,FALSE)*W39,0)</f>
        <v>0</v>
      </c>
      <c r="BG39" s="453">
        <f>IF(AND(AT39&lt;&gt;0,AJ39&lt;&gt;"PF"),Life*W39,0)</f>
        <v>0</v>
      </c>
      <c r="BH39" s="453">
        <f>IF(AND(AT39&lt;&gt;0,AM39="Y"),UI*W39,0)</f>
        <v>0</v>
      </c>
      <c r="BI39" s="453">
        <f>IF(AND(AT39&lt;&gt;0,N39&lt;&gt;"NR"),DHR*W39,0)</f>
        <v>0</v>
      </c>
      <c r="BJ39" s="453">
        <f>IF(AT39&lt;&gt;0,WC*W39,0)</f>
        <v>0</v>
      </c>
      <c r="BK39" s="453">
        <f>IF(OR(AND(AT39&lt;&gt;0,AJ39&lt;&gt;"PF",AN39&lt;&gt;"NE",AG39&lt;&gt;"A"),AND(AL39="E",OR(AT39=1,AT39=3))),Sick*W39,0)</f>
        <v>0</v>
      </c>
      <c r="BL39" s="453">
        <f t="shared" si="5"/>
        <v>0</v>
      </c>
      <c r="BM39" s="453">
        <f t="shared" si="6"/>
        <v>0</v>
      </c>
      <c r="BN39" s="453">
        <f>IF(AND(AT39=1,AK39="E",AU39&gt;=0.75,AW39=1),HealthBY,IF(AND(AT39=1,AK39="E",AU39&gt;=0.75),HealthBY*P39,IF(AND(AT39=1,AK39="E",AU39&gt;=0.5,AW39=1),PTHealthBY,IF(AND(AT39=1,AK39="E",AU39&gt;=0.5),PTHealthBY*P39,0))))</f>
        <v>0</v>
      </c>
      <c r="BO39" s="453">
        <f>IF(AND(AT39=3,AK39="E",AV39&gt;=0.75,AW39=1),HealthBY,IF(AND(AT39=3,AK39="E",AV39&gt;=0.75),HealthBY*P39,IF(AND(AT39=3,AK39="E",AV39&gt;=0.5,AW39=1),PTHealthBY,IF(AND(AT39=3,AK39="E",AV39&gt;=0.5),PTHealthBY*P39,0))))</f>
        <v>0</v>
      </c>
      <c r="BP39" s="453">
        <f>IF(AND(AT39&lt;&gt;0,(AX39+BA39)&gt;=MAXSSDIBY),SSDIBY*MAXSSDIBY*P39,IF(AT39&lt;&gt;0,SSDIBY*W39,0))</f>
        <v>0</v>
      </c>
      <c r="BQ39" s="453">
        <f>IF(AT39&lt;&gt;0,SSHIBY*W39,0)</f>
        <v>0</v>
      </c>
      <c r="BR39" s="453">
        <f>IF(AND(AT39&lt;&gt;0,AN39&lt;&gt;"NE"),VLOOKUP(AN39,Retirement_Rates,4,FALSE)*W39,0)</f>
        <v>0</v>
      </c>
      <c r="BS39" s="453">
        <f>IF(AND(AT39&lt;&gt;0,AJ39&lt;&gt;"PF"),LifeBY*W39,0)</f>
        <v>0</v>
      </c>
      <c r="BT39" s="453">
        <f>IF(AND(AT39&lt;&gt;0,AM39="Y"),UIBY*W39,0)</f>
        <v>0</v>
      </c>
      <c r="BU39" s="453">
        <f>IF(AND(AT39&lt;&gt;0,N39&lt;&gt;"NR"),DHRBY*W39,0)</f>
        <v>0</v>
      </c>
      <c r="BV39" s="453">
        <f>IF(AT39&lt;&gt;0,WCBY*W39,0)</f>
        <v>0</v>
      </c>
      <c r="BW39" s="453">
        <f>IF(OR(AND(AT39&lt;&gt;0,AJ39&lt;&gt;"PF",AN39&lt;&gt;"NE",AG39&lt;&gt;"A"),AND(AL39="E",OR(AT39=1,AT39=3))),SickBY*W39,0)</f>
        <v>0</v>
      </c>
      <c r="BX39" s="453">
        <f t="shared" si="7"/>
        <v>0</v>
      </c>
      <c r="BY39" s="453">
        <f t="shared" si="8"/>
        <v>0</v>
      </c>
      <c r="BZ39" s="453">
        <f t="shared" si="9"/>
        <v>0</v>
      </c>
      <c r="CA39" s="453">
        <f t="shared" si="10"/>
        <v>0</v>
      </c>
      <c r="CB39" s="453">
        <f t="shared" si="11"/>
        <v>0</v>
      </c>
      <c r="CC39" s="453">
        <f>IF(AT39&lt;&gt;0,SSHICHG*Y39,0)</f>
        <v>0</v>
      </c>
      <c r="CD39" s="453">
        <f>IF(AND(AT39&lt;&gt;0,AN39&lt;&gt;"NE"),VLOOKUP(AN39,Retirement_Rates,5,FALSE)*Y39,0)</f>
        <v>0</v>
      </c>
      <c r="CE39" s="453">
        <f>IF(AND(AT39&lt;&gt;0,AJ39&lt;&gt;"PF"),LifeCHG*Y39,0)</f>
        <v>0</v>
      </c>
      <c r="CF39" s="453">
        <f>IF(AND(AT39&lt;&gt;0,AM39="Y"),UICHG*Y39,0)</f>
        <v>0</v>
      </c>
      <c r="CG39" s="453">
        <f>IF(AND(AT39&lt;&gt;0,N39&lt;&gt;"NR"),DHRCHG*Y39,0)</f>
        <v>0</v>
      </c>
      <c r="CH39" s="453">
        <f>IF(AT39&lt;&gt;0,WCCHG*Y39,0)</f>
        <v>0</v>
      </c>
      <c r="CI39" s="453">
        <f>IF(OR(AND(AT39&lt;&gt;0,AJ39&lt;&gt;"PF",AN39&lt;&gt;"NE",AG39&lt;&gt;"A"),AND(AL39="E",OR(AT39=1,AT39=3))),SickCHG*Y39,0)</f>
        <v>0</v>
      </c>
      <c r="CJ39" s="453">
        <f t="shared" si="12"/>
        <v>0</v>
      </c>
      <c r="CK39" s="453" t="str">
        <f t="shared" si="13"/>
        <v/>
      </c>
      <c r="CL39" s="453" t="str">
        <f t="shared" si="14"/>
        <v/>
      </c>
      <c r="CM39" s="453" t="str">
        <f t="shared" si="15"/>
        <v/>
      </c>
      <c r="CN39" s="453" t="str">
        <f t="shared" si="16"/>
        <v>0421-01</v>
      </c>
    </row>
    <row r="40" spans="1:92" ht="15" thickBot="1" x14ac:dyDescent="0.35">
      <c r="A40" s="368" t="s">
        <v>161</v>
      </c>
      <c r="B40" s="368" t="s">
        <v>162</v>
      </c>
      <c r="C40" s="368" t="s">
        <v>358</v>
      </c>
      <c r="D40" s="368" t="s">
        <v>198</v>
      </c>
      <c r="E40" s="368" t="s">
        <v>165</v>
      </c>
      <c r="F40" s="369" t="s">
        <v>166</v>
      </c>
      <c r="G40" s="368" t="s">
        <v>167</v>
      </c>
      <c r="H40" s="370"/>
      <c r="I40" s="370"/>
      <c r="J40" s="368" t="s">
        <v>168</v>
      </c>
      <c r="K40" s="368" t="s">
        <v>199</v>
      </c>
      <c r="L40" s="368" t="s">
        <v>200</v>
      </c>
      <c r="M40" s="368" t="s">
        <v>171</v>
      </c>
      <c r="N40" s="368" t="s">
        <v>172</v>
      </c>
      <c r="O40" s="371">
        <v>1</v>
      </c>
      <c r="P40" s="451">
        <v>1</v>
      </c>
      <c r="Q40" s="451">
        <v>1</v>
      </c>
      <c r="R40" s="372">
        <v>80</v>
      </c>
      <c r="S40" s="451">
        <v>1</v>
      </c>
      <c r="T40" s="372">
        <v>46446.12</v>
      </c>
      <c r="U40" s="372">
        <v>86.92</v>
      </c>
      <c r="V40" s="372">
        <v>22118.43</v>
      </c>
      <c r="W40" s="372">
        <v>49774.400000000001</v>
      </c>
      <c r="X40" s="372">
        <v>23501.75</v>
      </c>
      <c r="Y40" s="372">
        <v>49774.400000000001</v>
      </c>
      <c r="Z40" s="372">
        <v>23357.41</v>
      </c>
      <c r="AA40" s="368" t="s">
        <v>359</v>
      </c>
      <c r="AB40" s="368" t="s">
        <v>360</v>
      </c>
      <c r="AC40" s="368" t="s">
        <v>361</v>
      </c>
      <c r="AD40" s="368" t="s">
        <v>362</v>
      </c>
      <c r="AE40" s="368" t="s">
        <v>199</v>
      </c>
      <c r="AF40" s="368" t="s">
        <v>177</v>
      </c>
      <c r="AG40" s="368" t="s">
        <v>178</v>
      </c>
      <c r="AH40" s="373">
        <v>23.93</v>
      </c>
      <c r="AI40" s="371">
        <v>22458</v>
      </c>
      <c r="AJ40" s="368" t="s">
        <v>179</v>
      </c>
      <c r="AK40" s="368" t="s">
        <v>180</v>
      </c>
      <c r="AL40" s="368" t="s">
        <v>181</v>
      </c>
      <c r="AM40" s="368" t="s">
        <v>182</v>
      </c>
      <c r="AN40" s="368" t="s">
        <v>68</v>
      </c>
      <c r="AO40" s="371">
        <v>80</v>
      </c>
      <c r="AP40" s="451">
        <v>1</v>
      </c>
      <c r="AQ40" s="451">
        <v>1</v>
      </c>
      <c r="AR40" s="449" t="s">
        <v>183</v>
      </c>
      <c r="AS40" s="453">
        <f t="shared" si="0"/>
        <v>1</v>
      </c>
      <c r="AT40">
        <f t="shared" si="1"/>
        <v>1</v>
      </c>
      <c r="AU40" s="453">
        <f>IF(AT40=0,"",IF(AND(AT40=1,M40="F",SUMIF(C2:C55,C40,AS2:AS55)&lt;=1),SUMIF(C2:C55,C40,AS2:AS55),IF(AND(AT40=1,M40="F",SUMIF(C2:C55,C40,AS2:AS55)&gt;1),1,"")))</f>
        <v>1</v>
      </c>
      <c r="AV40" s="453" t="str">
        <f>IF(AT40=0,"",IF(AND(AT40=3,M40="F",SUMIF(C2:C55,C40,AS2:AS55)&lt;=1),SUMIF(C2:C55,C40,AS2:AS55),IF(AND(AT40=3,M40="F",SUMIF(C2:C55,C40,AS2:AS55)&gt;1),1,"")))</f>
        <v/>
      </c>
      <c r="AW40" s="453">
        <f>SUMIF(C2:C55,C40,O2:O55)</f>
        <v>1</v>
      </c>
      <c r="AX40" s="453">
        <f>IF(AND(M40="F",AS40&lt;&gt;0),SUMIF(C2:C55,C40,W2:W55),0)</f>
        <v>49774.400000000001</v>
      </c>
      <c r="AY40" s="453">
        <f t="shared" si="2"/>
        <v>49774.400000000001</v>
      </c>
      <c r="AZ40" s="453" t="str">
        <f t="shared" si="3"/>
        <v/>
      </c>
      <c r="BA40" s="453">
        <f t="shared" si="4"/>
        <v>0</v>
      </c>
      <c r="BB40" s="453">
        <f>IF(AND(AT40=1,AK40="E",AU40&gt;=0.75,AW40=1),Health,IF(AND(AT40=1,AK40="E",AU40&gt;=0.75),Health*P40,IF(AND(AT40=1,AK40="E",AU40&gt;=0.5,AW40=1),PTHealth,IF(AND(AT40=1,AK40="E",AU40&gt;=0.5),PTHealth*P40,0))))</f>
        <v>11650</v>
      </c>
      <c r="BC40" s="453">
        <f>IF(AND(AT40=3,AK40="E",AV40&gt;=0.75,AW40=1),Health,IF(AND(AT40=3,AK40="E",AV40&gt;=0.75),Health*P40,IF(AND(AT40=3,AK40="E",AV40&gt;=0.5,AW40=1),PTHealth,IF(AND(AT40=3,AK40="E",AV40&gt;=0.5),PTHealth*P40,0))))</f>
        <v>0</v>
      </c>
      <c r="BD40" s="453">
        <f>IF(AND(AT40&lt;&gt;0,AX40&gt;=MAXSSDI),SSDI*MAXSSDI*P40,IF(AT40&lt;&gt;0,SSDI*W40,0))</f>
        <v>3086.0128</v>
      </c>
      <c r="BE40" s="453">
        <f>IF(AT40&lt;&gt;0,SSHI*W40,0)</f>
        <v>721.72880000000009</v>
      </c>
      <c r="BF40" s="453">
        <f>IF(AND(AT40&lt;&gt;0,AN40&lt;&gt;"NE"),VLOOKUP(AN40,Retirement_Rates,3,FALSE)*W40,0)</f>
        <v>5943.0633600000001</v>
      </c>
      <c r="BG40" s="453">
        <f>IF(AND(AT40&lt;&gt;0,AJ40&lt;&gt;"PF"),Life*W40,0)</f>
        <v>358.873424</v>
      </c>
      <c r="BH40" s="453">
        <f>IF(AND(AT40&lt;&gt;0,AM40="Y"),UI*W40,0)</f>
        <v>243.89456000000001</v>
      </c>
      <c r="BI40" s="453">
        <f>IF(AND(AT40&lt;&gt;0,N40&lt;&gt;"NR"),DHR*W40,0)</f>
        <v>0</v>
      </c>
      <c r="BJ40" s="453">
        <f>IF(AT40&lt;&gt;0,WC*W40,0)</f>
        <v>1498.2094399999999</v>
      </c>
      <c r="BK40" s="453">
        <f>IF(OR(AND(AT40&lt;&gt;0,AJ40&lt;&gt;"PF",AN40&lt;&gt;"NE",AG40&lt;&gt;"A"),AND(AL40="E",OR(AT40=1,AT40=3))),Sick*W40,0)</f>
        <v>0</v>
      </c>
      <c r="BL40" s="453">
        <f t="shared" si="5"/>
        <v>11851.782384000002</v>
      </c>
      <c r="BM40" s="453">
        <f t="shared" si="6"/>
        <v>0</v>
      </c>
      <c r="BN40" s="453">
        <f>IF(AND(AT40=1,AK40="E",AU40&gt;=0.75,AW40=1),HealthBY,IF(AND(AT40=1,AK40="E",AU40&gt;=0.75),HealthBY*P40,IF(AND(AT40=1,AK40="E",AU40&gt;=0.5,AW40=1),PTHealthBY,IF(AND(AT40=1,AK40="E",AU40&gt;=0.5),PTHealthBY*P40,0))))</f>
        <v>11650</v>
      </c>
      <c r="BO40" s="453">
        <f>IF(AND(AT40=3,AK40="E",AV40&gt;=0.75,AW40=1),HealthBY,IF(AND(AT40=3,AK40="E",AV40&gt;=0.75),HealthBY*P40,IF(AND(AT40=3,AK40="E",AV40&gt;=0.5,AW40=1),PTHealthBY,IF(AND(AT40=3,AK40="E",AV40&gt;=0.5),PTHealthBY*P40,0))))</f>
        <v>0</v>
      </c>
      <c r="BP40" s="453">
        <f>IF(AND(AT40&lt;&gt;0,(AX40+BA40)&gt;=MAXSSDIBY),SSDIBY*MAXSSDIBY*P40,IF(AT40&lt;&gt;0,SSDIBY*W40,0))</f>
        <v>3086.0128</v>
      </c>
      <c r="BQ40" s="453">
        <f>IF(AT40&lt;&gt;0,SSHIBY*W40,0)</f>
        <v>721.72880000000009</v>
      </c>
      <c r="BR40" s="453">
        <f>IF(AND(AT40&lt;&gt;0,AN40&lt;&gt;"NE"),VLOOKUP(AN40,Retirement_Rates,4,FALSE)*W40,0)</f>
        <v>5943.0633600000001</v>
      </c>
      <c r="BS40" s="453">
        <f>IF(AND(AT40&lt;&gt;0,AJ40&lt;&gt;"PF"),LifeBY*W40,0)</f>
        <v>358.873424</v>
      </c>
      <c r="BT40" s="453">
        <f>IF(AND(AT40&lt;&gt;0,AM40="Y"),UIBY*W40,0)</f>
        <v>0</v>
      </c>
      <c r="BU40" s="453">
        <f>IF(AND(AT40&lt;&gt;0,N40&lt;&gt;"NR"),DHRBY*W40,0)</f>
        <v>0</v>
      </c>
      <c r="BV40" s="453">
        <f>IF(AT40&lt;&gt;0,WCBY*W40,0)</f>
        <v>1597.7582399999999</v>
      </c>
      <c r="BW40" s="453">
        <f>IF(OR(AND(AT40&lt;&gt;0,AJ40&lt;&gt;"PF",AN40&lt;&gt;"NE",AG40&lt;&gt;"A"),AND(AL40="E",OR(AT40=1,AT40=3))),SickBY*W40,0)</f>
        <v>0</v>
      </c>
      <c r="BX40" s="453">
        <f t="shared" si="7"/>
        <v>11707.436624</v>
      </c>
      <c r="BY40" s="453">
        <f t="shared" si="8"/>
        <v>0</v>
      </c>
      <c r="BZ40" s="453">
        <f t="shared" si="9"/>
        <v>0</v>
      </c>
      <c r="CA40" s="453">
        <f t="shared" si="10"/>
        <v>0</v>
      </c>
      <c r="CB40" s="453">
        <f t="shared" si="11"/>
        <v>0</v>
      </c>
      <c r="CC40" s="453">
        <f>IF(AT40&lt;&gt;0,SSHICHG*Y40,0)</f>
        <v>0</v>
      </c>
      <c r="CD40" s="453">
        <f>IF(AND(AT40&lt;&gt;0,AN40&lt;&gt;"NE"),VLOOKUP(AN40,Retirement_Rates,5,FALSE)*Y40,0)</f>
        <v>0</v>
      </c>
      <c r="CE40" s="453">
        <f>IF(AND(AT40&lt;&gt;0,AJ40&lt;&gt;"PF"),LifeCHG*Y40,0)</f>
        <v>0</v>
      </c>
      <c r="CF40" s="453">
        <f>IF(AND(AT40&lt;&gt;0,AM40="Y"),UICHG*Y40,0)</f>
        <v>-243.89456000000001</v>
      </c>
      <c r="CG40" s="453">
        <f>IF(AND(AT40&lt;&gt;0,N40&lt;&gt;"NR"),DHRCHG*Y40,0)</f>
        <v>0</v>
      </c>
      <c r="CH40" s="453">
        <f>IF(AT40&lt;&gt;0,WCCHG*Y40,0)</f>
        <v>99.548799999999915</v>
      </c>
      <c r="CI40" s="453">
        <f>IF(OR(AND(AT40&lt;&gt;0,AJ40&lt;&gt;"PF",AN40&lt;&gt;"NE",AG40&lt;&gt;"A"),AND(AL40="E",OR(AT40=1,AT40=3))),SickCHG*Y40,0)</f>
        <v>0</v>
      </c>
      <c r="CJ40" s="453">
        <f t="shared" si="12"/>
        <v>-144.3457600000001</v>
      </c>
      <c r="CK40" s="453" t="str">
        <f t="shared" si="13"/>
        <v/>
      </c>
      <c r="CL40" s="453" t="str">
        <f t="shared" si="14"/>
        <v/>
      </c>
      <c r="CM40" s="453" t="str">
        <f t="shared" si="15"/>
        <v/>
      </c>
      <c r="CN40" s="453" t="str">
        <f t="shared" si="16"/>
        <v>0421-01</v>
      </c>
    </row>
    <row r="41" spans="1:92" ht="15" thickBot="1" x14ac:dyDescent="0.35">
      <c r="A41" s="368" t="s">
        <v>161</v>
      </c>
      <c r="B41" s="368" t="s">
        <v>162</v>
      </c>
      <c r="C41" s="368" t="s">
        <v>363</v>
      </c>
      <c r="D41" s="368" t="s">
        <v>185</v>
      </c>
      <c r="E41" s="368" t="s">
        <v>165</v>
      </c>
      <c r="F41" s="369" t="s">
        <v>166</v>
      </c>
      <c r="G41" s="368" t="s">
        <v>167</v>
      </c>
      <c r="H41" s="370"/>
      <c r="I41" s="370"/>
      <c r="J41" s="368" t="s">
        <v>364</v>
      </c>
      <c r="K41" s="368" t="s">
        <v>186</v>
      </c>
      <c r="L41" s="368" t="s">
        <v>178</v>
      </c>
      <c r="M41" s="368" t="s">
        <v>288</v>
      </c>
      <c r="N41" s="368" t="s">
        <v>172</v>
      </c>
      <c r="O41" s="371">
        <v>0</v>
      </c>
      <c r="P41" s="451">
        <v>1</v>
      </c>
      <c r="Q41" s="451">
        <v>1</v>
      </c>
      <c r="R41" s="372">
        <v>80</v>
      </c>
      <c r="S41" s="451">
        <v>1</v>
      </c>
      <c r="T41" s="372">
        <v>0</v>
      </c>
      <c r="U41" s="372">
        <v>0</v>
      </c>
      <c r="V41" s="372">
        <v>0</v>
      </c>
      <c r="W41" s="372">
        <v>41849.589999999997</v>
      </c>
      <c r="X41" s="372">
        <v>18330.099999999999</v>
      </c>
      <c r="Y41" s="372">
        <v>41849.589999999997</v>
      </c>
      <c r="Z41" s="372">
        <v>18120.86</v>
      </c>
      <c r="AA41" s="370"/>
      <c r="AB41" s="368" t="s">
        <v>45</v>
      </c>
      <c r="AC41" s="368" t="s">
        <v>45</v>
      </c>
      <c r="AD41" s="370"/>
      <c r="AE41" s="370"/>
      <c r="AF41" s="370"/>
      <c r="AG41" s="370"/>
      <c r="AH41" s="371">
        <v>0</v>
      </c>
      <c r="AI41" s="371">
        <v>0</v>
      </c>
      <c r="AJ41" s="370"/>
      <c r="AK41" s="370"/>
      <c r="AL41" s="368" t="s">
        <v>181</v>
      </c>
      <c r="AM41" s="370"/>
      <c r="AN41" s="370"/>
      <c r="AO41" s="371">
        <v>0</v>
      </c>
      <c r="AP41" s="451">
        <v>0</v>
      </c>
      <c r="AQ41" s="451">
        <v>0</v>
      </c>
      <c r="AR41" s="450"/>
      <c r="AS41" s="453">
        <f t="shared" si="0"/>
        <v>0</v>
      </c>
      <c r="AT41">
        <f t="shared" si="1"/>
        <v>0</v>
      </c>
      <c r="AU41" s="453" t="str">
        <f>IF(AT41=0,"",IF(AND(AT41=1,M41="F",SUMIF(C2:C55,C41,AS2:AS55)&lt;=1),SUMIF(C2:C55,C41,AS2:AS55),IF(AND(AT41=1,M41="F",SUMIF(C2:C55,C41,AS2:AS55)&gt;1),1,"")))</f>
        <v/>
      </c>
      <c r="AV41" s="453" t="str">
        <f>IF(AT41=0,"",IF(AND(AT41=3,M41="F",SUMIF(C2:C55,C41,AS2:AS55)&lt;=1),SUMIF(C2:C55,C41,AS2:AS55),IF(AND(AT41=3,M41="F",SUMIF(C2:C55,C41,AS2:AS55)&gt;1),1,"")))</f>
        <v/>
      </c>
      <c r="AW41" s="453">
        <f>SUMIF(C2:C55,C41,O2:O55)</f>
        <v>0</v>
      </c>
      <c r="AX41" s="453">
        <f>IF(AND(M41="F",AS41&lt;&gt;0),SUMIF(C2:C55,C41,W2:W55),0)</f>
        <v>0</v>
      </c>
      <c r="AY41" s="453" t="str">
        <f t="shared" si="2"/>
        <v/>
      </c>
      <c r="AZ41" s="453" t="str">
        <f t="shared" si="3"/>
        <v/>
      </c>
      <c r="BA41" s="453">
        <f t="shared" si="4"/>
        <v>0</v>
      </c>
      <c r="BB41" s="453">
        <f>IF(AND(AT41=1,AK41="E",AU41&gt;=0.75,AW41=1),Health,IF(AND(AT41=1,AK41="E",AU41&gt;=0.75),Health*P41,IF(AND(AT41=1,AK41="E",AU41&gt;=0.5,AW41=1),PTHealth,IF(AND(AT41=1,AK41="E",AU41&gt;=0.5),PTHealth*P41,0))))</f>
        <v>0</v>
      </c>
      <c r="BC41" s="453">
        <f>IF(AND(AT41=3,AK41="E",AV41&gt;=0.75,AW41=1),Health,IF(AND(AT41=3,AK41="E",AV41&gt;=0.75),Health*P41,IF(AND(AT41=3,AK41="E",AV41&gt;=0.5,AW41=1),PTHealth,IF(AND(AT41=3,AK41="E",AV41&gt;=0.5),PTHealth*P41,0))))</f>
        <v>0</v>
      </c>
      <c r="BD41" s="453">
        <f>IF(AND(AT41&lt;&gt;0,AX41&gt;=MAXSSDI),SSDI*MAXSSDI*P41,IF(AT41&lt;&gt;0,SSDI*W41,0))</f>
        <v>0</v>
      </c>
      <c r="BE41" s="453">
        <f>IF(AT41&lt;&gt;0,SSHI*W41,0)</f>
        <v>0</v>
      </c>
      <c r="BF41" s="453">
        <f>IF(AND(AT41&lt;&gt;0,AN41&lt;&gt;"NE"),VLOOKUP(AN41,Retirement_Rates,3,FALSE)*W41,0)</f>
        <v>0</v>
      </c>
      <c r="BG41" s="453">
        <f>IF(AND(AT41&lt;&gt;0,AJ41&lt;&gt;"PF"),Life*W41,0)</f>
        <v>0</v>
      </c>
      <c r="BH41" s="453">
        <f>IF(AND(AT41&lt;&gt;0,AM41="Y"),UI*W41,0)</f>
        <v>0</v>
      </c>
      <c r="BI41" s="453">
        <f>IF(AND(AT41&lt;&gt;0,N41&lt;&gt;"NR"),DHR*W41,0)</f>
        <v>0</v>
      </c>
      <c r="BJ41" s="453">
        <f>IF(AT41&lt;&gt;0,WC*W41,0)</f>
        <v>0</v>
      </c>
      <c r="BK41" s="453">
        <f>IF(OR(AND(AT41&lt;&gt;0,AJ41&lt;&gt;"PF",AN41&lt;&gt;"NE",AG41&lt;&gt;"A"),AND(AL41="E",OR(AT41=1,AT41=3))),Sick*W41,0)</f>
        <v>0</v>
      </c>
      <c r="BL41" s="453">
        <f t="shared" si="5"/>
        <v>0</v>
      </c>
      <c r="BM41" s="453">
        <f t="shared" si="6"/>
        <v>0</v>
      </c>
      <c r="BN41" s="453">
        <f>IF(AND(AT41=1,AK41="E",AU41&gt;=0.75,AW41=1),HealthBY,IF(AND(AT41=1,AK41="E",AU41&gt;=0.75),HealthBY*P41,IF(AND(AT41=1,AK41="E",AU41&gt;=0.5,AW41=1),PTHealthBY,IF(AND(AT41=1,AK41="E",AU41&gt;=0.5),PTHealthBY*P41,0))))</f>
        <v>0</v>
      </c>
      <c r="BO41" s="453">
        <f>IF(AND(AT41=3,AK41="E",AV41&gt;=0.75,AW41=1),HealthBY,IF(AND(AT41=3,AK41="E",AV41&gt;=0.75),HealthBY*P41,IF(AND(AT41=3,AK41="E",AV41&gt;=0.5,AW41=1),PTHealthBY,IF(AND(AT41=3,AK41="E",AV41&gt;=0.5),PTHealthBY*P41,0))))</f>
        <v>0</v>
      </c>
      <c r="BP41" s="453">
        <f>IF(AND(AT41&lt;&gt;0,(AX41+BA41)&gt;=MAXSSDIBY),SSDIBY*MAXSSDIBY*P41,IF(AT41&lt;&gt;0,SSDIBY*W41,0))</f>
        <v>0</v>
      </c>
      <c r="BQ41" s="453">
        <f>IF(AT41&lt;&gt;0,SSHIBY*W41,0)</f>
        <v>0</v>
      </c>
      <c r="BR41" s="453">
        <f>IF(AND(AT41&lt;&gt;0,AN41&lt;&gt;"NE"),VLOOKUP(AN41,Retirement_Rates,4,FALSE)*W41,0)</f>
        <v>0</v>
      </c>
      <c r="BS41" s="453">
        <f>IF(AND(AT41&lt;&gt;0,AJ41&lt;&gt;"PF"),LifeBY*W41,0)</f>
        <v>0</v>
      </c>
      <c r="BT41" s="453">
        <f>IF(AND(AT41&lt;&gt;0,AM41="Y"),UIBY*W41,0)</f>
        <v>0</v>
      </c>
      <c r="BU41" s="453">
        <f>IF(AND(AT41&lt;&gt;0,N41&lt;&gt;"NR"),DHRBY*W41,0)</f>
        <v>0</v>
      </c>
      <c r="BV41" s="453">
        <f>IF(AT41&lt;&gt;0,WCBY*W41,0)</f>
        <v>0</v>
      </c>
      <c r="BW41" s="453">
        <f>IF(OR(AND(AT41&lt;&gt;0,AJ41&lt;&gt;"PF",AN41&lt;&gt;"NE",AG41&lt;&gt;"A"),AND(AL41="E",OR(AT41=1,AT41=3))),SickBY*W41,0)</f>
        <v>0</v>
      </c>
      <c r="BX41" s="453">
        <f t="shared" si="7"/>
        <v>0</v>
      </c>
      <c r="BY41" s="453">
        <f t="shared" si="8"/>
        <v>0</v>
      </c>
      <c r="BZ41" s="453">
        <f t="shared" si="9"/>
        <v>0</v>
      </c>
      <c r="CA41" s="453">
        <f t="shared" si="10"/>
        <v>0</v>
      </c>
      <c r="CB41" s="453">
        <f t="shared" si="11"/>
        <v>0</v>
      </c>
      <c r="CC41" s="453">
        <f>IF(AT41&lt;&gt;0,SSHICHG*Y41,0)</f>
        <v>0</v>
      </c>
      <c r="CD41" s="453">
        <f>IF(AND(AT41&lt;&gt;0,AN41&lt;&gt;"NE"),VLOOKUP(AN41,Retirement_Rates,5,FALSE)*Y41,0)</f>
        <v>0</v>
      </c>
      <c r="CE41" s="453">
        <f>IF(AND(AT41&lt;&gt;0,AJ41&lt;&gt;"PF"),LifeCHG*Y41,0)</f>
        <v>0</v>
      </c>
      <c r="CF41" s="453">
        <f>IF(AND(AT41&lt;&gt;0,AM41="Y"),UICHG*Y41,0)</f>
        <v>0</v>
      </c>
      <c r="CG41" s="453">
        <f>IF(AND(AT41&lt;&gt;0,N41&lt;&gt;"NR"),DHRCHG*Y41,0)</f>
        <v>0</v>
      </c>
      <c r="CH41" s="453">
        <f>IF(AT41&lt;&gt;0,WCCHG*Y41,0)</f>
        <v>0</v>
      </c>
      <c r="CI41" s="453">
        <f>IF(OR(AND(AT41&lt;&gt;0,AJ41&lt;&gt;"PF",AN41&lt;&gt;"NE",AG41&lt;&gt;"A"),AND(AL41="E",OR(AT41=1,AT41=3))),SickCHG*Y41,0)</f>
        <v>0</v>
      </c>
      <c r="CJ41" s="453">
        <f t="shared" si="12"/>
        <v>0</v>
      </c>
      <c r="CK41" s="453" t="str">
        <f t="shared" si="13"/>
        <v/>
      </c>
      <c r="CL41" s="453" t="str">
        <f t="shared" si="14"/>
        <v/>
      </c>
      <c r="CM41" s="453" t="str">
        <f t="shared" si="15"/>
        <v/>
      </c>
      <c r="CN41" s="453" t="str">
        <f t="shared" si="16"/>
        <v>0421-01</v>
      </c>
    </row>
    <row r="42" spans="1:92" ht="15" thickBot="1" x14ac:dyDescent="0.35">
      <c r="A42" s="368" t="s">
        <v>161</v>
      </c>
      <c r="B42" s="368" t="s">
        <v>162</v>
      </c>
      <c r="C42" s="368" t="s">
        <v>365</v>
      </c>
      <c r="D42" s="368" t="s">
        <v>198</v>
      </c>
      <c r="E42" s="368" t="s">
        <v>165</v>
      </c>
      <c r="F42" s="369" t="s">
        <v>166</v>
      </c>
      <c r="G42" s="368" t="s">
        <v>167</v>
      </c>
      <c r="H42" s="370"/>
      <c r="I42" s="370"/>
      <c r="J42" s="368" t="s">
        <v>252</v>
      </c>
      <c r="K42" s="368" t="s">
        <v>366</v>
      </c>
      <c r="L42" s="368" t="s">
        <v>200</v>
      </c>
      <c r="M42" s="368" t="s">
        <v>171</v>
      </c>
      <c r="N42" s="368" t="s">
        <v>172</v>
      </c>
      <c r="O42" s="371">
        <v>1</v>
      </c>
      <c r="P42" s="451">
        <v>1</v>
      </c>
      <c r="Q42" s="451">
        <v>1</v>
      </c>
      <c r="R42" s="372">
        <v>80</v>
      </c>
      <c r="S42" s="451">
        <v>1</v>
      </c>
      <c r="T42" s="372">
        <v>43019.4</v>
      </c>
      <c r="U42" s="372">
        <v>0</v>
      </c>
      <c r="V42" s="372">
        <v>20744.3</v>
      </c>
      <c r="W42" s="372">
        <v>56264</v>
      </c>
      <c r="X42" s="372">
        <v>25046.98</v>
      </c>
      <c r="Y42" s="372">
        <v>56264</v>
      </c>
      <c r="Z42" s="372">
        <v>24883.82</v>
      </c>
      <c r="AA42" s="368" t="s">
        <v>367</v>
      </c>
      <c r="AB42" s="368" t="s">
        <v>368</v>
      </c>
      <c r="AC42" s="368" t="s">
        <v>369</v>
      </c>
      <c r="AD42" s="368" t="s">
        <v>260</v>
      </c>
      <c r="AE42" s="368" t="s">
        <v>366</v>
      </c>
      <c r="AF42" s="368" t="s">
        <v>177</v>
      </c>
      <c r="AG42" s="368" t="s">
        <v>178</v>
      </c>
      <c r="AH42" s="373">
        <v>27.05</v>
      </c>
      <c r="AI42" s="373">
        <v>5999.9</v>
      </c>
      <c r="AJ42" s="368" t="s">
        <v>179</v>
      </c>
      <c r="AK42" s="368" t="s">
        <v>180</v>
      </c>
      <c r="AL42" s="368" t="s">
        <v>181</v>
      </c>
      <c r="AM42" s="368" t="s">
        <v>182</v>
      </c>
      <c r="AN42" s="368" t="s">
        <v>68</v>
      </c>
      <c r="AO42" s="371">
        <v>80</v>
      </c>
      <c r="AP42" s="451">
        <v>1</v>
      </c>
      <c r="AQ42" s="451">
        <v>1</v>
      </c>
      <c r="AR42" s="449" t="s">
        <v>183</v>
      </c>
      <c r="AS42" s="453">
        <f t="shared" si="0"/>
        <v>1</v>
      </c>
      <c r="AT42">
        <f t="shared" si="1"/>
        <v>1</v>
      </c>
      <c r="AU42" s="453">
        <f>IF(AT42=0,"",IF(AND(AT42=1,M42="F",SUMIF(C2:C55,C42,AS2:AS55)&lt;=1),SUMIF(C2:C55,C42,AS2:AS55),IF(AND(AT42=1,M42="F",SUMIF(C2:C55,C42,AS2:AS55)&gt;1),1,"")))</f>
        <v>1</v>
      </c>
      <c r="AV42" s="453" t="str">
        <f>IF(AT42=0,"",IF(AND(AT42=3,M42="F",SUMIF(C2:C55,C42,AS2:AS55)&lt;=1),SUMIF(C2:C55,C42,AS2:AS55),IF(AND(AT42=3,M42="F",SUMIF(C2:C55,C42,AS2:AS55)&gt;1),1,"")))</f>
        <v/>
      </c>
      <c r="AW42" s="453">
        <f>SUMIF(C2:C55,C42,O2:O55)</f>
        <v>1</v>
      </c>
      <c r="AX42" s="453">
        <f>IF(AND(M42="F",AS42&lt;&gt;0),SUMIF(C2:C55,C42,W2:W55),0)</f>
        <v>56264</v>
      </c>
      <c r="AY42" s="453">
        <f t="shared" si="2"/>
        <v>56264</v>
      </c>
      <c r="AZ42" s="453" t="str">
        <f t="shared" si="3"/>
        <v/>
      </c>
      <c r="BA42" s="453">
        <f t="shared" si="4"/>
        <v>0</v>
      </c>
      <c r="BB42" s="453">
        <f>IF(AND(AT42=1,AK42="E",AU42&gt;=0.75,AW42=1),Health,IF(AND(AT42=1,AK42="E",AU42&gt;=0.75),Health*P42,IF(AND(AT42=1,AK42="E",AU42&gt;=0.5,AW42=1),PTHealth,IF(AND(AT42=1,AK42="E",AU42&gt;=0.5),PTHealth*P42,0))))</f>
        <v>11650</v>
      </c>
      <c r="BC42" s="453">
        <f>IF(AND(AT42=3,AK42="E",AV42&gt;=0.75,AW42=1),Health,IF(AND(AT42=3,AK42="E",AV42&gt;=0.75),Health*P42,IF(AND(AT42=3,AK42="E",AV42&gt;=0.5,AW42=1),PTHealth,IF(AND(AT42=3,AK42="E",AV42&gt;=0.5),PTHealth*P42,0))))</f>
        <v>0</v>
      </c>
      <c r="BD42" s="453">
        <f>IF(AND(AT42&lt;&gt;0,AX42&gt;=MAXSSDI),SSDI*MAXSSDI*P42,IF(AT42&lt;&gt;0,SSDI*W42,0))</f>
        <v>3488.3679999999999</v>
      </c>
      <c r="BE42" s="453">
        <f>IF(AT42&lt;&gt;0,SSHI*W42,0)</f>
        <v>815.82800000000009</v>
      </c>
      <c r="BF42" s="453">
        <f>IF(AND(AT42&lt;&gt;0,AN42&lt;&gt;"NE"),VLOOKUP(AN42,Retirement_Rates,3,FALSE)*W42,0)</f>
        <v>6717.9216000000006</v>
      </c>
      <c r="BG42" s="453">
        <f>IF(AND(AT42&lt;&gt;0,AJ42&lt;&gt;"PF"),Life*W42,0)</f>
        <v>405.66344000000004</v>
      </c>
      <c r="BH42" s="453">
        <f>IF(AND(AT42&lt;&gt;0,AM42="Y"),UI*W42,0)</f>
        <v>275.6936</v>
      </c>
      <c r="BI42" s="453">
        <f>IF(AND(AT42&lt;&gt;0,N42&lt;&gt;"NR"),DHR*W42,0)</f>
        <v>0</v>
      </c>
      <c r="BJ42" s="453">
        <f>IF(AT42&lt;&gt;0,WC*W42,0)</f>
        <v>1693.5463999999999</v>
      </c>
      <c r="BK42" s="453">
        <f>IF(OR(AND(AT42&lt;&gt;0,AJ42&lt;&gt;"PF",AN42&lt;&gt;"NE",AG42&lt;&gt;"A"),AND(AL42="E",OR(AT42=1,AT42=3))),Sick*W42,0)</f>
        <v>0</v>
      </c>
      <c r="BL42" s="453">
        <f t="shared" si="5"/>
        <v>13397.021040000001</v>
      </c>
      <c r="BM42" s="453">
        <f t="shared" si="6"/>
        <v>0</v>
      </c>
      <c r="BN42" s="453">
        <f>IF(AND(AT42=1,AK42="E",AU42&gt;=0.75,AW42=1),HealthBY,IF(AND(AT42=1,AK42="E",AU42&gt;=0.75),HealthBY*P42,IF(AND(AT42=1,AK42="E",AU42&gt;=0.5,AW42=1),PTHealthBY,IF(AND(AT42=1,AK42="E",AU42&gt;=0.5),PTHealthBY*P42,0))))</f>
        <v>11650</v>
      </c>
      <c r="BO42" s="453">
        <f>IF(AND(AT42=3,AK42="E",AV42&gt;=0.75,AW42=1),HealthBY,IF(AND(AT42=3,AK42="E",AV42&gt;=0.75),HealthBY*P42,IF(AND(AT42=3,AK42="E",AV42&gt;=0.5,AW42=1),PTHealthBY,IF(AND(AT42=3,AK42="E",AV42&gt;=0.5),PTHealthBY*P42,0))))</f>
        <v>0</v>
      </c>
      <c r="BP42" s="453">
        <f>IF(AND(AT42&lt;&gt;0,(AX42+BA42)&gt;=MAXSSDIBY),SSDIBY*MAXSSDIBY*P42,IF(AT42&lt;&gt;0,SSDIBY*W42,0))</f>
        <v>3488.3679999999999</v>
      </c>
      <c r="BQ42" s="453">
        <f>IF(AT42&lt;&gt;0,SSHIBY*W42,0)</f>
        <v>815.82800000000009</v>
      </c>
      <c r="BR42" s="453">
        <f>IF(AND(AT42&lt;&gt;0,AN42&lt;&gt;"NE"),VLOOKUP(AN42,Retirement_Rates,4,FALSE)*W42,0)</f>
        <v>6717.9216000000006</v>
      </c>
      <c r="BS42" s="453">
        <f>IF(AND(AT42&lt;&gt;0,AJ42&lt;&gt;"PF"),LifeBY*W42,0)</f>
        <v>405.66344000000004</v>
      </c>
      <c r="BT42" s="453">
        <f>IF(AND(AT42&lt;&gt;0,AM42="Y"),UIBY*W42,0)</f>
        <v>0</v>
      </c>
      <c r="BU42" s="453">
        <f>IF(AND(AT42&lt;&gt;0,N42&lt;&gt;"NR"),DHRBY*W42,0)</f>
        <v>0</v>
      </c>
      <c r="BV42" s="453">
        <f>IF(AT42&lt;&gt;0,WCBY*W42,0)</f>
        <v>1806.0743999999997</v>
      </c>
      <c r="BW42" s="453">
        <f>IF(OR(AND(AT42&lt;&gt;0,AJ42&lt;&gt;"PF",AN42&lt;&gt;"NE",AG42&lt;&gt;"A"),AND(AL42="E",OR(AT42=1,AT42=3))),SickBY*W42,0)</f>
        <v>0</v>
      </c>
      <c r="BX42" s="453">
        <f t="shared" si="7"/>
        <v>13233.855440000001</v>
      </c>
      <c r="BY42" s="453">
        <f t="shared" si="8"/>
        <v>0</v>
      </c>
      <c r="BZ42" s="453">
        <f t="shared" si="9"/>
        <v>0</v>
      </c>
      <c r="CA42" s="453">
        <f t="shared" si="10"/>
        <v>0</v>
      </c>
      <c r="CB42" s="453">
        <f t="shared" si="11"/>
        <v>0</v>
      </c>
      <c r="CC42" s="453">
        <f>IF(AT42&lt;&gt;0,SSHICHG*Y42,0)</f>
        <v>0</v>
      </c>
      <c r="CD42" s="453">
        <f>IF(AND(AT42&lt;&gt;0,AN42&lt;&gt;"NE"),VLOOKUP(AN42,Retirement_Rates,5,FALSE)*Y42,0)</f>
        <v>0</v>
      </c>
      <c r="CE42" s="453">
        <f>IF(AND(AT42&lt;&gt;0,AJ42&lt;&gt;"PF"),LifeCHG*Y42,0)</f>
        <v>0</v>
      </c>
      <c r="CF42" s="453">
        <f>IF(AND(AT42&lt;&gt;0,AM42="Y"),UICHG*Y42,0)</f>
        <v>-275.6936</v>
      </c>
      <c r="CG42" s="453">
        <f>IF(AND(AT42&lt;&gt;0,N42&lt;&gt;"NR"),DHRCHG*Y42,0)</f>
        <v>0</v>
      </c>
      <c r="CH42" s="453">
        <f>IF(AT42&lt;&gt;0,WCCHG*Y42,0)</f>
        <v>112.52799999999991</v>
      </c>
      <c r="CI42" s="453">
        <f>IF(OR(AND(AT42&lt;&gt;0,AJ42&lt;&gt;"PF",AN42&lt;&gt;"NE",AG42&lt;&gt;"A"),AND(AL42="E",OR(AT42=1,AT42=3))),SickCHG*Y42,0)</f>
        <v>0</v>
      </c>
      <c r="CJ42" s="453">
        <f t="shared" si="12"/>
        <v>-163.1656000000001</v>
      </c>
      <c r="CK42" s="453" t="str">
        <f t="shared" si="13"/>
        <v/>
      </c>
      <c r="CL42" s="453" t="str">
        <f t="shared" si="14"/>
        <v/>
      </c>
      <c r="CM42" s="453" t="str">
        <f t="shared" si="15"/>
        <v/>
      </c>
      <c r="CN42" s="453" t="str">
        <f t="shared" si="16"/>
        <v>0421-01</v>
      </c>
    </row>
    <row r="43" spans="1:92" ht="15" thickBot="1" x14ac:dyDescent="0.35">
      <c r="A43" s="368" t="s">
        <v>161</v>
      </c>
      <c r="B43" s="368" t="s">
        <v>162</v>
      </c>
      <c r="C43" s="368" t="s">
        <v>370</v>
      </c>
      <c r="D43" s="368" t="s">
        <v>198</v>
      </c>
      <c r="E43" s="368" t="s">
        <v>165</v>
      </c>
      <c r="F43" s="369" t="s">
        <v>166</v>
      </c>
      <c r="G43" s="368" t="s">
        <v>167</v>
      </c>
      <c r="H43" s="370"/>
      <c r="I43" s="370"/>
      <c r="J43" s="368" t="s">
        <v>168</v>
      </c>
      <c r="K43" s="368" t="s">
        <v>199</v>
      </c>
      <c r="L43" s="368" t="s">
        <v>200</v>
      </c>
      <c r="M43" s="368" t="s">
        <v>288</v>
      </c>
      <c r="N43" s="368" t="s">
        <v>172</v>
      </c>
      <c r="O43" s="371">
        <v>0</v>
      </c>
      <c r="P43" s="451">
        <v>1</v>
      </c>
      <c r="Q43" s="451">
        <v>1</v>
      </c>
      <c r="R43" s="372">
        <v>80</v>
      </c>
      <c r="S43" s="451">
        <v>1</v>
      </c>
      <c r="T43" s="372">
        <v>12616.21</v>
      </c>
      <c r="U43" s="372">
        <v>0</v>
      </c>
      <c r="V43" s="372">
        <v>6216.97</v>
      </c>
      <c r="W43" s="372">
        <v>45281.599999999999</v>
      </c>
      <c r="X43" s="372">
        <v>19833.34</v>
      </c>
      <c r="Y43" s="372">
        <v>45281.599999999999</v>
      </c>
      <c r="Z43" s="372">
        <v>19606.93</v>
      </c>
      <c r="AA43" s="370"/>
      <c r="AB43" s="368" t="s">
        <v>45</v>
      </c>
      <c r="AC43" s="368" t="s">
        <v>45</v>
      </c>
      <c r="AD43" s="370"/>
      <c r="AE43" s="370"/>
      <c r="AF43" s="370"/>
      <c r="AG43" s="370"/>
      <c r="AH43" s="371">
        <v>0</v>
      </c>
      <c r="AI43" s="371">
        <v>0</v>
      </c>
      <c r="AJ43" s="370"/>
      <c r="AK43" s="370"/>
      <c r="AL43" s="368" t="s">
        <v>181</v>
      </c>
      <c r="AM43" s="370"/>
      <c r="AN43" s="370"/>
      <c r="AO43" s="371">
        <v>0</v>
      </c>
      <c r="AP43" s="451">
        <v>0</v>
      </c>
      <c r="AQ43" s="451">
        <v>0</v>
      </c>
      <c r="AR43" s="450"/>
      <c r="AS43" s="453">
        <f t="shared" si="0"/>
        <v>0</v>
      </c>
      <c r="AT43">
        <f t="shared" si="1"/>
        <v>0</v>
      </c>
      <c r="AU43" s="453" t="str">
        <f>IF(AT43=0,"",IF(AND(AT43=1,M43="F",SUMIF(C2:C55,C43,AS2:AS55)&lt;=1),SUMIF(C2:C55,C43,AS2:AS55),IF(AND(AT43=1,M43="F",SUMIF(C2:C55,C43,AS2:AS55)&gt;1),1,"")))</f>
        <v/>
      </c>
      <c r="AV43" s="453" t="str">
        <f>IF(AT43=0,"",IF(AND(AT43=3,M43="F",SUMIF(C2:C55,C43,AS2:AS55)&lt;=1),SUMIF(C2:C55,C43,AS2:AS55),IF(AND(AT43=3,M43="F",SUMIF(C2:C55,C43,AS2:AS55)&gt;1),1,"")))</f>
        <v/>
      </c>
      <c r="AW43" s="453">
        <f>SUMIF(C2:C55,C43,O2:O55)</f>
        <v>0</v>
      </c>
      <c r="AX43" s="453">
        <f>IF(AND(M43="F",AS43&lt;&gt;0),SUMIF(C2:C55,C43,W2:W55),0)</f>
        <v>0</v>
      </c>
      <c r="AY43" s="453" t="str">
        <f t="shared" si="2"/>
        <v/>
      </c>
      <c r="AZ43" s="453" t="str">
        <f t="shared" si="3"/>
        <v/>
      </c>
      <c r="BA43" s="453">
        <f t="shared" si="4"/>
        <v>0</v>
      </c>
      <c r="BB43" s="453">
        <f>IF(AND(AT43=1,AK43="E",AU43&gt;=0.75,AW43=1),Health,IF(AND(AT43=1,AK43="E",AU43&gt;=0.75),Health*P43,IF(AND(AT43=1,AK43="E",AU43&gt;=0.5,AW43=1),PTHealth,IF(AND(AT43=1,AK43="E",AU43&gt;=0.5),PTHealth*P43,0))))</f>
        <v>0</v>
      </c>
      <c r="BC43" s="453">
        <f>IF(AND(AT43=3,AK43="E",AV43&gt;=0.75,AW43=1),Health,IF(AND(AT43=3,AK43="E",AV43&gt;=0.75),Health*P43,IF(AND(AT43=3,AK43="E",AV43&gt;=0.5,AW43=1),PTHealth,IF(AND(AT43=3,AK43="E",AV43&gt;=0.5),PTHealth*P43,0))))</f>
        <v>0</v>
      </c>
      <c r="BD43" s="453">
        <f>IF(AND(AT43&lt;&gt;0,AX43&gt;=MAXSSDI),SSDI*MAXSSDI*P43,IF(AT43&lt;&gt;0,SSDI*W43,0))</f>
        <v>0</v>
      </c>
      <c r="BE43" s="453">
        <f>IF(AT43&lt;&gt;0,SSHI*W43,0)</f>
        <v>0</v>
      </c>
      <c r="BF43" s="453">
        <f>IF(AND(AT43&lt;&gt;0,AN43&lt;&gt;"NE"),VLOOKUP(AN43,Retirement_Rates,3,FALSE)*W43,0)</f>
        <v>0</v>
      </c>
      <c r="BG43" s="453">
        <f>IF(AND(AT43&lt;&gt;0,AJ43&lt;&gt;"PF"),Life*W43,0)</f>
        <v>0</v>
      </c>
      <c r="BH43" s="453">
        <f>IF(AND(AT43&lt;&gt;0,AM43="Y"),UI*W43,0)</f>
        <v>0</v>
      </c>
      <c r="BI43" s="453">
        <f>IF(AND(AT43&lt;&gt;0,N43&lt;&gt;"NR"),DHR*W43,0)</f>
        <v>0</v>
      </c>
      <c r="BJ43" s="453">
        <f>IF(AT43&lt;&gt;0,WC*W43,0)</f>
        <v>0</v>
      </c>
      <c r="BK43" s="453">
        <f>IF(OR(AND(AT43&lt;&gt;0,AJ43&lt;&gt;"PF",AN43&lt;&gt;"NE",AG43&lt;&gt;"A"),AND(AL43="E",OR(AT43=1,AT43=3))),Sick*W43,0)</f>
        <v>0</v>
      </c>
      <c r="BL43" s="453">
        <f t="shared" si="5"/>
        <v>0</v>
      </c>
      <c r="BM43" s="453">
        <f t="shared" si="6"/>
        <v>0</v>
      </c>
      <c r="BN43" s="453">
        <f>IF(AND(AT43=1,AK43="E",AU43&gt;=0.75,AW43=1),HealthBY,IF(AND(AT43=1,AK43="E",AU43&gt;=0.75),HealthBY*P43,IF(AND(AT43=1,AK43="E",AU43&gt;=0.5,AW43=1),PTHealthBY,IF(AND(AT43=1,AK43="E",AU43&gt;=0.5),PTHealthBY*P43,0))))</f>
        <v>0</v>
      </c>
      <c r="BO43" s="453">
        <f>IF(AND(AT43=3,AK43="E",AV43&gt;=0.75,AW43=1),HealthBY,IF(AND(AT43=3,AK43="E",AV43&gt;=0.75),HealthBY*P43,IF(AND(AT43=3,AK43="E",AV43&gt;=0.5,AW43=1),PTHealthBY,IF(AND(AT43=3,AK43="E",AV43&gt;=0.5),PTHealthBY*P43,0))))</f>
        <v>0</v>
      </c>
      <c r="BP43" s="453">
        <f>IF(AND(AT43&lt;&gt;0,(AX43+BA43)&gt;=MAXSSDIBY),SSDIBY*MAXSSDIBY*P43,IF(AT43&lt;&gt;0,SSDIBY*W43,0))</f>
        <v>0</v>
      </c>
      <c r="BQ43" s="453">
        <f>IF(AT43&lt;&gt;0,SSHIBY*W43,0)</f>
        <v>0</v>
      </c>
      <c r="BR43" s="453">
        <f>IF(AND(AT43&lt;&gt;0,AN43&lt;&gt;"NE"),VLOOKUP(AN43,Retirement_Rates,4,FALSE)*W43,0)</f>
        <v>0</v>
      </c>
      <c r="BS43" s="453">
        <f>IF(AND(AT43&lt;&gt;0,AJ43&lt;&gt;"PF"),LifeBY*W43,0)</f>
        <v>0</v>
      </c>
      <c r="BT43" s="453">
        <f>IF(AND(AT43&lt;&gt;0,AM43="Y"),UIBY*W43,0)</f>
        <v>0</v>
      </c>
      <c r="BU43" s="453">
        <f>IF(AND(AT43&lt;&gt;0,N43&lt;&gt;"NR"),DHRBY*W43,0)</f>
        <v>0</v>
      </c>
      <c r="BV43" s="453">
        <f>IF(AT43&lt;&gt;0,WCBY*W43,0)</f>
        <v>0</v>
      </c>
      <c r="BW43" s="453">
        <f>IF(OR(AND(AT43&lt;&gt;0,AJ43&lt;&gt;"PF",AN43&lt;&gt;"NE",AG43&lt;&gt;"A"),AND(AL43="E",OR(AT43=1,AT43=3))),SickBY*W43,0)</f>
        <v>0</v>
      </c>
      <c r="BX43" s="453">
        <f t="shared" si="7"/>
        <v>0</v>
      </c>
      <c r="BY43" s="453">
        <f t="shared" si="8"/>
        <v>0</v>
      </c>
      <c r="BZ43" s="453">
        <f t="shared" si="9"/>
        <v>0</v>
      </c>
      <c r="CA43" s="453">
        <f t="shared" si="10"/>
        <v>0</v>
      </c>
      <c r="CB43" s="453">
        <f t="shared" si="11"/>
        <v>0</v>
      </c>
      <c r="CC43" s="453">
        <f>IF(AT43&lt;&gt;0,SSHICHG*Y43,0)</f>
        <v>0</v>
      </c>
      <c r="CD43" s="453">
        <f>IF(AND(AT43&lt;&gt;0,AN43&lt;&gt;"NE"),VLOOKUP(AN43,Retirement_Rates,5,FALSE)*Y43,0)</f>
        <v>0</v>
      </c>
      <c r="CE43" s="453">
        <f>IF(AND(AT43&lt;&gt;0,AJ43&lt;&gt;"PF"),LifeCHG*Y43,0)</f>
        <v>0</v>
      </c>
      <c r="CF43" s="453">
        <f>IF(AND(AT43&lt;&gt;0,AM43="Y"),UICHG*Y43,0)</f>
        <v>0</v>
      </c>
      <c r="CG43" s="453">
        <f>IF(AND(AT43&lt;&gt;0,N43&lt;&gt;"NR"),DHRCHG*Y43,0)</f>
        <v>0</v>
      </c>
      <c r="CH43" s="453">
        <f>IF(AT43&lt;&gt;0,WCCHG*Y43,0)</f>
        <v>0</v>
      </c>
      <c r="CI43" s="453">
        <f>IF(OR(AND(AT43&lt;&gt;0,AJ43&lt;&gt;"PF",AN43&lt;&gt;"NE",AG43&lt;&gt;"A"),AND(AL43="E",OR(AT43=1,AT43=3))),SickCHG*Y43,0)</f>
        <v>0</v>
      </c>
      <c r="CJ43" s="453">
        <f t="shared" si="12"/>
        <v>0</v>
      </c>
      <c r="CK43" s="453" t="str">
        <f t="shared" si="13"/>
        <v/>
      </c>
      <c r="CL43" s="453" t="str">
        <f t="shared" si="14"/>
        <v/>
      </c>
      <c r="CM43" s="453" t="str">
        <f t="shared" si="15"/>
        <v/>
      </c>
      <c r="CN43" s="453" t="str">
        <f t="shared" si="16"/>
        <v>0421-01</v>
      </c>
    </row>
    <row r="44" spans="1:92" ht="15" thickBot="1" x14ac:dyDescent="0.35">
      <c r="A44" s="368" t="s">
        <v>161</v>
      </c>
      <c r="B44" s="368" t="s">
        <v>162</v>
      </c>
      <c r="C44" s="368" t="s">
        <v>371</v>
      </c>
      <c r="D44" s="368" t="s">
        <v>372</v>
      </c>
      <c r="E44" s="368" t="s">
        <v>165</v>
      </c>
      <c r="F44" s="369" t="s">
        <v>166</v>
      </c>
      <c r="G44" s="368" t="s">
        <v>167</v>
      </c>
      <c r="H44" s="370"/>
      <c r="I44" s="370"/>
      <c r="J44" s="368" t="s">
        <v>168</v>
      </c>
      <c r="K44" s="368" t="s">
        <v>373</v>
      </c>
      <c r="L44" s="368" t="s">
        <v>260</v>
      </c>
      <c r="M44" s="368" t="s">
        <v>171</v>
      </c>
      <c r="N44" s="368" t="s">
        <v>172</v>
      </c>
      <c r="O44" s="371">
        <v>1</v>
      </c>
      <c r="P44" s="451">
        <v>1</v>
      </c>
      <c r="Q44" s="451">
        <v>1</v>
      </c>
      <c r="R44" s="372">
        <v>80</v>
      </c>
      <c r="S44" s="451">
        <v>1</v>
      </c>
      <c r="T44" s="372">
        <v>44067.48</v>
      </c>
      <c r="U44" s="372">
        <v>0</v>
      </c>
      <c r="V44" s="372">
        <v>21768.1</v>
      </c>
      <c r="W44" s="372">
        <v>49774.400000000001</v>
      </c>
      <c r="X44" s="372">
        <v>23501.75</v>
      </c>
      <c r="Y44" s="372">
        <v>49774.400000000001</v>
      </c>
      <c r="Z44" s="372">
        <v>23357.41</v>
      </c>
      <c r="AA44" s="368" t="s">
        <v>374</v>
      </c>
      <c r="AB44" s="368" t="s">
        <v>375</v>
      </c>
      <c r="AC44" s="368" t="s">
        <v>376</v>
      </c>
      <c r="AD44" s="368" t="s">
        <v>190</v>
      </c>
      <c r="AE44" s="368" t="s">
        <v>199</v>
      </c>
      <c r="AF44" s="368" t="s">
        <v>177</v>
      </c>
      <c r="AG44" s="368" t="s">
        <v>178</v>
      </c>
      <c r="AH44" s="373">
        <v>23.93</v>
      </c>
      <c r="AI44" s="373">
        <v>10182.200000000001</v>
      </c>
      <c r="AJ44" s="368" t="s">
        <v>179</v>
      </c>
      <c r="AK44" s="368" t="s">
        <v>180</v>
      </c>
      <c r="AL44" s="368" t="s">
        <v>181</v>
      </c>
      <c r="AM44" s="368" t="s">
        <v>182</v>
      </c>
      <c r="AN44" s="368" t="s">
        <v>68</v>
      </c>
      <c r="AO44" s="371">
        <v>80</v>
      </c>
      <c r="AP44" s="451">
        <v>1</v>
      </c>
      <c r="AQ44" s="451">
        <v>1</v>
      </c>
      <c r="AR44" s="449" t="s">
        <v>183</v>
      </c>
      <c r="AS44" s="453">
        <f t="shared" si="0"/>
        <v>1</v>
      </c>
      <c r="AT44">
        <f t="shared" si="1"/>
        <v>1</v>
      </c>
      <c r="AU44" s="453">
        <f>IF(AT44=0,"",IF(AND(AT44=1,M44="F",SUMIF(C2:C55,C44,AS2:AS55)&lt;=1),SUMIF(C2:C55,C44,AS2:AS55),IF(AND(AT44=1,M44="F",SUMIF(C2:C55,C44,AS2:AS55)&gt;1),1,"")))</f>
        <v>1</v>
      </c>
      <c r="AV44" s="453" t="str">
        <f>IF(AT44=0,"",IF(AND(AT44=3,M44="F",SUMIF(C2:C55,C44,AS2:AS55)&lt;=1),SUMIF(C2:C55,C44,AS2:AS55),IF(AND(AT44=3,M44="F",SUMIF(C2:C55,C44,AS2:AS55)&gt;1),1,"")))</f>
        <v/>
      </c>
      <c r="AW44" s="453">
        <f>SUMIF(C2:C55,C44,O2:O55)</f>
        <v>1</v>
      </c>
      <c r="AX44" s="453">
        <f>IF(AND(M44="F",AS44&lt;&gt;0),SUMIF(C2:C55,C44,W2:W55),0)</f>
        <v>49774.400000000001</v>
      </c>
      <c r="AY44" s="453">
        <f t="shared" si="2"/>
        <v>49774.400000000001</v>
      </c>
      <c r="AZ44" s="453" t="str">
        <f t="shared" si="3"/>
        <v/>
      </c>
      <c r="BA44" s="453">
        <f t="shared" si="4"/>
        <v>0</v>
      </c>
      <c r="BB44" s="453">
        <f>IF(AND(AT44=1,AK44="E",AU44&gt;=0.75,AW44=1),Health,IF(AND(AT44=1,AK44="E",AU44&gt;=0.75),Health*P44,IF(AND(AT44=1,AK44="E",AU44&gt;=0.5,AW44=1),PTHealth,IF(AND(AT44=1,AK44="E",AU44&gt;=0.5),PTHealth*P44,0))))</f>
        <v>11650</v>
      </c>
      <c r="BC44" s="453">
        <f>IF(AND(AT44=3,AK44="E",AV44&gt;=0.75,AW44=1),Health,IF(AND(AT44=3,AK44="E",AV44&gt;=0.75),Health*P44,IF(AND(AT44=3,AK44="E",AV44&gt;=0.5,AW44=1),PTHealth,IF(AND(AT44=3,AK44="E",AV44&gt;=0.5),PTHealth*P44,0))))</f>
        <v>0</v>
      </c>
      <c r="BD44" s="453">
        <f>IF(AND(AT44&lt;&gt;0,AX44&gt;=MAXSSDI),SSDI*MAXSSDI*P44,IF(AT44&lt;&gt;0,SSDI*W44,0))</f>
        <v>3086.0128</v>
      </c>
      <c r="BE44" s="453">
        <f>IF(AT44&lt;&gt;0,SSHI*W44,0)</f>
        <v>721.72880000000009</v>
      </c>
      <c r="BF44" s="453">
        <f>IF(AND(AT44&lt;&gt;0,AN44&lt;&gt;"NE"),VLOOKUP(AN44,Retirement_Rates,3,FALSE)*W44,0)</f>
        <v>5943.0633600000001</v>
      </c>
      <c r="BG44" s="453">
        <f>IF(AND(AT44&lt;&gt;0,AJ44&lt;&gt;"PF"),Life*W44,0)</f>
        <v>358.873424</v>
      </c>
      <c r="BH44" s="453">
        <f>IF(AND(AT44&lt;&gt;0,AM44="Y"),UI*W44,0)</f>
        <v>243.89456000000001</v>
      </c>
      <c r="BI44" s="453">
        <f>IF(AND(AT44&lt;&gt;0,N44&lt;&gt;"NR"),DHR*W44,0)</f>
        <v>0</v>
      </c>
      <c r="BJ44" s="453">
        <f>IF(AT44&lt;&gt;0,WC*W44,0)</f>
        <v>1498.2094399999999</v>
      </c>
      <c r="BK44" s="453">
        <f>IF(OR(AND(AT44&lt;&gt;0,AJ44&lt;&gt;"PF",AN44&lt;&gt;"NE",AG44&lt;&gt;"A"),AND(AL44="E",OR(AT44=1,AT44=3))),Sick*W44,0)</f>
        <v>0</v>
      </c>
      <c r="BL44" s="453">
        <f t="shared" si="5"/>
        <v>11851.782384000002</v>
      </c>
      <c r="BM44" s="453">
        <f t="shared" si="6"/>
        <v>0</v>
      </c>
      <c r="BN44" s="453">
        <f>IF(AND(AT44=1,AK44="E",AU44&gt;=0.75,AW44=1),HealthBY,IF(AND(AT44=1,AK44="E",AU44&gt;=0.75),HealthBY*P44,IF(AND(AT44=1,AK44="E",AU44&gt;=0.5,AW44=1),PTHealthBY,IF(AND(AT44=1,AK44="E",AU44&gt;=0.5),PTHealthBY*P44,0))))</f>
        <v>11650</v>
      </c>
      <c r="BO44" s="453">
        <f>IF(AND(AT44=3,AK44="E",AV44&gt;=0.75,AW44=1),HealthBY,IF(AND(AT44=3,AK44="E",AV44&gt;=0.75),HealthBY*P44,IF(AND(AT44=3,AK44="E",AV44&gt;=0.5,AW44=1),PTHealthBY,IF(AND(AT44=3,AK44="E",AV44&gt;=0.5),PTHealthBY*P44,0))))</f>
        <v>0</v>
      </c>
      <c r="BP44" s="453">
        <f>IF(AND(AT44&lt;&gt;0,(AX44+BA44)&gt;=MAXSSDIBY),SSDIBY*MAXSSDIBY*P44,IF(AT44&lt;&gt;0,SSDIBY*W44,0))</f>
        <v>3086.0128</v>
      </c>
      <c r="BQ44" s="453">
        <f>IF(AT44&lt;&gt;0,SSHIBY*W44,0)</f>
        <v>721.72880000000009</v>
      </c>
      <c r="BR44" s="453">
        <f>IF(AND(AT44&lt;&gt;0,AN44&lt;&gt;"NE"),VLOOKUP(AN44,Retirement_Rates,4,FALSE)*W44,0)</f>
        <v>5943.0633600000001</v>
      </c>
      <c r="BS44" s="453">
        <f>IF(AND(AT44&lt;&gt;0,AJ44&lt;&gt;"PF"),LifeBY*W44,0)</f>
        <v>358.873424</v>
      </c>
      <c r="BT44" s="453">
        <f>IF(AND(AT44&lt;&gt;0,AM44="Y"),UIBY*W44,0)</f>
        <v>0</v>
      </c>
      <c r="BU44" s="453">
        <f>IF(AND(AT44&lt;&gt;0,N44&lt;&gt;"NR"),DHRBY*W44,0)</f>
        <v>0</v>
      </c>
      <c r="BV44" s="453">
        <f>IF(AT44&lt;&gt;0,WCBY*W44,0)</f>
        <v>1597.7582399999999</v>
      </c>
      <c r="BW44" s="453">
        <f>IF(OR(AND(AT44&lt;&gt;0,AJ44&lt;&gt;"PF",AN44&lt;&gt;"NE",AG44&lt;&gt;"A"),AND(AL44="E",OR(AT44=1,AT44=3))),SickBY*W44,0)</f>
        <v>0</v>
      </c>
      <c r="BX44" s="453">
        <f t="shared" si="7"/>
        <v>11707.436624</v>
      </c>
      <c r="BY44" s="453">
        <f t="shared" si="8"/>
        <v>0</v>
      </c>
      <c r="BZ44" s="453">
        <f t="shared" si="9"/>
        <v>0</v>
      </c>
      <c r="CA44" s="453">
        <f t="shared" si="10"/>
        <v>0</v>
      </c>
      <c r="CB44" s="453">
        <f t="shared" si="11"/>
        <v>0</v>
      </c>
      <c r="CC44" s="453">
        <f>IF(AT44&lt;&gt;0,SSHICHG*Y44,0)</f>
        <v>0</v>
      </c>
      <c r="CD44" s="453">
        <f>IF(AND(AT44&lt;&gt;0,AN44&lt;&gt;"NE"),VLOOKUP(AN44,Retirement_Rates,5,FALSE)*Y44,0)</f>
        <v>0</v>
      </c>
      <c r="CE44" s="453">
        <f>IF(AND(AT44&lt;&gt;0,AJ44&lt;&gt;"PF"),LifeCHG*Y44,0)</f>
        <v>0</v>
      </c>
      <c r="CF44" s="453">
        <f>IF(AND(AT44&lt;&gt;0,AM44="Y"),UICHG*Y44,0)</f>
        <v>-243.89456000000001</v>
      </c>
      <c r="CG44" s="453">
        <f>IF(AND(AT44&lt;&gt;0,N44&lt;&gt;"NR"),DHRCHG*Y44,0)</f>
        <v>0</v>
      </c>
      <c r="CH44" s="453">
        <f>IF(AT44&lt;&gt;0,WCCHG*Y44,0)</f>
        <v>99.548799999999915</v>
      </c>
      <c r="CI44" s="453">
        <f>IF(OR(AND(AT44&lt;&gt;0,AJ44&lt;&gt;"PF",AN44&lt;&gt;"NE",AG44&lt;&gt;"A"),AND(AL44="E",OR(AT44=1,AT44=3))),SickCHG*Y44,0)</f>
        <v>0</v>
      </c>
      <c r="CJ44" s="453">
        <f t="shared" si="12"/>
        <v>-144.3457600000001</v>
      </c>
      <c r="CK44" s="453" t="str">
        <f t="shared" si="13"/>
        <v/>
      </c>
      <c r="CL44" s="453" t="str">
        <f t="shared" si="14"/>
        <v/>
      </c>
      <c r="CM44" s="453" t="str">
        <f t="shared" si="15"/>
        <v/>
      </c>
      <c r="CN44" s="453" t="str">
        <f t="shared" si="16"/>
        <v>0421-01</v>
      </c>
    </row>
    <row r="45" spans="1:92" ht="15" thickBot="1" x14ac:dyDescent="0.35">
      <c r="A45" s="368" t="s">
        <v>161</v>
      </c>
      <c r="B45" s="368" t="s">
        <v>162</v>
      </c>
      <c r="C45" s="368" t="s">
        <v>377</v>
      </c>
      <c r="D45" s="368" t="s">
        <v>206</v>
      </c>
      <c r="E45" s="368" t="s">
        <v>165</v>
      </c>
      <c r="F45" s="369" t="s">
        <v>166</v>
      </c>
      <c r="G45" s="368" t="s">
        <v>167</v>
      </c>
      <c r="H45" s="370"/>
      <c r="I45" s="370"/>
      <c r="J45" s="368" t="s">
        <v>168</v>
      </c>
      <c r="K45" s="368" t="s">
        <v>207</v>
      </c>
      <c r="L45" s="368" t="s">
        <v>200</v>
      </c>
      <c r="M45" s="368" t="s">
        <v>288</v>
      </c>
      <c r="N45" s="368" t="s">
        <v>172</v>
      </c>
      <c r="O45" s="371">
        <v>0</v>
      </c>
      <c r="P45" s="451">
        <v>1</v>
      </c>
      <c r="Q45" s="451">
        <v>1</v>
      </c>
      <c r="R45" s="372">
        <v>80</v>
      </c>
      <c r="S45" s="451">
        <v>1</v>
      </c>
      <c r="T45" s="372">
        <v>56052.6</v>
      </c>
      <c r="U45" s="372">
        <v>182.91</v>
      </c>
      <c r="V45" s="372">
        <v>21717.14</v>
      </c>
      <c r="W45" s="372">
        <v>26582.400000000001</v>
      </c>
      <c r="X45" s="372">
        <v>11643.09</v>
      </c>
      <c r="Y45" s="372">
        <v>26582.400000000001</v>
      </c>
      <c r="Z45" s="372">
        <v>11510.17</v>
      </c>
      <c r="AA45" s="370"/>
      <c r="AB45" s="368" t="s">
        <v>45</v>
      </c>
      <c r="AC45" s="368" t="s">
        <v>45</v>
      </c>
      <c r="AD45" s="370"/>
      <c r="AE45" s="370"/>
      <c r="AF45" s="370"/>
      <c r="AG45" s="370"/>
      <c r="AH45" s="371">
        <v>0</v>
      </c>
      <c r="AI45" s="371">
        <v>0</v>
      </c>
      <c r="AJ45" s="370"/>
      <c r="AK45" s="370"/>
      <c r="AL45" s="368" t="s">
        <v>181</v>
      </c>
      <c r="AM45" s="370"/>
      <c r="AN45" s="370"/>
      <c r="AO45" s="371">
        <v>0</v>
      </c>
      <c r="AP45" s="451">
        <v>0</v>
      </c>
      <c r="AQ45" s="451">
        <v>0</v>
      </c>
      <c r="AR45" s="450"/>
      <c r="AS45" s="453">
        <f t="shared" si="0"/>
        <v>0</v>
      </c>
      <c r="AT45">
        <f t="shared" si="1"/>
        <v>0</v>
      </c>
      <c r="AU45" s="453" t="str">
        <f>IF(AT45=0,"",IF(AND(AT45=1,M45="F",SUMIF(C2:C55,C45,AS2:AS55)&lt;=1),SUMIF(C2:C55,C45,AS2:AS55),IF(AND(AT45=1,M45="F",SUMIF(C2:C55,C45,AS2:AS55)&gt;1),1,"")))</f>
        <v/>
      </c>
      <c r="AV45" s="453" t="str">
        <f>IF(AT45=0,"",IF(AND(AT45=3,M45="F",SUMIF(C2:C55,C45,AS2:AS55)&lt;=1),SUMIF(C2:C55,C45,AS2:AS55),IF(AND(AT45=3,M45="F",SUMIF(C2:C55,C45,AS2:AS55)&gt;1),1,"")))</f>
        <v/>
      </c>
      <c r="AW45" s="453">
        <f>SUMIF(C2:C55,C45,O2:O55)</f>
        <v>0</v>
      </c>
      <c r="AX45" s="453">
        <f>IF(AND(M45="F",AS45&lt;&gt;0),SUMIF(C2:C55,C45,W2:W55),0)</f>
        <v>0</v>
      </c>
      <c r="AY45" s="453" t="str">
        <f t="shared" si="2"/>
        <v/>
      </c>
      <c r="AZ45" s="453" t="str">
        <f t="shared" si="3"/>
        <v/>
      </c>
      <c r="BA45" s="453">
        <f t="shared" si="4"/>
        <v>0</v>
      </c>
      <c r="BB45" s="453">
        <f>IF(AND(AT45=1,AK45="E",AU45&gt;=0.75,AW45=1),Health,IF(AND(AT45=1,AK45="E",AU45&gt;=0.75),Health*P45,IF(AND(AT45=1,AK45="E",AU45&gt;=0.5,AW45=1),PTHealth,IF(AND(AT45=1,AK45="E",AU45&gt;=0.5),PTHealth*P45,0))))</f>
        <v>0</v>
      </c>
      <c r="BC45" s="453">
        <f>IF(AND(AT45=3,AK45="E",AV45&gt;=0.75,AW45=1),Health,IF(AND(AT45=3,AK45="E",AV45&gt;=0.75),Health*P45,IF(AND(AT45=3,AK45="E",AV45&gt;=0.5,AW45=1),PTHealth,IF(AND(AT45=3,AK45="E",AV45&gt;=0.5),PTHealth*P45,0))))</f>
        <v>0</v>
      </c>
      <c r="BD45" s="453">
        <f>IF(AND(AT45&lt;&gt;0,AX45&gt;=MAXSSDI),SSDI*MAXSSDI*P45,IF(AT45&lt;&gt;0,SSDI*W45,0))</f>
        <v>0</v>
      </c>
      <c r="BE45" s="453">
        <f>IF(AT45&lt;&gt;0,SSHI*W45,0)</f>
        <v>0</v>
      </c>
      <c r="BF45" s="453">
        <f>IF(AND(AT45&lt;&gt;0,AN45&lt;&gt;"NE"),VLOOKUP(AN45,Retirement_Rates,3,FALSE)*W45,0)</f>
        <v>0</v>
      </c>
      <c r="BG45" s="453">
        <f>IF(AND(AT45&lt;&gt;0,AJ45&lt;&gt;"PF"),Life*W45,0)</f>
        <v>0</v>
      </c>
      <c r="BH45" s="453">
        <f>IF(AND(AT45&lt;&gt;0,AM45="Y"),UI*W45,0)</f>
        <v>0</v>
      </c>
      <c r="BI45" s="453">
        <f>IF(AND(AT45&lt;&gt;0,N45&lt;&gt;"NR"),DHR*W45,0)</f>
        <v>0</v>
      </c>
      <c r="BJ45" s="453">
        <f>IF(AT45&lt;&gt;0,WC*W45,0)</f>
        <v>0</v>
      </c>
      <c r="BK45" s="453">
        <f>IF(OR(AND(AT45&lt;&gt;0,AJ45&lt;&gt;"PF",AN45&lt;&gt;"NE",AG45&lt;&gt;"A"),AND(AL45="E",OR(AT45=1,AT45=3))),Sick*W45,0)</f>
        <v>0</v>
      </c>
      <c r="BL45" s="453">
        <f t="shared" si="5"/>
        <v>0</v>
      </c>
      <c r="BM45" s="453">
        <f t="shared" si="6"/>
        <v>0</v>
      </c>
      <c r="BN45" s="453">
        <f>IF(AND(AT45=1,AK45="E",AU45&gt;=0.75,AW45=1),HealthBY,IF(AND(AT45=1,AK45="E",AU45&gt;=0.75),HealthBY*P45,IF(AND(AT45=1,AK45="E",AU45&gt;=0.5,AW45=1),PTHealthBY,IF(AND(AT45=1,AK45="E",AU45&gt;=0.5),PTHealthBY*P45,0))))</f>
        <v>0</v>
      </c>
      <c r="BO45" s="453">
        <f>IF(AND(AT45=3,AK45="E",AV45&gt;=0.75,AW45=1),HealthBY,IF(AND(AT45=3,AK45="E",AV45&gt;=0.75),HealthBY*P45,IF(AND(AT45=3,AK45="E",AV45&gt;=0.5,AW45=1),PTHealthBY,IF(AND(AT45=3,AK45="E",AV45&gt;=0.5),PTHealthBY*P45,0))))</f>
        <v>0</v>
      </c>
      <c r="BP45" s="453">
        <f>IF(AND(AT45&lt;&gt;0,(AX45+BA45)&gt;=MAXSSDIBY),SSDIBY*MAXSSDIBY*P45,IF(AT45&lt;&gt;0,SSDIBY*W45,0))</f>
        <v>0</v>
      </c>
      <c r="BQ45" s="453">
        <f>IF(AT45&lt;&gt;0,SSHIBY*W45,0)</f>
        <v>0</v>
      </c>
      <c r="BR45" s="453">
        <f>IF(AND(AT45&lt;&gt;0,AN45&lt;&gt;"NE"),VLOOKUP(AN45,Retirement_Rates,4,FALSE)*W45,0)</f>
        <v>0</v>
      </c>
      <c r="BS45" s="453">
        <f>IF(AND(AT45&lt;&gt;0,AJ45&lt;&gt;"PF"),LifeBY*W45,0)</f>
        <v>0</v>
      </c>
      <c r="BT45" s="453">
        <f>IF(AND(AT45&lt;&gt;0,AM45="Y"),UIBY*W45,0)</f>
        <v>0</v>
      </c>
      <c r="BU45" s="453">
        <f>IF(AND(AT45&lt;&gt;0,N45&lt;&gt;"NR"),DHRBY*W45,0)</f>
        <v>0</v>
      </c>
      <c r="BV45" s="453">
        <f>IF(AT45&lt;&gt;0,WCBY*W45,0)</f>
        <v>0</v>
      </c>
      <c r="BW45" s="453">
        <f>IF(OR(AND(AT45&lt;&gt;0,AJ45&lt;&gt;"PF",AN45&lt;&gt;"NE",AG45&lt;&gt;"A"),AND(AL45="E",OR(AT45=1,AT45=3))),SickBY*W45,0)</f>
        <v>0</v>
      </c>
      <c r="BX45" s="453">
        <f t="shared" si="7"/>
        <v>0</v>
      </c>
      <c r="BY45" s="453">
        <f t="shared" si="8"/>
        <v>0</v>
      </c>
      <c r="BZ45" s="453">
        <f t="shared" si="9"/>
        <v>0</v>
      </c>
      <c r="CA45" s="453">
        <f t="shared" si="10"/>
        <v>0</v>
      </c>
      <c r="CB45" s="453">
        <f t="shared" si="11"/>
        <v>0</v>
      </c>
      <c r="CC45" s="453">
        <f>IF(AT45&lt;&gt;0,SSHICHG*Y45,0)</f>
        <v>0</v>
      </c>
      <c r="CD45" s="453">
        <f>IF(AND(AT45&lt;&gt;0,AN45&lt;&gt;"NE"),VLOOKUP(AN45,Retirement_Rates,5,FALSE)*Y45,0)</f>
        <v>0</v>
      </c>
      <c r="CE45" s="453">
        <f>IF(AND(AT45&lt;&gt;0,AJ45&lt;&gt;"PF"),LifeCHG*Y45,0)</f>
        <v>0</v>
      </c>
      <c r="CF45" s="453">
        <f>IF(AND(AT45&lt;&gt;0,AM45="Y"),UICHG*Y45,0)</f>
        <v>0</v>
      </c>
      <c r="CG45" s="453">
        <f>IF(AND(AT45&lt;&gt;0,N45&lt;&gt;"NR"),DHRCHG*Y45,0)</f>
        <v>0</v>
      </c>
      <c r="CH45" s="453">
        <f>IF(AT45&lt;&gt;0,WCCHG*Y45,0)</f>
        <v>0</v>
      </c>
      <c r="CI45" s="453">
        <f>IF(OR(AND(AT45&lt;&gt;0,AJ45&lt;&gt;"PF",AN45&lt;&gt;"NE",AG45&lt;&gt;"A"),AND(AL45="E",OR(AT45=1,AT45=3))),SickCHG*Y45,0)</f>
        <v>0</v>
      </c>
      <c r="CJ45" s="453">
        <f t="shared" si="12"/>
        <v>0</v>
      </c>
      <c r="CK45" s="453" t="str">
        <f t="shared" si="13"/>
        <v/>
      </c>
      <c r="CL45" s="453" t="str">
        <f t="shared" si="14"/>
        <v/>
      </c>
      <c r="CM45" s="453" t="str">
        <f t="shared" si="15"/>
        <v/>
      </c>
      <c r="CN45" s="453" t="str">
        <f t="shared" si="16"/>
        <v>0421-01</v>
      </c>
    </row>
    <row r="46" spans="1:92" ht="15" thickBot="1" x14ac:dyDescent="0.35">
      <c r="A46" s="368" t="s">
        <v>161</v>
      </c>
      <c r="B46" s="368" t="s">
        <v>162</v>
      </c>
      <c r="C46" s="368" t="s">
        <v>378</v>
      </c>
      <c r="D46" s="368" t="s">
        <v>164</v>
      </c>
      <c r="E46" s="368" t="s">
        <v>165</v>
      </c>
      <c r="F46" s="369" t="s">
        <v>166</v>
      </c>
      <c r="G46" s="368" t="s">
        <v>167</v>
      </c>
      <c r="H46" s="370"/>
      <c r="I46" s="370"/>
      <c r="J46" s="368" t="s">
        <v>168</v>
      </c>
      <c r="K46" s="368" t="s">
        <v>291</v>
      </c>
      <c r="L46" s="368" t="s">
        <v>260</v>
      </c>
      <c r="M46" s="368" t="s">
        <v>171</v>
      </c>
      <c r="N46" s="368" t="s">
        <v>172</v>
      </c>
      <c r="O46" s="371">
        <v>1</v>
      </c>
      <c r="P46" s="451">
        <v>1</v>
      </c>
      <c r="Q46" s="451">
        <v>1</v>
      </c>
      <c r="R46" s="372">
        <v>80</v>
      </c>
      <c r="S46" s="451">
        <v>1</v>
      </c>
      <c r="T46" s="372">
        <v>47950.82</v>
      </c>
      <c r="U46" s="372">
        <v>0</v>
      </c>
      <c r="V46" s="372">
        <v>22458.5</v>
      </c>
      <c r="W46" s="372">
        <v>50169.599999999999</v>
      </c>
      <c r="X46" s="372">
        <v>23595.86</v>
      </c>
      <c r="Y46" s="372">
        <v>50169.599999999999</v>
      </c>
      <c r="Z46" s="372">
        <v>23450.37</v>
      </c>
      <c r="AA46" s="368" t="s">
        <v>379</v>
      </c>
      <c r="AB46" s="368" t="s">
        <v>380</v>
      </c>
      <c r="AC46" s="368" t="s">
        <v>381</v>
      </c>
      <c r="AD46" s="368" t="s">
        <v>190</v>
      </c>
      <c r="AE46" s="368" t="s">
        <v>291</v>
      </c>
      <c r="AF46" s="368" t="s">
        <v>296</v>
      </c>
      <c r="AG46" s="368" t="s">
        <v>178</v>
      </c>
      <c r="AH46" s="373">
        <v>24.12</v>
      </c>
      <c r="AI46" s="373">
        <v>5695.5</v>
      </c>
      <c r="AJ46" s="368" t="s">
        <v>179</v>
      </c>
      <c r="AK46" s="368" t="s">
        <v>180</v>
      </c>
      <c r="AL46" s="368" t="s">
        <v>181</v>
      </c>
      <c r="AM46" s="368" t="s">
        <v>182</v>
      </c>
      <c r="AN46" s="368" t="s">
        <v>68</v>
      </c>
      <c r="AO46" s="371">
        <v>80</v>
      </c>
      <c r="AP46" s="451">
        <v>1</v>
      </c>
      <c r="AQ46" s="451">
        <v>1</v>
      </c>
      <c r="AR46" s="449" t="s">
        <v>183</v>
      </c>
      <c r="AS46" s="453">
        <f t="shared" si="0"/>
        <v>1</v>
      </c>
      <c r="AT46">
        <f t="shared" si="1"/>
        <v>1</v>
      </c>
      <c r="AU46" s="453">
        <f>IF(AT46=0,"",IF(AND(AT46=1,M46="F",SUMIF(C2:C55,C46,AS2:AS55)&lt;=1),SUMIF(C2:C55,C46,AS2:AS55),IF(AND(AT46=1,M46="F",SUMIF(C2:C55,C46,AS2:AS55)&gt;1),1,"")))</f>
        <v>1</v>
      </c>
      <c r="AV46" s="453" t="str">
        <f>IF(AT46=0,"",IF(AND(AT46=3,M46="F",SUMIF(C2:C55,C46,AS2:AS55)&lt;=1),SUMIF(C2:C55,C46,AS2:AS55),IF(AND(AT46=3,M46="F",SUMIF(C2:C55,C46,AS2:AS55)&gt;1),1,"")))</f>
        <v/>
      </c>
      <c r="AW46" s="453">
        <f>SUMIF(C2:C55,C46,O2:O55)</f>
        <v>1</v>
      </c>
      <c r="AX46" s="453">
        <f>IF(AND(M46="F",AS46&lt;&gt;0),SUMIF(C2:C55,C46,W2:W55),0)</f>
        <v>50169.599999999999</v>
      </c>
      <c r="AY46" s="453">
        <f t="shared" si="2"/>
        <v>50169.599999999999</v>
      </c>
      <c r="AZ46" s="453" t="str">
        <f t="shared" si="3"/>
        <v/>
      </c>
      <c r="BA46" s="453">
        <f t="shared" si="4"/>
        <v>0</v>
      </c>
      <c r="BB46" s="453">
        <f>IF(AND(AT46=1,AK46="E",AU46&gt;=0.75,AW46=1),Health,IF(AND(AT46=1,AK46="E",AU46&gt;=0.75),Health*P46,IF(AND(AT46=1,AK46="E",AU46&gt;=0.5,AW46=1),PTHealth,IF(AND(AT46=1,AK46="E",AU46&gt;=0.5),PTHealth*P46,0))))</f>
        <v>11650</v>
      </c>
      <c r="BC46" s="453">
        <f>IF(AND(AT46=3,AK46="E",AV46&gt;=0.75,AW46=1),Health,IF(AND(AT46=3,AK46="E",AV46&gt;=0.75),Health*P46,IF(AND(AT46=3,AK46="E",AV46&gt;=0.5,AW46=1),PTHealth,IF(AND(AT46=3,AK46="E",AV46&gt;=0.5),PTHealth*P46,0))))</f>
        <v>0</v>
      </c>
      <c r="BD46" s="453">
        <f>IF(AND(AT46&lt;&gt;0,AX46&gt;=MAXSSDI),SSDI*MAXSSDI*P46,IF(AT46&lt;&gt;0,SSDI*W46,0))</f>
        <v>3110.5151999999998</v>
      </c>
      <c r="BE46" s="453">
        <f>IF(AT46&lt;&gt;0,SSHI*W46,0)</f>
        <v>727.45920000000001</v>
      </c>
      <c r="BF46" s="453">
        <f>IF(AND(AT46&lt;&gt;0,AN46&lt;&gt;"NE"),VLOOKUP(AN46,Retirement_Rates,3,FALSE)*W46,0)</f>
        <v>5990.2502400000003</v>
      </c>
      <c r="BG46" s="453">
        <f>IF(AND(AT46&lt;&gt;0,AJ46&lt;&gt;"PF"),Life*W46,0)</f>
        <v>361.72281600000002</v>
      </c>
      <c r="BH46" s="453">
        <f>IF(AND(AT46&lt;&gt;0,AM46="Y"),UI*W46,0)</f>
        <v>245.83103999999997</v>
      </c>
      <c r="BI46" s="453">
        <f>IF(AND(AT46&lt;&gt;0,N46&lt;&gt;"NR"),DHR*W46,0)</f>
        <v>0</v>
      </c>
      <c r="BJ46" s="453">
        <f>IF(AT46&lt;&gt;0,WC*W46,0)</f>
        <v>1510.1049599999999</v>
      </c>
      <c r="BK46" s="453">
        <f>IF(OR(AND(AT46&lt;&gt;0,AJ46&lt;&gt;"PF",AN46&lt;&gt;"NE",AG46&lt;&gt;"A"),AND(AL46="E",OR(AT46=1,AT46=3))),Sick*W46,0)</f>
        <v>0</v>
      </c>
      <c r="BL46" s="453">
        <f t="shared" si="5"/>
        <v>11945.883456</v>
      </c>
      <c r="BM46" s="453">
        <f t="shared" si="6"/>
        <v>0</v>
      </c>
      <c r="BN46" s="453">
        <f>IF(AND(AT46=1,AK46="E",AU46&gt;=0.75,AW46=1),HealthBY,IF(AND(AT46=1,AK46="E",AU46&gt;=0.75),HealthBY*P46,IF(AND(AT46=1,AK46="E",AU46&gt;=0.5,AW46=1),PTHealthBY,IF(AND(AT46=1,AK46="E",AU46&gt;=0.5),PTHealthBY*P46,0))))</f>
        <v>11650</v>
      </c>
      <c r="BO46" s="453">
        <f>IF(AND(AT46=3,AK46="E",AV46&gt;=0.75,AW46=1),HealthBY,IF(AND(AT46=3,AK46="E",AV46&gt;=0.75),HealthBY*P46,IF(AND(AT46=3,AK46="E",AV46&gt;=0.5,AW46=1),PTHealthBY,IF(AND(AT46=3,AK46="E",AV46&gt;=0.5),PTHealthBY*P46,0))))</f>
        <v>0</v>
      </c>
      <c r="BP46" s="453">
        <f>IF(AND(AT46&lt;&gt;0,(AX46+BA46)&gt;=MAXSSDIBY),SSDIBY*MAXSSDIBY*P46,IF(AT46&lt;&gt;0,SSDIBY*W46,0))</f>
        <v>3110.5151999999998</v>
      </c>
      <c r="BQ46" s="453">
        <f>IF(AT46&lt;&gt;0,SSHIBY*W46,0)</f>
        <v>727.45920000000001</v>
      </c>
      <c r="BR46" s="453">
        <f>IF(AND(AT46&lt;&gt;0,AN46&lt;&gt;"NE"),VLOOKUP(AN46,Retirement_Rates,4,FALSE)*W46,0)</f>
        <v>5990.2502400000003</v>
      </c>
      <c r="BS46" s="453">
        <f>IF(AND(AT46&lt;&gt;0,AJ46&lt;&gt;"PF"),LifeBY*W46,0)</f>
        <v>361.72281600000002</v>
      </c>
      <c r="BT46" s="453">
        <f>IF(AND(AT46&lt;&gt;0,AM46="Y"),UIBY*W46,0)</f>
        <v>0</v>
      </c>
      <c r="BU46" s="453">
        <f>IF(AND(AT46&lt;&gt;0,N46&lt;&gt;"NR"),DHRBY*W46,0)</f>
        <v>0</v>
      </c>
      <c r="BV46" s="453">
        <f>IF(AT46&lt;&gt;0,WCBY*W46,0)</f>
        <v>1610.4441599999998</v>
      </c>
      <c r="BW46" s="453">
        <f>IF(OR(AND(AT46&lt;&gt;0,AJ46&lt;&gt;"PF",AN46&lt;&gt;"NE",AG46&lt;&gt;"A"),AND(AL46="E",OR(AT46=1,AT46=3))),SickBY*W46,0)</f>
        <v>0</v>
      </c>
      <c r="BX46" s="453">
        <f t="shared" si="7"/>
        <v>11800.391615999999</v>
      </c>
      <c r="BY46" s="453">
        <f t="shared" si="8"/>
        <v>0</v>
      </c>
      <c r="BZ46" s="453">
        <f t="shared" si="9"/>
        <v>0</v>
      </c>
      <c r="CA46" s="453">
        <f t="shared" si="10"/>
        <v>0</v>
      </c>
      <c r="CB46" s="453">
        <f t="shared" si="11"/>
        <v>0</v>
      </c>
      <c r="CC46" s="453">
        <f>IF(AT46&lt;&gt;0,SSHICHG*Y46,0)</f>
        <v>0</v>
      </c>
      <c r="CD46" s="453">
        <f>IF(AND(AT46&lt;&gt;0,AN46&lt;&gt;"NE"),VLOOKUP(AN46,Retirement_Rates,5,FALSE)*Y46,0)</f>
        <v>0</v>
      </c>
      <c r="CE46" s="453">
        <f>IF(AND(AT46&lt;&gt;0,AJ46&lt;&gt;"PF"),LifeCHG*Y46,0)</f>
        <v>0</v>
      </c>
      <c r="CF46" s="453">
        <f>IF(AND(AT46&lt;&gt;0,AM46="Y"),UICHG*Y46,0)</f>
        <v>-245.83103999999997</v>
      </c>
      <c r="CG46" s="453">
        <f>IF(AND(AT46&lt;&gt;0,N46&lt;&gt;"NR"),DHRCHG*Y46,0)</f>
        <v>0</v>
      </c>
      <c r="CH46" s="453">
        <f>IF(AT46&lt;&gt;0,WCCHG*Y46,0)</f>
        <v>100.33919999999991</v>
      </c>
      <c r="CI46" s="453">
        <f>IF(OR(AND(AT46&lt;&gt;0,AJ46&lt;&gt;"PF",AN46&lt;&gt;"NE",AG46&lt;&gt;"A"),AND(AL46="E",OR(AT46=1,AT46=3))),SickCHG*Y46,0)</f>
        <v>0</v>
      </c>
      <c r="CJ46" s="453">
        <f t="shared" si="12"/>
        <v>-145.49184000000008</v>
      </c>
      <c r="CK46" s="453" t="str">
        <f t="shared" si="13"/>
        <v/>
      </c>
      <c r="CL46" s="453" t="str">
        <f t="shared" si="14"/>
        <v/>
      </c>
      <c r="CM46" s="453" t="str">
        <f t="shared" si="15"/>
        <v/>
      </c>
      <c r="CN46" s="453" t="str">
        <f t="shared" si="16"/>
        <v>0421-01</v>
      </c>
    </row>
    <row r="47" spans="1:92" ht="15" thickBot="1" x14ac:dyDescent="0.35">
      <c r="A47" s="368" t="s">
        <v>161</v>
      </c>
      <c r="B47" s="368" t="s">
        <v>162</v>
      </c>
      <c r="C47" s="368" t="s">
        <v>382</v>
      </c>
      <c r="D47" s="368" t="s">
        <v>349</v>
      </c>
      <c r="E47" s="368" t="s">
        <v>165</v>
      </c>
      <c r="F47" s="369" t="s">
        <v>166</v>
      </c>
      <c r="G47" s="368" t="s">
        <v>167</v>
      </c>
      <c r="H47" s="370"/>
      <c r="I47" s="370"/>
      <c r="J47" s="368" t="s">
        <v>168</v>
      </c>
      <c r="K47" s="368" t="s">
        <v>383</v>
      </c>
      <c r="L47" s="368" t="s">
        <v>178</v>
      </c>
      <c r="M47" s="368" t="s">
        <v>288</v>
      </c>
      <c r="N47" s="368" t="s">
        <v>172</v>
      </c>
      <c r="O47" s="371">
        <v>0</v>
      </c>
      <c r="P47" s="451">
        <v>1</v>
      </c>
      <c r="Q47" s="451">
        <v>1</v>
      </c>
      <c r="R47" s="372">
        <v>80</v>
      </c>
      <c r="S47" s="451">
        <v>1</v>
      </c>
      <c r="T47" s="372">
        <v>29430.11</v>
      </c>
      <c r="U47" s="372">
        <v>0</v>
      </c>
      <c r="V47" s="372">
        <v>18021.099999999999</v>
      </c>
      <c r="W47" s="372">
        <v>30347.200000000001</v>
      </c>
      <c r="X47" s="372">
        <v>13292.07</v>
      </c>
      <c r="Y47" s="372">
        <v>30347.200000000001</v>
      </c>
      <c r="Z47" s="372">
        <v>13140.33</v>
      </c>
      <c r="AA47" s="370"/>
      <c r="AB47" s="368" t="s">
        <v>45</v>
      </c>
      <c r="AC47" s="368" t="s">
        <v>45</v>
      </c>
      <c r="AD47" s="370"/>
      <c r="AE47" s="370"/>
      <c r="AF47" s="370"/>
      <c r="AG47" s="370"/>
      <c r="AH47" s="371">
        <v>0</v>
      </c>
      <c r="AI47" s="371">
        <v>0</v>
      </c>
      <c r="AJ47" s="370"/>
      <c r="AK47" s="370"/>
      <c r="AL47" s="368" t="s">
        <v>181</v>
      </c>
      <c r="AM47" s="370"/>
      <c r="AN47" s="370"/>
      <c r="AO47" s="371">
        <v>0</v>
      </c>
      <c r="AP47" s="451">
        <v>0</v>
      </c>
      <c r="AQ47" s="451">
        <v>0</v>
      </c>
      <c r="AR47" s="450"/>
      <c r="AS47" s="453">
        <f t="shared" si="0"/>
        <v>0</v>
      </c>
      <c r="AT47">
        <f t="shared" si="1"/>
        <v>0</v>
      </c>
      <c r="AU47" s="453" t="str">
        <f>IF(AT47=0,"",IF(AND(AT47=1,M47="F",SUMIF(C2:C55,C47,AS2:AS55)&lt;=1),SUMIF(C2:C55,C47,AS2:AS55),IF(AND(AT47=1,M47="F",SUMIF(C2:C55,C47,AS2:AS55)&gt;1),1,"")))</f>
        <v/>
      </c>
      <c r="AV47" s="453" t="str">
        <f>IF(AT47=0,"",IF(AND(AT47=3,M47="F",SUMIF(C2:C55,C47,AS2:AS55)&lt;=1),SUMIF(C2:C55,C47,AS2:AS55),IF(AND(AT47=3,M47="F",SUMIF(C2:C55,C47,AS2:AS55)&gt;1),1,"")))</f>
        <v/>
      </c>
      <c r="AW47" s="453">
        <f>SUMIF(C2:C55,C47,O2:O55)</f>
        <v>0</v>
      </c>
      <c r="AX47" s="453">
        <f>IF(AND(M47="F",AS47&lt;&gt;0),SUMIF(C2:C55,C47,W2:W55),0)</f>
        <v>0</v>
      </c>
      <c r="AY47" s="453" t="str">
        <f t="shared" si="2"/>
        <v/>
      </c>
      <c r="AZ47" s="453" t="str">
        <f t="shared" si="3"/>
        <v/>
      </c>
      <c r="BA47" s="453">
        <f t="shared" si="4"/>
        <v>0</v>
      </c>
      <c r="BB47" s="453">
        <f>IF(AND(AT47=1,AK47="E",AU47&gt;=0.75,AW47=1),Health,IF(AND(AT47=1,AK47="E",AU47&gt;=0.75),Health*P47,IF(AND(AT47=1,AK47="E",AU47&gt;=0.5,AW47=1),PTHealth,IF(AND(AT47=1,AK47="E",AU47&gt;=0.5),PTHealth*P47,0))))</f>
        <v>0</v>
      </c>
      <c r="BC47" s="453">
        <f>IF(AND(AT47=3,AK47="E",AV47&gt;=0.75,AW47=1),Health,IF(AND(AT47=3,AK47="E",AV47&gt;=0.75),Health*P47,IF(AND(AT47=3,AK47="E",AV47&gt;=0.5,AW47=1),PTHealth,IF(AND(AT47=3,AK47="E",AV47&gt;=0.5),PTHealth*P47,0))))</f>
        <v>0</v>
      </c>
      <c r="BD47" s="453">
        <f>IF(AND(AT47&lt;&gt;0,AX47&gt;=MAXSSDI),SSDI*MAXSSDI*P47,IF(AT47&lt;&gt;0,SSDI*W47,0))</f>
        <v>0</v>
      </c>
      <c r="BE47" s="453">
        <f>IF(AT47&lt;&gt;0,SSHI*W47,0)</f>
        <v>0</v>
      </c>
      <c r="BF47" s="453">
        <f>IF(AND(AT47&lt;&gt;0,AN47&lt;&gt;"NE"),VLOOKUP(AN47,Retirement_Rates,3,FALSE)*W47,0)</f>
        <v>0</v>
      </c>
      <c r="BG47" s="453">
        <f>IF(AND(AT47&lt;&gt;0,AJ47&lt;&gt;"PF"),Life*W47,0)</f>
        <v>0</v>
      </c>
      <c r="BH47" s="453">
        <f>IF(AND(AT47&lt;&gt;0,AM47="Y"),UI*W47,0)</f>
        <v>0</v>
      </c>
      <c r="BI47" s="453">
        <f>IF(AND(AT47&lt;&gt;0,N47&lt;&gt;"NR"),DHR*W47,0)</f>
        <v>0</v>
      </c>
      <c r="BJ47" s="453">
        <f>IF(AT47&lt;&gt;0,WC*W47,0)</f>
        <v>0</v>
      </c>
      <c r="BK47" s="453">
        <f>IF(OR(AND(AT47&lt;&gt;0,AJ47&lt;&gt;"PF",AN47&lt;&gt;"NE",AG47&lt;&gt;"A"),AND(AL47="E",OR(AT47=1,AT47=3))),Sick*W47,0)</f>
        <v>0</v>
      </c>
      <c r="BL47" s="453">
        <f t="shared" si="5"/>
        <v>0</v>
      </c>
      <c r="BM47" s="453">
        <f t="shared" si="6"/>
        <v>0</v>
      </c>
      <c r="BN47" s="453">
        <f>IF(AND(AT47=1,AK47="E",AU47&gt;=0.75,AW47=1),HealthBY,IF(AND(AT47=1,AK47="E",AU47&gt;=0.75),HealthBY*P47,IF(AND(AT47=1,AK47="E",AU47&gt;=0.5,AW47=1),PTHealthBY,IF(AND(AT47=1,AK47="E",AU47&gt;=0.5),PTHealthBY*P47,0))))</f>
        <v>0</v>
      </c>
      <c r="BO47" s="453">
        <f>IF(AND(AT47=3,AK47="E",AV47&gt;=0.75,AW47=1),HealthBY,IF(AND(AT47=3,AK47="E",AV47&gt;=0.75),HealthBY*P47,IF(AND(AT47=3,AK47="E",AV47&gt;=0.5,AW47=1),PTHealthBY,IF(AND(AT47=3,AK47="E",AV47&gt;=0.5),PTHealthBY*P47,0))))</f>
        <v>0</v>
      </c>
      <c r="BP47" s="453">
        <f>IF(AND(AT47&lt;&gt;0,(AX47+BA47)&gt;=MAXSSDIBY),SSDIBY*MAXSSDIBY*P47,IF(AT47&lt;&gt;0,SSDIBY*W47,0))</f>
        <v>0</v>
      </c>
      <c r="BQ47" s="453">
        <f>IF(AT47&lt;&gt;0,SSHIBY*W47,0)</f>
        <v>0</v>
      </c>
      <c r="BR47" s="453">
        <f>IF(AND(AT47&lt;&gt;0,AN47&lt;&gt;"NE"),VLOOKUP(AN47,Retirement_Rates,4,FALSE)*W47,0)</f>
        <v>0</v>
      </c>
      <c r="BS47" s="453">
        <f>IF(AND(AT47&lt;&gt;0,AJ47&lt;&gt;"PF"),LifeBY*W47,0)</f>
        <v>0</v>
      </c>
      <c r="BT47" s="453">
        <f>IF(AND(AT47&lt;&gt;0,AM47="Y"),UIBY*W47,0)</f>
        <v>0</v>
      </c>
      <c r="BU47" s="453">
        <f>IF(AND(AT47&lt;&gt;0,N47&lt;&gt;"NR"),DHRBY*W47,0)</f>
        <v>0</v>
      </c>
      <c r="BV47" s="453">
        <f>IF(AT47&lt;&gt;0,WCBY*W47,0)</f>
        <v>0</v>
      </c>
      <c r="BW47" s="453">
        <f>IF(OR(AND(AT47&lt;&gt;0,AJ47&lt;&gt;"PF",AN47&lt;&gt;"NE",AG47&lt;&gt;"A"),AND(AL47="E",OR(AT47=1,AT47=3))),SickBY*W47,0)</f>
        <v>0</v>
      </c>
      <c r="BX47" s="453">
        <f t="shared" si="7"/>
        <v>0</v>
      </c>
      <c r="BY47" s="453">
        <f t="shared" si="8"/>
        <v>0</v>
      </c>
      <c r="BZ47" s="453">
        <f t="shared" si="9"/>
        <v>0</v>
      </c>
      <c r="CA47" s="453">
        <f t="shared" si="10"/>
        <v>0</v>
      </c>
      <c r="CB47" s="453">
        <f t="shared" si="11"/>
        <v>0</v>
      </c>
      <c r="CC47" s="453">
        <f>IF(AT47&lt;&gt;0,SSHICHG*Y47,0)</f>
        <v>0</v>
      </c>
      <c r="CD47" s="453">
        <f>IF(AND(AT47&lt;&gt;0,AN47&lt;&gt;"NE"),VLOOKUP(AN47,Retirement_Rates,5,FALSE)*Y47,0)</f>
        <v>0</v>
      </c>
      <c r="CE47" s="453">
        <f>IF(AND(AT47&lt;&gt;0,AJ47&lt;&gt;"PF"),LifeCHG*Y47,0)</f>
        <v>0</v>
      </c>
      <c r="CF47" s="453">
        <f>IF(AND(AT47&lt;&gt;0,AM47="Y"),UICHG*Y47,0)</f>
        <v>0</v>
      </c>
      <c r="CG47" s="453">
        <f>IF(AND(AT47&lt;&gt;0,N47&lt;&gt;"NR"),DHRCHG*Y47,0)</f>
        <v>0</v>
      </c>
      <c r="CH47" s="453">
        <f>IF(AT47&lt;&gt;0,WCCHG*Y47,0)</f>
        <v>0</v>
      </c>
      <c r="CI47" s="453">
        <f>IF(OR(AND(AT47&lt;&gt;0,AJ47&lt;&gt;"PF",AN47&lt;&gt;"NE",AG47&lt;&gt;"A"),AND(AL47="E",OR(AT47=1,AT47=3))),SickCHG*Y47,0)</f>
        <v>0</v>
      </c>
      <c r="CJ47" s="453">
        <f t="shared" si="12"/>
        <v>0</v>
      </c>
      <c r="CK47" s="453" t="str">
        <f t="shared" si="13"/>
        <v/>
      </c>
      <c r="CL47" s="453" t="str">
        <f t="shared" si="14"/>
        <v/>
      </c>
      <c r="CM47" s="453" t="str">
        <f t="shared" si="15"/>
        <v/>
      </c>
      <c r="CN47" s="453" t="str">
        <f t="shared" si="16"/>
        <v>0421-01</v>
      </c>
    </row>
    <row r="48" spans="1:92" ht="15" thickBot="1" x14ac:dyDescent="0.35">
      <c r="A48" s="368" t="s">
        <v>161</v>
      </c>
      <c r="B48" s="368" t="s">
        <v>162</v>
      </c>
      <c r="C48" s="368" t="s">
        <v>384</v>
      </c>
      <c r="D48" s="368" t="s">
        <v>198</v>
      </c>
      <c r="E48" s="368" t="s">
        <v>165</v>
      </c>
      <c r="F48" s="369" t="s">
        <v>166</v>
      </c>
      <c r="G48" s="368" t="s">
        <v>167</v>
      </c>
      <c r="H48" s="370"/>
      <c r="I48" s="370"/>
      <c r="J48" s="368" t="s">
        <v>228</v>
      </c>
      <c r="K48" s="368" t="s">
        <v>366</v>
      </c>
      <c r="L48" s="368" t="s">
        <v>200</v>
      </c>
      <c r="M48" s="368" t="s">
        <v>171</v>
      </c>
      <c r="N48" s="368" t="s">
        <v>172</v>
      </c>
      <c r="O48" s="371">
        <v>1</v>
      </c>
      <c r="P48" s="451">
        <v>1</v>
      </c>
      <c r="Q48" s="451">
        <v>1</v>
      </c>
      <c r="R48" s="372">
        <v>80</v>
      </c>
      <c r="S48" s="451">
        <v>1</v>
      </c>
      <c r="T48" s="372">
        <v>25536.76</v>
      </c>
      <c r="U48" s="372">
        <v>0</v>
      </c>
      <c r="V48" s="372">
        <v>13077.48</v>
      </c>
      <c r="W48" s="372">
        <v>50960</v>
      </c>
      <c r="X48" s="372">
        <v>23784.05</v>
      </c>
      <c r="Y48" s="372">
        <v>50960</v>
      </c>
      <c r="Z48" s="372">
        <v>23636.25</v>
      </c>
      <c r="AA48" s="368" t="s">
        <v>385</v>
      </c>
      <c r="AB48" s="368" t="s">
        <v>386</v>
      </c>
      <c r="AC48" s="368" t="s">
        <v>242</v>
      </c>
      <c r="AD48" s="368" t="s">
        <v>387</v>
      </c>
      <c r="AE48" s="368" t="s">
        <v>366</v>
      </c>
      <c r="AF48" s="368" t="s">
        <v>177</v>
      </c>
      <c r="AG48" s="368" t="s">
        <v>178</v>
      </c>
      <c r="AH48" s="373">
        <v>24.5</v>
      </c>
      <c r="AI48" s="371">
        <v>1040</v>
      </c>
      <c r="AJ48" s="368" t="s">
        <v>179</v>
      </c>
      <c r="AK48" s="368" t="s">
        <v>180</v>
      </c>
      <c r="AL48" s="368" t="s">
        <v>181</v>
      </c>
      <c r="AM48" s="368" t="s">
        <v>182</v>
      </c>
      <c r="AN48" s="368" t="s">
        <v>68</v>
      </c>
      <c r="AO48" s="371">
        <v>80</v>
      </c>
      <c r="AP48" s="451">
        <v>1</v>
      </c>
      <c r="AQ48" s="451">
        <v>1</v>
      </c>
      <c r="AR48" s="449" t="s">
        <v>183</v>
      </c>
      <c r="AS48" s="453">
        <f t="shared" si="0"/>
        <v>1</v>
      </c>
      <c r="AT48">
        <f t="shared" si="1"/>
        <v>1</v>
      </c>
      <c r="AU48" s="453">
        <f>IF(AT48=0,"",IF(AND(AT48=1,M48="F",SUMIF(C2:C55,C48,AS2:AS55)&lt;=1),SUMIF(C2:C55,C48,AS2:AS55),IF(AND(AT48=1,M48="F",SUMIF(C2:C55,C48,AS2:AS55)&gt;1),1,"")))</f>
        <v>1</v>
      </c>
      <c r="AV48" s="453" t="str">
        <f>IF(AT48=0,"",IF(AND(AT48=3,M48="F",SUMIF(C2:C55,C48,AS2:AS55)&lt;=1),SUMIF(C2:C55,C48,AS2:AS55),IF(AND(AT48=3,M48="F",SUMIF(C2:C55,C48,AS2:AS55)&gt;1),1,"")))</f>
        <v/>
      </c>
      <c r="AW48" s="453">
        <f>SUMIF(C2:C55,C48,O2:O55)</f>
        <v>1</v>
      </c>
      <c r="AX48" s="453">
        <f>IF(AND(M48="F",AS48&lt;&gt;0),SUMIF(C2:C55,C48,W2:W55),0)</f>
        <v>50960</v>
      </c>
      <c r="AY48" s="453">
        <f t="shared" si="2"/>
        <v>50960</v>
      </c>
      <c r="AZ48" s="453" t="str">
        <f t="shared" si="3"/>
        <v/>
      </c>
      <c r="BA48" s="453">
        <f t="shared" si="4"/>
        <v>0</v>
      </c>
      <c r="BB48" s="453">
        <f>IF(AND(AT48=1,AK48="E",AU48&gt;=0.75,AW48=1),Health,IF(AND(AT48=1,AK48="E",AU48&gt;=0.75),Health*P48,IF(AND(AT48=1,AK48="E",AU48&gt;=0.5,AW48=1),PTHealth,IF(AND(AT48=1,AK48="E",AU48&gt;=0.5),PTHealth*P48,0))))</f>
        <v>11650</v>
      </c>
      <c r="BC48" s="453">
        <f>IF(AND(AT48=3,AK48="E",AV48&gt;=0.75,AW48=1),Health,IF(AND(AT48=3,AK48="E",AV48&gt;=0.75),Health*P48,IF(AND(AT48=3,AK48="E",AV48&gt;=0.5,AW48=1),PTHealth,IF(AND(AT48=3,AK48="E",AV48&gt;=0.5),PTHealth*P48,0))))</f>
        <v>0</v>
      </c>
      <c r="BD48" s="453">
        <f>IF(AND(AT48&lt;&gt;0,AX48&gt;=MAXSSDI),SSDI*MAXSSDI*P48,IF(AT48&lt;&gt;0,SSDI*W48,0))</f>
        <v>3159.52</v>
      </c>
      <c r="BE48" s="453">
        <f>IF(AT48&lt;&gt;0,SSHI*W48,0)</f>
        <v>738.92000000000007</v>
      </c>
      <c r="BF48" s="453">
        <f>IF(AND(AT48&lt;&gt;0,AN48&lt;&gt;"NE"),VLOOKUP(AN48,Retirement_Rates,3,FALSE)*W48,0)</f>
        <v>6084.6240000000007</v>
      </c>
      <c r="BG48" s="453">
        <f>IF(AND(AT48&lt;&gt;0,AJ48&lt;&gt;"PF"),Life*W48,0)</f>
        <v>367.42160000000001</v>
      </c>
      <c r="BH48" s="453">
        <f>IF(AND(AT48&lt;&gt;0,AM48="Y"),UI*W48,0)</f>
        <v>249.70399999999998</v>
      </c>
      <c r="BI48" s="453">
        <f>IF(AND(AT48&lt;&gt;0,N48&lt;&gt;"NR"),DHR*W48,0)</f>
        <v>0</v>
      </c>
      <c r="BJ48" s="453">
        <f>IF(AT48&lt;&gt;0,WC*W48,0)</f>
        <v>1533.896</v>
      </c>
      <c r="BK48" s="453">
        <f>IF(OR(AND(AT48&lt;&gt;0,AJ48&lt;&gt;"PF",AN48&lt;&gt;"NE",AG48&lt;&gt;"A"),AND(AL48="E",OR(AT48=1,AT48=3))),Sick*W48,0)</f>
        <v>0</v>
      </c>
      <c r="BL48" s="453">
        <f t="shared" si="5"/>
        <v>12134.0856</v>
      </c>
      <c r="BM48" s="453">
        <f t="shared" si="6"/>
        <v>0</v>
      </c>
      <c r="BN48" s="453">
        <f>IF(AND(AT48=1,AK48="E",AU48&gt;=0.75,AW48=1),HealthBY,IF(AND(AT48=1,AK48="E",AU48&gt;=0.75),HealthBY*P48,IF(AND(AT48=1,AK48="E",AU48&gt;=0.5,AW48=1),PTHealthBY,IF(AND(AT48=1,AK48="E",AU48&gt;=0.5),PTHealthBY*P48,0))))</f>
        <v>11650</v>
      </c>
      <c r="BO48" s="453">
        <f>IF(AND(AT48=3,AK48="E",AV48&gt;=0.75,AW48=1),HealthBY,IF(AND(AT48=3,AK48="E",AV48&gt;=0.75),HealthBY*P48,IF(AND(AT48=3,AK48="E",AV48&gt;=0.5,AW48=1),PTHealthBY,IF(AND(AT48=3,AK48="E",AV48&gt;=0.5),PTHealthBY*P48,0))))</f>
        <v>0</v>
      </c>
      <c r="BP48" s="453">
        <f>IF(AND(AT48&lt;&gt;0,(AX48+BA48)&gt;=MAXSSDIBY),SSDIBY*MAXSSDIBY*P48,IF(AT48&lt;&gt;0,SSDIBY*W48,0))</f>
        <v>3159.52</v>
      </c>
      <c r="BQ48" s="453">
        <f>IF(AT48&lt;&gt;0,SSHIBY*W48,0)</f>
        <v>738.92000000000007</v>
      </c>
      <c r="BR48" s="453">
        <f>IF(AND(AT48&lt;&gt;0,AN48&lt;&gt;"NE"),VLOOKUP(AN48,Retirement_Rates,4,FALSE)*W48,0)</f>
        <v>6084.6240000000007</v>
      </c>
      <c r="BS48" s="453">
        <f>IF(AND(AT48&lt;&gt;0,AJ48&lt;&gt;"PF"),LifeBY*W48,0)</f>
        <v>367.42160000000001</v>
      </c>
      <c r="BT48" s="453">
        <f>IF(AND(AT48&lt;&gt;0,AM48="Y"),UIBY*W48,0)</f>
        <v>0</v>
      </c>
      <c r="BU48" s="453">
        <f>IF(AND(AT48&lt;&gt;0,N48&lt;&gt;"NR"),DHRBY*W48,0)</f>
        <v>0</v>
      </c>
      <c r="BV48" s="453">
        <f>IF(AT48&lt;&gt;0,WCBY*W48,0)</f>
        <v>1635.8159999999998</v>
      </c>
      <c r="BW48" s="453">
        <f>IF(OR(AND(AT48&lt;&gt;0,AJ48&lt;&gt;"PF",AN48&lt;&gt;"NE",AG48&lt;&gt;"A"),AND(AL48="E",OR(AT48=1,AT48=3))),SickBY*W48,0)</f>
        <v>0</v>
      </c>
      <c r="BX48" s="453">
        <f t="shared" si="7"/>
        <v>11986.301599999999</v>
      </c>
      <c r="BY48" s="453">
        <f t="shared" si="8"/>
        <v>0</v>
      </c>
      <c r="BZ48" s="453">
        <f t="shared" si="9"/>
        <v>0</v>
      </c>
      <c r="CA48" s="453">
        <f t="shared" si="10"/>
        <v>0</v>
      </c>
      <c r="CB48" s="453">
        <f t="shared" si="11"/>
        <v>0</v>
      </c>
      <c r="CC48" s="453">
        <f>IF(AT48&lt;&gt;0,SSHICHG*Y48,0)</f>
        <v>0</v>
      </c>
      <c r="CD48" s="453">
        <f>IF(AND(AT48&lt;&gt;0,AN48&lt;&gt;"NE"),VLOOKUP(AN48,Retirement_Rates,5,FALSE)*Y48,0)</f>
        <v>0</v>
      </c>
      <c r="CE48" s="453">
        <f>IF(AND(AT48&lt;&gt;0,AJ48&lt;&gt;"PF"),LifeCHG*Y48,0)</f>
        <v>0</v>
      </c>
      <c r="CF48" s="453">
        <f>IF(AND(AT48&lt;&gt;0,AM48="Y"),UICHG*Y48,0)</f>
        <v>-249.70399999999998</v>
      </c>
      <c r="CG48" s="453">
        <f>IF(AND(AT48&lt;&gt;0,N48&lt;&gt;"NR"),DHRCHG*Y48,0)</f>
        <v>0</v>
      </c>
      <c r="CH48" s="453">
        <f>IF(AT48&lt;&gt;0,WCCHG*Y48,0)</f>
        <v>101.91999999999992</v>
      </c>
      <c r="CI48" s="453">
        <f>IF(OR(AND(AT48&lt;&gt;0,AJ48&lt;&gt;"PF",AN48&lt;&gt;"NE",AG48&lt;&gt;"A"),AND(AL48="E",OR(AT48=1,AT48=3))),SickCHG*Y48,0)</f>
        <v>0</v>
      </c>
      <c r="CJ48" s="453">
        <f t="shared" si="12"/>
        <v>-147.78400000000005</v>
      </c>
      <c r="CK48" s="453" t="str">
        <f t="shared" si="13"/>
        <v/>
      </c>
      <c r="CL48" s="453" t="str">
        <f t="shared" si="14"/>
        <v/>
      </c>
      <c r="CM48" s="453" t="str">
        <f t="shared" si="15"/>
        <v/>
      </c>
      <c r="CN48" s="453" t="str">
        <f t="shared" si="16"/>
        <v>0421-01</v>
      </c>
    </row>
    <row r="49" spans="1:92" ht="15" thickBot="1" x14ac:dyDescent="0.35">
      <c r="A49" s="368" t="s">
        <v>161</v>
      </c>
      <c r="B49" s="368" t="s">
        <v>162</v>
      </c>
      <c r="C49" s="368" t="s">
        <v>388</v>
      </c>
      <c r="D49" s="368" t="s">
        <v>389</v>
      </c>
      <c r="E49" s="368" t="s">
        <v>165</v>
      </c>
      <c r="F49" s="369" t="s">
        <v>166</v>
      </c>
      <c r="G49" s="368" t="s">
        <v>167</v>
      </c>
      <c r="H49" s="370"/>
      <c r="I49" s="370"/>
      <c r="J49" s="368" t="s">
        <v>168</v>
      </c>
      <c r="K49" s="368" t="s">
        <v>390</v>
      </c>
      <c r="L49" s="368" t="s">
        <v>391</v>
      </c>
      <c r="M49" s="368" t="s">
        <v>288</v>
      </c>
      <c r="N49" s="368" t="s">
        <v>172</v>
      </c>
      <c r="O49" s="371">
        <v>0</v>
      </c>
      <c r="P49" s="451">
        <v>1</v>
      </c>
      <c r="Q49" s="451">
        <v>1</v>
      </c>
      <c r="R49" s="372">
        <v>80</v>
      </c>
      <c r="S49" s="451">
        <v>1</v>
      </c>
      <c r="T49" s="372">
        <v>2516.66</v>
      </c>
      <c r="U49" s="372">
        <v>0</v>
      </c>
      <c r="V49" s="372">
        <v>1138.6600000000001</v>
      </c>
      <c r="W49" s="372">
        <v>37960</v>
      </c>
      <c r="X49" s="372">
        <v>16626.48</v>
      </c>
      <c r="Y49" s="372">
        <v>37960</v>
      </c>
      <c r="Z49" s="372">
        <v>16436.68</v>
      </c>
      <c r="AA49" s="370"/>
      <c r="AB49" s="368" t="s">
        <v>45</v>
      </c>
      <c r="AC49" s="368" t="s">
        <v>45</v>
      </c>
      <c r="AD49" s="370"/>
      <c r="AE49" s="370"/>
      <c r="AF49" s="370"/>
      <c r="AG49" s="370"/>
      <c r="AH49" s="371">
        <v>0</v>
      </c>
      <c r="AI49" s="371">
        <v>0</v>
      </c>
      <c r="AJ49" s="370"/>
      <c r="AK49" s="370"/>
      <c r="AL49" s="368" t="s">
        <v>181</v>
      </c>
      <c r="AM49" s="370"/>
      <c r="AN49" s="370"/>
      <c r="AO49" s="371">
        <v>0</v>
      </c>
      <c r="AP49" s="451">
        <v>0</v>
      </c>
      <c r="AQ49" s="451">
        <v>0</v>
      </c>
      <c r="AR49" s="450"/>
      <c r="AS49" s="453">
        <f t="shared" si="0"/>
        <v>0</v>
      </c>
      <c r="AT49">
        <f t="shared" si="1"/>
        <v>0</v>
      </c>
      <c r="AU49" s="453" t="str">
        <f>IF(AT49=0,"",IF(AND(AT49=1,M49="F",SUMIF(C2:C55,C49,AS2:AS55)&lt;=1),SUMIF(C2:C55,C49,AS2:AS55),IF(AND(AT49=1,M49="F",SUMIF(C2:C55,C49,AS2:AS55)&gt;1),1,"")))</f>
        <v/>
      </c>
      <c r="AV49" s="453" t="str">
        <f>IF(AT49=0,"",IF(AND(AT49=3,M49="F",SUMIF(C2:C55,C49,AS2:AS55)&lt;=1),SUMIF(C2:C55,C49,AS2:AS55),IF(AND(AT49=3,M49="F",SUMIF(C2:C55,C49,AS2:AS55)&gt;1),1,"")))</f>
        <v/>
      </c>
      <c r="AW49" s="453">
        <f>SUMIF(C2:C55,C49,O2:O55)</f>
        <v>0</v>
      </c>
      <c r="AX49" s="453">
        <f>IF(AND(M49="F",AS49&lt;&gt;0),SUMIF(C2:C55,C49,W2:W55),0)</f>
        <v>0</v>
      </c>
      <c r="AY49" s="453" t="str">
        <f t="shared" si="2"/>
        <v/>
      </c>
      <c r="AZ49" s="453" t="str">
        <f t="shared" si="3"/>
        <v/>
      </c>
      <c r="BA49" s="453">
        <f t="shared" si="4"/>
        <v>0</v>
      </c>
      <c r="BB49" s="453">
        <f>IF(AND(AT49=1,AK49="E",AU49&gt;=0.75,AW49=1),Health,IF(AND(AT49=1,AK49="E",AU49&gt;=0.75),Health*P49,IF(AND(AT49=1,AK49="E",AU49&gt;=0.5,AW49=1),PTHealth,IF(AND(AT49=1,AK49="E",AU49&gt;=0.5),PTHealth*P49,0))))</f>
        <v>0</v>
      </c>
      <c r="BC49" s="453">
        <f>IF(AND(AT49=3,AK49="E",AV49&gt;=0.75,AW49=1),Health,IF(AND(AT49=3,AK49="E",AV49&gt;=0.75),Health*P49,IF(AND(AT49=3,AK49="E",AV49&gt;=0.5,AW49=1),PTHealth,IF(AND(AT49=3,AK49="E",AV49&gt;=0.5),PTHealth*P49,0))))</f>
        <v>0</v>
      </c>
      <c r="BD49" s="453">
        <f>IF(AND(AT49&lt;&gt;0,AX49&gt;=MAXSSDI),SSDI*MAXSSDI*P49,IF(AT49&lt;&gt;0,SSDI*W49,0))</f>
        <v>0</v>
      </c>
      <c r="BE49" s="453">
        <f>IF(AT49&lt;&gt;0,SSHI*W49,0)</f>
        <v>0</v>
      </c>
      <c r="BF49" s="453">
        <f>IF(AND(AT49&lt;&gt;0,AN49&lt;&gt;"NE"),VLOOKUP(AN49,Retirement_Rates,3,FALSE)*W49,0)</f>
        <v>0</v>
      </c>
      <c r="BG49" s="453">
        <f>IF(AND(AT49&lt;&gt;0,AJ49&lt;&gt;"PF"),Life*W49,0)</f>
        <v>0</v>
      </c>
      <c r="BH49" s="453">
        <f>IF(AND(AT49&lt;&gt;0,AM49="Y"),UI*W49,0)</f>
        <v>0</v>
      </c>
      <c r="BI49" s="453">
        <f>IF(AND(AT49&lt;&gt;0,N49&lt;&gt;"NR"),DHR*W49,0)</f>
        <v>0</v>
      </c>
      <c r="BJ49" s="453">
        <f>IF(AT49&lt;&gt;0,WC*W49,0)</f>
        <v>0</v>
      </c>
      <c r="BK49" s="453">
        <f>IF(OR(AND(AT49&lt;&gt;0,AJ49&lt;&gt;"PF",AN49&lt;&gt;"NE",AG49&lt;&gt;"A"),AND(AL49="E",OR(AT49=1,AT49=3))),Sick*W49,0)</f>
        <v>0</v>
      </c>
      <c r="BL49" s="453">
        <f t="shared" si="5"/>
        <v>0</v>
      </c>
      <c r="BM49" s="453">
        <f t="shared" si="6"/>
        <v>0</v>
      </c>
      <c r="BN49" s="453">
        <f>IF(AND(AT49=1,AK49="E",AU49&gt;=0.75,AW49=1),HealthBY,IF(AND(AT49=1,AK49="E",AU49&gt;=0.75),HealthBY*P49,IF(AND(AT49=1,AK49="E",AU49&gt;=0.5,AW49=1),PTHealthBY,IF(AND(AT49=1,AK49="E",AU49&gt;=0.5),PTHealthBY*P49,0))))</f>
        <v>0</v>
      </c>
      <c r="BO49" s="453">
        <f>IF(AND(AT49=3,AK49="E",AV49&gt;=0.75,AW49=1),HealthBY,IF(AND(AT49=3,AK49="E",AV49&gt;=0.75),HealthBY*P49,IF(AND(AT49=3,AK49="E",AV49&gt;=0.5,AW49=1),PTHealthBY,IF(AND(AT49=3,AK49="E",AV49&gt;=0.5),PTHealthBY*P49,0))))</f>
        <v>0</v>
      </c>
      <c r="BP49" s="453">
        <f>IF(AND(AT49&lt;&gt;0,(AX49+BA49)&gt;=MAXSSDIBY),SSDIBY*MAXSSDIBY*P49,IF(AT49&lt;&gt;0,SSDIBY*W49,0))</f>
        <v>0</v>
      </c>
      <c r="BQ49" s="453">
        <f>IF(AT49&lt;&gt;0,SSHIBY*W49,0)</f>
        <v>0</v>
      </c>
      <c r="BR49" s="453">
        <f>IF(AND(AT49&lt;&gt;0,AN49&lt;&gt;"NE"),VLOOKUP(AN49,Retirement_Rates,4,FALSE)*W49,0)</f>
        <v>0</v>
      </c>
      <c r="BS49" s="453">
        <f>IF(AND(AT49&lt;&gt;0,AJ49&lt;&gt;"PF"),LifeBY*W49,0)</f>
        <v>0</v>
      </c>
      <c r="BT49" s="453">
        <f>IF(AND(AT49&lt;&gt;0,AM49="Y"),UIBY*W49,0)</f>
        <v>0</v>
      </c>
      <c r="BU49" s="453">
        <f>IF(AND(AT49&lt;&gt;0,N49&lt;&gt;"NR"),DHRBY*W49,0)</f>
        <v>0</v>
      </c>
      <c r="BV49" s="453">
        <f>IF(AT49&lt;&gt;0,WCBY*W49,0)</f>
        <v>0</v>
      </c>
      <c r="BW49" s="453">
        <f>IF(OR(AND(AT49&lt;&gt;0,AJ49&lt;&gt;"PF",AN49&lt;&gt;"NE",AG49&lt;&gt;"A"),AND(AL49="E",OR(AT49=1,AT49=3))),SickBY*W49,0)</f>
        <v>0</v>
      </c>
      <c r="BX49" s="453">
        <f t="shared" si="7"/>
        <v>0</v>
      </c>
      <c r="BY49" s="453">
        <f t="shared" si="8"/>
        <v>0</v>
      </c>
      <c r="BZ49" s="453">
        <f t="shared" si="9"/>
        <v>0</v>
      </c>
      <c r="CA49" s="453">
        <f t="shared" si="10"/>
        <v>0</v>
      </c>
      <c r="CB49" s="453">
        <f t="shared" si="11"/>
        <v>0</v>
      </c>
      <c r="CC49" s="453">
        <f>IF(AT49&lt;&gt;0,SSHICHG*Y49,0)</f>
        <v>0</v>
      </c>
      <c r="CD49" s="453">
        <f>IF(AND(AT49&lt;&gt;0,AN49&lt;&gt;"NE"),VLOOKUP(AN49,Retirement_Rates,5,FALSE)*Y49,0)</f>
        <v>0</v>
      </c>
      <c r="CE49" s="453">
        <f>IF(AND(AT49&lt;&gt;0,AJ49&lt;&gt;"PF"),LifeCHG*Y49,0)</f>
        <v>0</v>
      </c>
      <c r="CF49" s="453">
        <f>IF(AND(AT49&lt;&gt;0,AM49="Y"),UICHG*Y49,0)</f>
        <v>0</v>
      </c>
      <c r="CG49" s="453">
        <f>IF(AND(AT49&lt;&gt;0,N49&lt;&gt;"NR"),DHRCHG*Y49,0)</f>
        <v>0</v>
      </c>
      <c r="CH49" s="453">
        <f>IF(AT49&lt;&gt;0,WCCHG*Y49,0)</f>
        <v>0</v>
      </c>
      <c r="CI49" s="453">
        <f>IF(OR(AND(AT49&lt;&gt;0,AJ49&lt;&gt;"PF",AN49&lt;&gt;"NE",AG49&lt;&gt;"A"),AND(AL49="E",OR(AT49=1,AT49=3))),SickCHG*Y49,0)</f>
        <v>0</v>
      </c>
      <c r="CJ49" s="453">
        <f t="shared" si="12"/>
        <v>0</v>
      </c>
      <c r="CK49" s="453" t="str">
        <f t="shared" si="13"/>
        <v/>
      </c>
      <c r="CL49" s="453" t="str">
        <f t="shared" si="14"/>
        <v/>
      </c>
      <c r="CM49" s="453" t="str">
        <f t="shared" si="15"/>
        <v/>
      </c>
      <c r="CN49" s="453" t="str">
        <f t="shared" si="16"/>
        <v>0421-01</v>
      </c>
    </row>
    <row r="50" spans="1:92" ht="15" thickBot="1" x14ac:dyDescent="0.35">
      <c r="A50" s="368" t="s">
        <v>161</v>
      </c>
      <c r="B50" s="368" t="s">
        <v>162</v>
      </c>
      <c r="C50" s="368" t="s">
        <v>392</v>
      </c>
      <c r="D50" s="368" t="s">
        <v>198</v>
      </c>
      <c r="E50" s="368" t="s">
        <v>165</v>
      </c>
      <c r="F50" s="369" t="s">
        <v>166</v>
      </c>
      <c r="G50" s="368" t="s">
        <v>167</v>
      </c>
      <c r="H50" s="370"/>
      <c r="I50" s="370"/>
      <c r="J50" s="368" t="s">
        <v>168</v>
      </c>
      <c r="K50" s="368" t="s">
        <v>366</v>
      </c>
      <c r="L50" s="368" t="s">
        <v>200</v>
      </c>
      <c r="M50" s="368" t="s">
        <v>171</v>
      </c>
      <c r="N50" s="368" t="s">
        <v>172</v>
      </c>
      <c r="O50" s="371">
        <v>1</v>
      </c>
      <c r="P50" s="451">
        <v>1</v>
      </c>
      <c r="Q50" s="451">
        <v>1</v>
      </c>
      <c r="R50" s="372">
        <v>80</v>
      </c>
      <c r="S50" s="451">
        <v>1</v>
      </c>
      <c r="T50" s="372">
        <v>38590.5</v>
      </c>
      <c r="U50" s="372">
        <v>0</v>
      </c>
      <c r="V50" s="372">
        <v>16800.490000000002</v>
      </c>
      <c r="W50" s="372">
        <v>56534.400000000001</v>
      </c>
      <c r="X50" s="372">
        <v>25111.37</v>
      </c>
      <c r="Y50" s="372">
        <v>56534.400000000001</v>
      </c>
      <c r="Z50" s="372">
        <v>24947.43</v>
      </c>
      <c r="AA50" s="368" t="s">
        <v>393</v>
      </c>
      <c r="AB50" s="368" t="s">
        <v>394</v>
      </c>
      <c r="AC50" s="368" t="s">
        <v>395</v>
      </c>
      <c r="AD50" s="368" t="s">
        <v>396</v>
      </c>
      <c r="AE50" s="368" t="s">
        <v>366</v>
      </c>
      <c r="AF50" s="368" t="s">
        <v>177</v>
      </c>
      <c r="AG50" s="368" t="s">
        <v>178</v>
      </c>
      <c r="AH50" s="373">
        <v>27.18</v>
      </c>
      <c r="AI50" s="373">
        <v>13984.4</v>
      </c>
      <c r="AJ50" s="368" t="s">
        <v>179</v>
      </c>
      <c r="AK50" s="368" t="s">
        <v>180</v>
      </c>
      <c r="AL50" s="368" t="s">
        <v>181</v>
      </c>
      <c r="AM50" s="368" t="s">
        <v>182</v>
      </c>
      <c r="AN50" s="368" t="s">
        <v>68</v>
      </c>
      <c r="AO50" s="371">
        <v>80</v>
      </c>
      <c r="AP50" s="451">
        <v>1</v>
      </c>
      <c r="AQ50" s="451">
        <v>1</v>
      </c>
      <c r="AR50" s="449" t="s">
        <v>183</v>
      </c>
      <c r="AS50" s="453">
        <f t="shared" si="0"/>
        <v>1</v>
      </c>
      <c r="AT50">
        <f t="shared" si="1"/>
        <v>1</v>
      </c>
      <c r="AU50" s="453">
        <f>IF(AT50=0,"",IF(AND(AT50=1,M50="F",SUMIF(C2:C55,C50,AS2:AS55)&lt;=1),SUMIF(C2:C55,C50,AS2:AS55),IF(AND(AT50=1,M50="F",SUMIF(C2:C55,C50,AS2:AS55)&gt;1),1,"")))</f>
        <v>1</v>
      </c>
      <c r="AV50" s="453" t="str">
        <f>IF(AT50=0,"",IF(AND(AT50=3,M50="F",SUMIF(C2:C55,C50,AS2:AS55)&lt;=1),SUMIF(C2:C55,C50,AS2:AS55),IF(AND(AT50=3,M50="F",SUMIF(C2:C55,C50,AS2:AS55)&gt;1),1,"")))</f>
        <v/>
      </c>
      <c r="AW50" s="453">
        <f>SUMIF(C2:C55,C50,O2:O55)</f>
        <v>1</v>
      </c>
      <c r="AX50" s="453">
        <f>IF(AND(M50="F",AS50&lt;&gt;0),SUMIF(C2:C55,C50,W2:W55),0)</f>
        <v>56534.400000000001</v>
      </c>
      <c r="AY50" s="453">
        <f t="shared" si="2"/>
        <v>56534.400000000001</v>
      </c>
      <c r="AZ50" s="453" t="str">
        <f t="shared" si="3"/>
        <v/>
      </c>
      <c r="BA50" s="453">
        <f t="shared" si="4"/>
        <v>0</v>
      </c>
      <c r="BB50" s="453">
        <f>IF(AND(AT50=1,AK50="E",AU50&gt;=0.75,AW50=1),Health,IF(AND(AT50=1,AK50="E",AU50&gt;=0.75),Health*P50,IF(AND(AT50=1,AK50="E",AU50&gt;=0.5,AW50=1),PTHealth,IF(AND(AT50=1,AK50="E",AU50&gt;=0.5),PTHealth*P50,0))))</f>
        <v>11650</v>
      </c>
      <c r="BC50" s="453">
        <f>IF(AND(AT50=3,AK50="E",AV50&gt;=0.75,AW50=1),Health,IF(AND(AT50=3,AK50="E",AV50&gt;=0.75),Health*P50,IF(AND(AT50=3,AK50="E",AV50&gt;=0.5,AW50=1),PTHealth,IF(AND(AT50=3,AK50="E",AV50&gt;=0.5),PTHealth*P50,0))))</f>
        <v>0</v>
      </c>
      <c r="BD50" s="453">
        <f>IF(AND(AT50&lt;&gt;0,AX50&gt;=MAXSSDI),SSDI*MAXSSDI*P50,IF(AT50&lt;&gt;0,SSDI*W50,0))</f>
        <v>3505.1327999999999</v>
      </c>
      <c r="BE50" s="453">
        <f>IF(AT50&lt;&gt;0,SSHI*W50,0)</f>
        <v>819.74880000000007</v>
      </c>
      <c r="BF50" s="453">
        <f>IF(AND(AT50&lt;&gt;0,AN50&lt;&gt;"NE"),VLOOKUP(AN50,Retirement_Rates,3,FALSE)*W50,0)</f>
        <v>6750.2073600000003</v>
      </c>
      <c r="BG50" s="453">
        <f>IF(AND(AT50&lt;&gt;0,AJ50&lt;&gt;"PF"),Life*W50,0)</f>
        <v>407.61302400000005</v>
      </c>
      <c r="BH50" s="453">
        <f>IF(AND(AT50&lt;&gt;0,AM50="Y"),UI*W50,0)</f>
        <v>277.01855999999998</v>
      </c>
      <c r="BI50" s="453">
        <f>IF(AND(AT50&lt;&gt;0,N50&lt;&gt;"NR"),DHR*W50,0)</f>
        <v>0</v>
      </c>
      <c r="BJ50" s="453">
        <f>IF(AT50&lt;&gt;0,WC*W50,0)</f>
        <v>1701.68544</v>
      </c>
      <c r="BK50" s="453">
        <f>IF(OR(AND(AT50&lt;&gt;0,AJ50&lt;&gt;"PF",AN50&lt;&gt;"NE",AG50&lt;&gt;"A"),AND(AL50="E",OR(AT50=1,AT50=3))),Sick*W50,0)</f>
        <v>0</v>
      </c>
      <c r="BL50" s="453">
        <f t="shared" si="5"/>
        <v>13461.405984000001</v>
      </c>
      <c r="BM50" s="453">
        <f t="shared" si="6"/>
        <v>0</v>
      </c>
      <c r="BN50" s="453">
        <f>IF(AND(AT50=1,AK50="E",AU50&gt;=0.75,AW50=1),HealthBY,IF(AND(AT50=1,AK50="E",AU50&gt;=0.75),HealthBY*P50,IF(AND(AT50=1,AK50="E",AU50&gt;=0.5,AW50=1),PTHealthBY,IF(AND(AT50=1,AK50="E",AU50&gt;=0.5),PTHealthBY*P50,0))))</f>
        <v>11650</v>
      </c>
      <c r="BO50" s="453">
        <f>IF(AND(AT50=3,AK50="E",AV50&gt;=0.75,AW50=1),HealthBY,IF(AND(AT50=3,AK50="E",AV50&gt;=0.75),HealthBY*P50,IF(AND(AT50=3,AK50="E",AV50&gt;=0.5,AW50=1),PTHealthBY,IF(AND(AT50=3,AK50="E",AV50&gt;=0.5),PTHealthBY*P50,0))))</f>
        <v>0</v>
      </c>
      <c r="BP50" s="453">
        <f>IF(AND(AT50&lt;&gt;0,(AX50+BA50)&gt;=MAXSSDIBY),SSDIBY*MAXSSDIBY*P50,IF(AT50&lt;&gt;0,SSDIBY*W50,0))</f>
        <v>3505.1327999999999</v>
      </c>
      <c r="BQ50" s="453">
        <f>IF(AT50&lt;&gt;0,SSHIBY*W50,0)</f>
        <v>819.74880000000007</v>
      </c>
      <c r="BR50" s="453">
        <f>IF(AND(AT50&lt;&gt;0,AN50&lt;&gt;"NE"),VLOOKUP(AN50,Retirement_Rates,4,FALSE)*W50,0)</f>
        <v>6750.2073600000003</v>
      </c>
      <c r="BS50" s="453">
        <f>IF(AND(AT50&lt;&gt;0,AJ50&lt;&gt;"PF"),LifeBY*W50,0)</f>
        <v>407.61302400000005</v>
      </c>
      <c r="BT50" s="453">
        <f>IF(AND(AT50&lt;&gt;0,AM50="Y"),UIBY*W50,0)</f>
        <v>0</v>
      </c>
      <c r="BU50" s="453">
        <f>IF(AND(AT50&lt;&gt;0,N50&lt;&gt;"NR"),DHRBY*W50,0)</f>
        <v>0</v>
      </c>
      <c r="BV50" s="453">
        <f>IF(AT50&lt;&gt;0,WCBY*W50,0)</f>
        <v>1814.7542399999998</v>
      </c>
      <c r="BW50" s="453">
        <f>IF(OR(AND(AT50&lt;&gt;0,AJ50&lt;&gt;"PF",AN50&lt;&gt;"NE",AG50&lt;&gt;"A"),AND(AL50="E",OR(AT50=1,AT50=3))),SickBY*W50,0)</f>
        <v>0</v>
      </c>
      <c r="BX50" s="453">
        <f t="shared" si="7"/>
        <v>13297.456224000001</v>
      </c>
      <c r="BY50" s="453">
        <f t="shared" si="8"/>
        <v>0</v>
      </c>
      <c r="BZ50" s="453">
        <f t="shared" si="9"/>
        <v>0</v>
      </c>
      <c r="CA50" s="453">
        <f t="shared" si="10"/>
        <v>0</v>
      </c>
      <c r="CB50" s="453">
        <f t="shared" si="11"/>
        <v>0</v>
      </c>
      <c r="CC50" s="453">
        <f>IF(AT50&lt;&gt;0,SSHICHG*Y50,0)</f>
        <v>0</v>
      </c>
      <c r="CD50" s="453">
        <f>IF(AND(AT50&lt;&gt;0,AN50&lt;&gt;"NE"),VLOOKUP(AN50,Retirement_Rates,5,FALSE)*Y50,0)</f>
        <v>0</v>
      </c>
      <c r="CE50" s="453">
        <f>IF(AND(AT50&lt;&gt;0,AJ50&lt;&gt;"PF"),LifeCHG*Y50,0)</f>
        <v>0</v>
      </c>
      <c r="CF50" s="453">
        <f>IF(AND(AT50&lt;&gt;0,AM50="Y"),UICHG*Y50,0)</f>
        <v>-277.01855999999998</v>
      </c>
      <c r="CG50" s="453">
        <f>IF(AND(AT50&lt;&gt;0,N50&lt;&gt;"NR"),DHRCHG*Y50,0)</f>
        <v>0</v>
      </c>
      <c r="CH50" s="453">
        <f>IF(AT50&lt;&gt;0,WCCHG*Y50,0)</f>
        <v>113.06879999999991</v>
      </c>
      <c r="CI50" s="453">
        <f>IF(OR(AND(AT50&lt;&gt;0,AJ50&lt;&gt;"PF",AN50&lt;&gt;"NE",AG50&lt;&gt;"A"),AND(AL50="E",OR(AT50=1,AT50=3))),SickCHG*Y50,0)</f>
        <v>0</v>
      </c>
      <c r="CJ50" s="453">
        <f t="shared" si="12"/>
        <v>-163.94976000000008</v>
      </c>
      <c r="CK50" s="453" t="str">
        <f t="shared" si="13"/>
        <v/>
      </c>
      <c r="CL50" s="453" t="str">
        <f t="shared" si="14"/>
        <v/>
      </c>
      <c r="CM50" s="453" t="str">
        <f t="shared" si="15"/>
        <v/>
      </c>
      <c r="CN50" s="453" t="str">
        <f t="shared" si="16"/>
        <v>0421-01</v>
      </c>
    </row>
    <row r="51" spans="1:92" ht="15" thickBot="1" x14ac:dyDescent="0.35">
      <c r="A51" s="368" t="s">
        <v>161</v>
      </c>
      <c r="B51" s="368" t="s">
        <v>162</v>
      </c>
      <c r="C51" s="368" t="s">
        <v>397</v>
      </c>
      <c r="D51" s="368" t="s">
        <v>206</v>
      </c>
      <c r="E51" s="368" t="s">
        <v>165</v>
      </c>
      <c r="F51" s="369" t="s">
        <v>166</v>
      </c>
      <c r="G51" s="368" t="s">
        <v>167</v>
      </c>
      <c r="H51" s="370"/>
      <c r="I51" s="370"/>
      <c r="J51" s="368" t="s">
        <v>168</v>
      </c>
      <c r="K51" s="368" t="s">
        <v>207</v>
      </c>
      <c r="L51" s="368" t="s">
        <v>200</v>
      </c>
      <c r="M51" s="368" t="s">
        <v>171</v>
      </c>
      <c r="N51" s="368" t="s">
        <v>172</v>
      </c>
      <c r="O51" s="371">
        <v>1</v>
      </c>
      <c r="P51" s="451">
        <v>1</v>
      </c>
      <c r="Q51" s="451">
        <v>1</v>
      </c>
      <c r="R51" s="372">
        <v>80</v>
      </c>
      <c r="S51" s="451">
        <v>1</v>
      </c>
      <c r="T51" s="372">
        <v>3501.02</v>
      </c>
      <c r="U51" s="372">
        <v>0</v>
      </c>
      <c r="V51" s="372">
        <v>2722.23</v>
      </c>
      <c r="W51" s="372">
        <v>28724.799999999999</v>
      </c>
      <c r="X51" s="372">
        <v>18489.63</v>
      </c>
      <c r="Y51" s="372">
        <v>28724.799999999999</v>
      </c>
      <c r="Z51" s="372">
        <v>18406.330000000002</v>
      </c>
      <c r="AA51" s="368" t="s">
        <v>398</v>
      </c>
      <c r="AB51" s="368" t="s">
        <v>399</v>
      </c>
      <c r="AC51" s="368" t="s">
        <v>400</v>
      </c>
      <c r="AD51" s="368" t="s">
        <v>391</v>
      </c>
      <c r="AE51" s="368" t="s">
        <v>207</v>
      </c>
      <c r="AF51" s="368" t="s">
        <v>177</v>
      </c>
      <c r="AG51" s="368" t="s">
        <v>178</v>
      </c>
      <c r="AH51" s="373">
        <v>13.81</v>
      </c>
      <c r="AI51" s="373">
        <v>2663.5</v>
      </c>
      <c r="AJ51" s="368" t="s">
        <v>179</v>
      </c>
      <c r="AK51" s="368" t="s">
        <v>180</v>
      </c>
      <c r="AL51" s="368" t="s">
        <v>181</v>
      </c>
      <c r="AM51" s="368" t="s">
        <v>182</v>
      </c>
      <c r="AN51" s="368" t="s">
        <v>68</v>
      </c>
      <c r="AO51" s="371">
        <v>80</v>
      </c>
      <c r="AP51" s="451">
        <v>1</v>
      </c>
      <c r="AQ51" s="451">
        <v>1</v>
      </c>
      <c r="AR51" s="449" t="s">
        <v>183</v>
      </c>
      <c r="AS51" s="453">
        <f t="shared" si="0"/>
        <v>1</v>
      </c>
      <c r="AT51">
        <f t="shared" si="1"/>
        <v>1</v>
      </c>
      <c r="AU51" s="453">
        <f>IF(AT51=0,"",IF(AND(AT51=1,M51="F",SUMIF(C2:C55,C51,AS2:AS55)&lt;=1),SUMIF(C2:C55,C51,AS2:AS55),IF(AND(AT51=1,M51="F",SUMIF(C2:C55,C51,AS2:AS55)&gt;1),1,"")))</f>
        <v>1</v>
      </c>
      <c r="AV51" s="453" t="str">
        <f>IF(AT51=0,"",IF(AND(AT51=3,M51="F",SUMIF(C2:C55,C51,AS2:AS55)&lt;=1),SUMIF(C2:C55,C51,AS2:AS55),IF(AND(AT51=3,M51="F",SUMIF(C2:C55,C51,AS2:AS55)&gt;1),1,"")))</f>
        <v/>
      </c>
      <c r="AW51" s="453">
        <f>SUMIF(C2:C55,C51,O2:O55)</f>
        <v>1</v>
      </c>
      <c r="AX51" s="453">
        <f>IF(AND(M51="F",AS51&lt;&gt;0),SUMIF(C2:C55,C51,W2:W55),0)</f>
        <v>28724.799999999999</v>
      </c>
      <c r="AY51" s="453">
        <f t="shared" si="2"/>
        <v>28724.799999999999</v>
      </c>
      <c r="AZ51" s="453" t="str">
        <f t="shared" si="3"/>
        <v/>
      </c>
      <c r="BA51" s="453">
        <f t="shared" si="4"/>
        <v>0</v>
      </c>
      <c r="BB51" s="453">
        <f>IF(AND(AT51=1,AK51="E",AU51&gt;=0.75,AW51=1),Health,IF(AND(AT51=1,AK51="E",AU51&gt;=0.75),Health*P51,IF(AND(AT51=1,AK51="E",AU51&gt;=0.5,AW51=1),PTHealth,IF(AND(AT51=1,AK51="E",AU51&gt;=0.5),PTHealth*P51,0))))</f>
        <v>11650</v>
      </c>
      <c r="BC51" s="453">
        <f>IF(AND(AT51=3,AK51="E",AV51&gt;=0.75,AW51=1),Health,IF(AND(AT51=3,AK51="E",AV51&gt;=0.75),Health*P51,IF(AND(AT51=3,AK51="E",AV51&gt;=0.5,AW51=1),PTHealth,IF(AND(AT51=3,AK51="E",AV51&gt;=0.5),PTHealth*P51,0))))</f>
        <v>0</v>
      </c>
      <c r="BD51" s="453">
        <f>IF(AND(AT51&lt;&gt;0,AX51&gt;=MAXSSDI),SSDI*MAXSSDI*P51,IF(AT51&lt;&gt;0,SSDI*W51,0))</f>
        <v>1780.9376</v>
      </c>
      <c r="BE51" s="453">
        <f>IF(AT51&lt;&gt;0,SSHI*W51,0)</f>
        <v>416.50960000000003</v>
      </c>
      <c r="BF51" s="453">
        <f>IF(AND(AT51&lt;&gt;0,AN51&lt;&gt;"NE"),VLOOKUP(AN51,Retirement_Rates,3,FALSE)*W51,0)</f>
        <v>3429.7411200000001</v>
      </c>
      <c r="BG51" s="453">
        <f>IF(AND(AT51&lt;&gt;0,AJ51&lt;&gt;"PF"),Life*W51,0)</f>
        <v>207.105808</v>
      </c>
      <c r="BH51" s="453">
        <f>IF(AND(AT51&lt;&gt;0,AM51="Y"),UI*W51,0)</f>
        <v>140.75152</v>
      </c>
      <c r="BI51" s="453">
        <f>IF(AND(AT51&lt;&gt;0,N51&lt;&gt;"NR"),DHR*W51,0)</f>
        <v>0</v>
      </c>
      <c r="BJ51" s="453">
        <f>IF(AT51&lt;&gt;0,WC*W51,0)</f>
        <v>864.61647999999991</v>
      </c>
      <c r="BK51" s="453">
        <f>IF(OR(AND(AT51&lt;&gt;0,AJ51&lt;&gt;"PF",AN51&lt;&gt;"NE",AG51&lt;&gt;"A"),AND(AL51="E",OR(AT51=1,AT51=3))),Sick*W51,0)</f>
        <v>0</v>
      </c>
      <c r="BL51" s="453">
        <f t="shared" si="5"/>
        <v>6839.6621279999999</v>
      </c>
      <c r="BM51" s="453">
        <f t="shared" si="6"/>
        <v>0</v>
      </c>
      <c r="BN51" s="453">
        <f>IF(AND(AT51=1,AK51="E",AU51&gt;=0.75,AW51=1),HealthBY,IF(AND(AT51=1,AK51="E",AU51&gt;=0.75),HealthBY*P51,IF(AND(AT51=1,AK51="E",AU51&gt;=0.5,AW51=1),PTHealthBY,IF(AND(AT51=1,AK51="E",AU51&gt;=0.5),PTHealthBY*P51,0))))</f>
        <v>11650</v>
      </c>
      <c r="BO51" s="453">
        <f>IF(AND(AT51=3,AK51="E",AV51&gt;=0.75,AW51=1),HealthBY,IF(AND(AT51=3,AK51="E",AV51&gt;=0.75),HealthBY*P51,IF(AND(AT51=3,AK51="E",AV51&gt;=0.5,AW51=1),PTHealthBY,IF(AND(AT51=3,AK51="E",AV51&gt;=0.5),PTHealthBY*P51,0))))</f>
        <v>0</v>
      </c>
      <c r="BP51" s="453">
        <f>IF(AND(AT51&lt;&gt;0,(AX51+BA51)&gt;=MAXSSDIBY),SSDIBY*MAXSSDIBY*P51,IF(AT51&lt;&gt;0,SSDIBY*W51,0))</f>
        <v>1780.9376</v>
      </c>
      <c r="BQ51" s="453">
        <f>IF(AT51&lt;&gt;0,SSHIBY*W51,0)</f>
        <v>416.50960000000003</v>
      </c>
      <c r="BR51" s="453">
        <f>IF(AND(AT51&lt;&gt;0,AN51&lt;&gt;"NE"),VLOOKUP(AN51,Retirement_Rates,4,FALSE)*W51,0)</f>
        <v>3429.7411200000001</v>
      </c>
      <c r="BS51" s="453">
        <f>IF(AND(AT51&lt;&gt;0,AJ51&lt;&gt;"PF"),LifeBY*W51,0)</f>
        <v>207.105808</v>
      </c>
      <c r="BT51" s="453">
        <f>IF(AND(AT51&lt;&gt;0,AM51="Y"),UIBY*W51,0)</f>
        <v>0</v>
      </c>
      <c r="BU51" s="453">
        <f>IF(AND(AT51&lt;&gt;0,N51&lt;&gt;"NR"),DHRBY*W51,0)</f>
        <v>0</v>
      </c>
      <c r="BV51" s="453">
        <f>IF(AT51&lt;&gt;0,WCBY*W51,0)</f>
        <v>922.06607999999983</v>
      </c>
      <c r="BW51" s="453">
        <f>IF(OR(AND(AT51&lt;&gt;0,AJ51&lt;&gt;"PF",AN51&lt;&gt;"NE",AG51&lt;&gt;"A"),AND(AL51="E",OR(AT51=1,AT51=3))),SickBY*W51,0)</f>
        <v>0</v>
      </c>
      <c r="BX51" s="453">
        <f t="shared" si="7"/>
        <v>6756.3602080000001</v>
      </c>
      <c r="BY51" s="453">
        <f t="shared" si="8"/>
        <v>0</v>
      </c>
      <c r="BZ51" s="453">
        <f t="shared" si="9"/>
        <v>0</v>
      </c>
      <c r="CA51" s="453">
        <f t="shared" si="10"/>
        <v>0</v>
      </c>
      <c r="CB51" s="453">
        <f t="shared" si="11"/>
        <v>0</v>
      </c>
      <c r="CC51" s="453">
        <f>IF(AT51&lt;&gt;0,SSHICHG*Y51,0)</f>
        <v>0</v>
      </c>
      <c r="CD51" s="453">
        <f>IF(AND(AT51&lt;&gt;0,AN51&lt;&gt;"NE"),VLOOKUP(AN51,Retirement_Rates,5,FALSE)*Y51,0)</f>
        <v>0</v>
      </c>
      <c r="CE51" s="453">
        <f>IF(AND(AT51&lt;&gt;0,AJ51&lt;&gt;"PF"),LifeCHG*Y51,0)</f>
        <v>0</v>
      </c>
      <c r="CF51" s="453">
        <f>IF(AND(AT51&lt;&gt;0,AM51="Y"),UICHG*Y51,0)</f>
        <v>-140.75152</v>
      </c>
      <c r="CG51" s="453">
        <f>IF(AND(AT51&lt;&gt;0,N51&lt;&gt;"NR"),DHRCHG*Y51,0)</f>
        <v>0</v>
      </c>
      <c r="CH51" s="453">
        <f>IF(AT51&lt;&gt;0,WCCHG*Y51,0)</f>
        <v>57.449599999999947</v>
      </c>
      <c r="CI51" s="453">
        <f>IF(OR(AND(AT51&lt;&gt;0,AJ51&lt;&gt;"PF",AN51&lt;&gt;"NE",AG51&lt;&gt;"A"),AND(AL51="E",OR(AT51=1,AT51=3))),SickCHG*Y51,0)</f>
        <v>0</v>
      </c>
      <c r="CJ51" s="453">
        <f t="shared" si="12"/>
        <v>-83.301920000000052</v>
      </c>
      <c r="CK51" s="453" t="str">
        <f t="shared" si="13"/>
        <v/>
      </c>
      <c r="CL51" s="453" t="str">
        <f t="shared" si="14"/>
        <v/>
      </c>
      <c r="CM51" s="453" t="str">
        <f t="shared" si="15"/>
        <v/>
      </c>
      <c r="CN51" s="453" t="str">
        <f t="shared" si="16"/>
        <v>0421-01</v>
      </c>
    </row>
    <row r="52" spans="1:92" ht="15" thickBot="1" x14ac:dyDescent="0.35">
      <c r="A52" s="368" t="s">
        <v>161</v>
      </c>
      <c r="B52" s="368" t="s">
        <v>162</v>
      </c>
      <c r="C52" s="368" t="s">
        <v>263</v>
      </c>
      <c r="D52" s="368" t="s">
        <v>264</v>
      </c>
      <c r="E52" s="368" t="s">
        <v>401</v>
      </c>
      <c r="F52" s="369" t="s">
        <v>402</v>
      </c>
      <c r="G52" s="368" t="s">
        <v>401</v>
      </c>
      <c r="H52" s="370"/>
      <c r="I52" s="370"/>
      <c r="J52" s="368" t="s">
        <v>252</v>
      </c>
      <c r="K52" s="368" t="s">
        <v>265</v>
      </c>
      <c r="L52" s="368" t="s">
        <v>170</v>
      </c>
      <c r="M52" s="368" t="s">
        <v>171</v>
      </c>
      <c r="N52" s="368" t="s">
        <v>172</v>
      </c>
      <c r="O52" s="371">
        <v>1</v>
      </c>
      <c r="P52" s="451">
        <v>0.87</v>
      </c>
      <c r="Q52" s="451">
        <v>0.87</v>
      </c>
      <c r="R52" s="372">
        <v>80</v>
      </c>
      <c r="S52" s="451">
        <v>0.87</v>
      </c>
      <c r="T52" s="372">
        <v>0</v>
      </c>
      <c r="U52" s="372">
        <v>0</v>
      </c>
      <c r="V52" s="372">
        <v>0</v>
      </c>
      <c r="W52" s="372">
        <v>42398.92</v>
      </c>
      <c r="X52" s="372">
        <v>20231.07</v>
      </c>
      <c r="Y52" s="372">
        <v>42398.92</v>
      </c>
      <c r="Z52" s="372">
        <v>20108.12</v>
      </c>
      <c r="AA52" s="368" t="s">
        <v>266</v>
      </c>
      <c r="AB52" s="368" t="s">
        <v>267</v>
      </c>
      <c r="AC52" s="368" t="s">
        <v>268</v>
      </c>
      <c r="AD52" s="368" t="s">
        <v>269</v>
      </c>
      <c r="AE52" s="368" t="s">
        <v>265</v>
      </c>
      <c r="AF52" s="368" t="s">
        <v>219</v>
      </c>
      <c r="AG52" s="368" t="s">
        <v>178</v>
      </c>
      <c r="AH52" s="373">
        <v>23.43</v>
      </c>
      <c r="AI52" s="373">
        <v>14377.9</v>
      </c>
      <c r="AJ52" s="368" t="s">
        <v>179</v>
      </c>
      <c r="AK52" s="368" t="s">
        <v>180</v>
      </c>
      <c r="AL52" s="368" t="s">
        <v>181</v>
      </c>
      <c r="AM52" s="368" t="s">
        <v>182</v>
      </c>
      <c r="AN52" s="368" t="s">
        <v>68</v>
      </c>
      <c r="AO52" s="371">
        <v>80</v>
      </c>
      <c r="AP52" s="451">
        <v>1</v>
      </c>
      <c r="AQ52" s="451">
        <v>0.87</v>
      </c>
      <c r="AR52" s="449" t="s">
        <v>183</v>
      </c>
      <c r="AS52" s="453">
        <f t="shared" si="0"/>
        <v>0.87</v>
      </c>
      <c r="AT52">
        <f t="shared" si="1"/>
        <v>1</v>
      </c>
      <c r="AU52" s="453">
        <f>IF(AT52=0,"",IF(AND(AT52=1,M52="F",SUMIF(C2:C55,C52,AS2:AS55)&lt;=1),SUMIF(C2:C55,C52,AS2:AS55),IF(AND(AT52=1,M52="F",SUMIF(C2:C55,C52,AS2:AS55)&gt;1),1,"")))</f>
        <v>1</v>
      </c>
      <c r="AV52" s="453" t="str">
        <f>IF(AT52=0,"",IF(AND(AT52=3,M52="F",SUMIF(C2:C55,C52,AS2:AS55)&lt;=1),SUMIF(C2:C55,C52,AS2:AS55),IF(AND(AT52=3,M52="F",SUMIF(C2:C55,C52,AS2:AS55)&gt;1),1,"")))</f>
        <v/>
      </c>
      <c r="AW52" s="453">
        <f>SUMIF(C2:C55,C52,O2:O55)</f>
        <v>2</v>
      </c>
      <c r="AX52" s="453">
        <f>IF(AND(M52="F",AS52&lt;&gt;0),SUMIF(C2:C55,C52,W2:W55),0)</f>
        <v>48734.39</v>
      </c>
      <c r="AY52" s="453">
        <f t="shared" si="2"/>
        <v>42398.92</v>
      </c>
      <c r="AZ52" s="453" t="str">
        <f t="shared" si="3"/>
        <v/>
      </c>
      <c r="BA52" s="453">
        <f t="shared" si="4"/>
        <v>0</v>
      </c>
      <c r="BB52" s="453">
        <f>IF(AND(AT52=1,AK52="E",AU52&gt;=0.75,AW52=1),Health,IF(AND(AT52=1,AK52="E",AU52&gt;=0.75),Health*P52,IF(AND(AT52=1,AK52="E",AU52&gt;=0.5,AW52=1),PTHealth,IF(AND(AT52=1,AK52="E",AU52&gt;=0.5),PTHealth*P52,0))))</f>
        <v>10135.5</v>
      </c>
      <c r="BC52" s="453">
        <f>IF(AND(AT52=3,AK52="E",AV52&gt;=0.75,AW52=1),Health,IF(AND(AT52=3,AK52="E",AV52&gt;=0.75),Health*P52,IF(AND(AT52=3,AK52="E",AV52&gt;=0.5,AW52=1),PTHealth,IF(AND(AT52=3,AK52="E",AV52&gt;=0.5),PTHealth*P52,0))))</f>
        <v>0</v>
      </c>
      <c r="BD52" s="453">
        <f>IF(AND(AT52&lt;&gt;0,AX52&gt;=MAXSSDI),SSDI*MAXSSDI*P52,IF(AT52&lt;&gt;0,SSDI*W52,0))</f>
        <v>2628.7330400000001</v>
      </c>
      <c r="BE52" s="453">
        <f>IF(AT52&lt;&gt;0,SSHI*W52,0)</f>
        <v>614.78434000000004</v>
      </c>
      <c r="BF52" s="453">
        <f>IF(AND(AT52&lt;&gt;0,AN52&lt;&gt;"NE"),VLOOKUP(AN52,Retirement_Rates,3,FALSE)*W52,0)</f>
        <v>5062.4310480000004</v>
      </c>
      <c r="BG52" s="453">
        <f>IF(AND(AT52&lt;&gt;0,AJ52&lt;&gt;"PF"),Life*W52,0)</f>
        <v>305.69621319999999</v>
      </c>
      <c r="BH52" s="453">
        <f>IF(AND(AT52&lt;&gt;0,AM52="Y"),UI*W52,0)</f>
        <v>207.75470799999999</v>
      </c>
      <c r="BI52" s="453">
        <f>IF(AND(AT52&lt;&gt;0,N52&lt;&gt;"NR"),DHR*W52,0)</f>
        <v>0</v>
      </c>
      <c r="BJ52" s="453">
        <f>IF(AT52&lt;&gt;0,WC*W52,0)</f>
        <v>1276.2074919999998</v>
      </c>
      <c r="BK52" s="453">
        <f>IF(OR(AND(AT52&lt;&gt;0,AJ52&lt;&gt;"PF",AN52&lt;&gt;"NE",AG52&lt;&gt;"A"),AND(AL52="E",OR(AT52=1,AT52=3))),Sick*W52,0)</f>
        <v>0</v>
      </c>
      <c r="BL52" s="453">
        <f t="shared" si="5"/>
        <v>10095.6068412</v>
      </c>
      <c r="BM52" s="453">
        <f t="shared" si="6"/>
        <v>0</v>
      </c>
      <c r="BN52" s="453">
        <f>IF(AND(AT52=1,AK52="E",AU52&gt;=0.75,AW52=1),HealthBY,IF(AND(AT52=1,AK52="E",AU52&gt;=0.75),HealthBY*P52,IF(AND(AT52=1,AK52="E",AU52&gt;=0.5,AW52=1),PTHealthBY,IF(AND(AT52=1,AK52="E",AU52&gt;=0.5),PTHealthBY*P52,0))))</f>
        <v>10135.5</v>
      </c>
      <c r="BO52" s="453">
        <f>IF(AND(AT52=3,AK52="E",AV52&gt;=0.75,AW52=1),HealthBY,IF(AND(AT52=3,AK52="E",AV52&gt;=0.75),HealthBY*P52,IF(AND(AT52=3,AK52="E",AV52&gt;=0.5,AW52=1),PTHealthBY,IF(AND(AT52=3,AK52="E",AV52&gt;=0.5),PTHealthBY*P52,0))))</f>
        <v>0</v>
      </c>
      <c r="BP52" s="453">
        <f>IF(AND(AT52&lt;&gt;0,(AX52+BA52)&gt;=MAXSSDIBY),SSDIBY*MAXSSDIBY*P52,IF(AT52&lt;&gt;0,SSDIBY*W52,0))</f>
        <v>2628.7330400000001</v>
      </c>
      <c r="BQ52" s="453">
        <f>IF(AT52&lt;&gt;0,SSHIBY*W52,0)</f>
        <v>614.78434000000004</v>
      </c>
      <c r="BR52" s="453">
        <f>IF(AND(AT52&lt;&gt;0,AN52&lt;&gt;"NE"),VLOOKUP(AN52,Retirement_Rates,4,FALSE)*W52,0)</f>
        <v>5062.4310480000004</v>
      </c>
      <c r="BS52" s="453">
        <f>IF(AND(AT52&lt;&gt;0,AJ52&lt;&gt;"PF"),LifeBY*W52,0)</f>
        <v>305.69621319999999</v>
      </c>
      <c r="BT52" s="453">
        <f>IF(AND(AT52&lt;&gt;0,AM52="Y"),UIBY*W52,0)</f>
        <v>0</v>
      </c>
      <c r="BU52" s="453">
        <f>IF(AND(AT52&lt;&gt;0,N52&lt;&gt;"NR"),DHRBY*W52,0)</f>
        <v>0</v>
      </c>
      <c r="BV52" s="453">
        <f>IF(AT52&lt;&gt;0,WCBY*W52,0)</f>
        <v>1361.0053319999997</v>
      </c>
      <c r="BW52" s="453">
        <f>IF(OR(AND(AT52&lt;&gt;0,AJ52&lt;&gt;"PF",AN52&lt;&gt;"NE",AG52&lt;&gt;"A"),AND(AL52="E",OR(AT52=1,AT52=3))),SickBY*W52,0)</f>
        <v>0</v>
      </c>
      <c r="BX52" s="453">
        <f t="shared" si="7"/>
        <v>9972.6499732000011</v>
      </c>
      <c r="BY52" s="453">
        <f t="shared" si="8"/>
        <v>0</v>
      </c>
      <c r="BZ52" s="453">
        <f t="shared" si="9"/>
        <v>0</v>
      </c>
      <c r="CA52" s="453">
        <f t="shared" si="10"/>
        <v>0</v>
      </c>
      <c r="CB52" s="453">
        <f t="shared" si="11"/>
        <v>0</v>
      </c>
      <c r="CC52" s="453">
        <f>IF(AT52&lt;&gt;0,SSHICHG*Y52,0)</f>
        <v>0</v>
      </c>
      <c r="CD52" s="453">
        <f>IF(AND(AT52&lt;&gt;0,AN52&lt;&gt;"NE"),VLOOKUP(AN52,Retirement_Rates,5,FALSE)*Y52,0)</f>
        <v>0</v>
      </c>
      <c r="CE52" s="453">
        <f>IF(AND(AT52&lt;&gt;0,AJ52&lt;&gt;"PF"),LifeCHG*Y52,0)</f>
        <v>0</v>
      </c>
      <c r="CF52" s="453">
        <f>IF(AND(AT52&lt;&gt;0,AM52="Y"),UICHG*Y52,0)</f>
        <v>-207.75470799999999</v>
      </c>
      <c r="CG52" s="453">
        <f>IF(AND(AT52&lt;&gt;0,N52&lt;&gt;"NR"),DHRCHG*Y52,0)</f>
        <v>0</v>
      </c>
      <c r="CH52" s="453">
        <f>IF(AT52&lt;&gt;0,WCCHG*Y52,0)</f>
        <v>84.797839999999923</v>
      </c>
      <c r="CI52" s="453">
        <f>IF(OR(AND(AT52&lt;&gt;0,AJ52&lt;&gt;"PF",AN52&lt;&gt;"NE",AG52&lt;&gt;"A"),AND(AL52="E",OR(AT52=1,AT52=3))),SickCHG*Y52,0)</f>
        <v>0</v>
      </c>
      <c r="CJ52" s="453">
        <f t="shared" si="12"/>
        <v>-122.95686800000007</v>
      </c>
      <c r="CK52" s="453" t="str">
        <f t="shared" si="13"/>
        <v/>
      </c>
      <c r="CL52" s="453" t="str">
        <f t="shared" si="14"/>
        <v/>
      </c>
      <c r="CM52" s="453" t="str">
        <f t="shared" si="15"/>
        <v/>
      </c>
      <c r="CN52" s="453" t="str">
        <f t="shared" si="16"/>
        <v>ÿÿÿÿ-ÿÿ</v>
      </c>
    </row>
    <row r="53" spans="1:92" ht="15" thickBot="1" x14ac:dyDescent="0.35">
      <c r="A53" s="368" t="s">
        <v>161</v>
      </c>
      <c r="B53" s="368" t="s">
        <v>162</v>
      </c>
      <c r="C53" s="368" t="s">
        <v>314</v>
      </c>
      <c r="D53" s="368" t="s">
        <v>286</v>
      </c>
      <c r="E53" s="368" t="s">
        <v>401</v>
      </c>
      <c r="F53" s="369" t="s">
        <v>402</v>
      </c>
      <c r="G53" s="368" t="s">
        <v>401</v>
      </c>
      <c r="H53" s="370"/>
      <c r="I53" s="370"/>
      <c r="J53" s="368" t="s">
        <v>315</v>
      </c>
      <c r="K53" s="368" t="s">
        <v>287</v>
      </c>
      <c r="L53" s="368" t="s">
        <v>200</v>
      </c>
      <c r="M53" s="368" t="s">
        <v>288</v>
      </c>
      <c r="N53" s="368" t="s">
        <v>289</v>
      </c>
      <c r="O53" s="371">
        <v>0</v>
      </c>
      <c r="P53" s="451">
        <v>0.13</v>
      </c>
      <c r="Q53" s="451">
        <v>0</v>
      </c>
      <c r="R53" s="372">
        <v>0</v>
      </c>
      <c r="S53" s="451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0"/>
      <c r="AB53" s="368" t="s">
        <v>45</v>
      </c>
      <c r="AC53" s="368" t="s">
        <v>45</v>
      </c>
      <c r="AD53" s="370"/>
      <c r="AE53" s="370"/>
      <c r="AF53" s="370"/>
      <c r="AG53" s="370"/>
      <c r="AH53" s="371">
        <v>0</v>
      </c>
      <c r="AI53" s="371">
        <v>0</v>
      </c>
      <c r="AJ53" s="370"/>
      <c r="AK53" s="370"/>
      <c r="AL53" s="368" t="s">
        <v>181</v>
      </c>
      <c r="AM53" s="370"/>
      <c r="AN53" s="370"/>
      <c r="AO53" s="371">
        <v>0</v>
      </c>
      <c r="AP53" s="451">
        <v>0</v>
      </c>
      <c r="AQ53" s="451">
        <v>0</v>
      </c>
      <c r="AR53" s="450"/>
      <c r="AS53" s="453">
        <f t="shared" si="0"/>
        <v>0</v>
      </c>
      <c r="AT53">
        <f t="shared" si="1"/>
        <v>0</v>
      </c>
      <c r="AU53" s="453" t="str">
        <f>IF(AT53=0,"",IF(AND(AT53=1,M53="F",SUMIF(C2:C55,C53,AS2:AS55)&lt;=1),SUMIF(C2:C55,C53,AS2:AS55),IF(AND(AT53=1,M53="F",SUMIF(C2:C55,C53,AS2:AS55)&gt;1),1,"")))</f>
        <v/>
      </c>
      <c r="AV53" s="453" t="str">
        <f>IF(AT53=0,"",IF(AND(AT53=3,M53="F",SUMIF(C2:C55,C53,AS2:AS55)&lt;=1),SUMIF(C2:C55,C53,AS2:AS55),IF(AND(AT53=3,M53="F",SUMIF(C2:C55,C53,AS2:AS55)&gt;1),1,"")))</f>
        <v/>
      </c>
      <c r="AW53" s="453">
        <f>SUMIF(C2:C55,C53,O2:O55)</f>
        <v>0</v>
      </c>
      <c r="AX53" s="453">
        <f>IF(AND(M53="F",AS53&lt;&gt;0),SUMIF(C2:C55,C53,W2:W55),0)</f>
        <v>0</v>
      </c>
      <c r="AY53" s="453" t="str">
        <f t="shared" si="2"/>
        <v/>
      </c>
      <c r="AZ53" s="453" t="str">
        <f t="shared" si="3"/>
        <v/>
      </c>
      <c r="BA53" s="453">
        <f t="shared" si="4"/>
        <v>0</v>
      </c>
      <c r="BB53" s="453">
        <f>IF(AND(AT53=1,AK53="E",AU53&gt;=0.75,AW53=1),Health,IF(AND(AT53=1,AK53="E",AU53&gt;=0.75),Health*P53,IF(AND(AT53=1,AK53="E",AU53&gt;=0.5,AW53=1),PTHealth,IF(AND(AT53=1,AK53="E",AU53&gt;=0.5),PTHealth*P53,0))))</f>
        <v>0</v>
      </c>
      <c r="BC53" s="453">
        <f>IF(AND(AT53=3,AK53="E",AV53&gt;=0.75,AW53=1),Health,IF(AND(AT53=3,AK53="E",AV53&gt;=0.75),Health*P53,IF(AND(AT53=3,AK53="E",AV53&gt;=0.5,AW53=1),PTHealth,IF(AND(AT53=3,AK53="E",AV53&gt;=0.5),PTHealth*P53,0))))</f>
        <v>0</v>
      </c>
      <c r="BD53" s="453">
        <f>IF(AND(AT53&lt;&gt;0,AX53&gt;=MAXSSDI),SSDI*MAXSSDI*P53,IF(AT53&lt;&gt;0,SSDI*W53,0))</f>
        <v>0</v>
      </c>
      <c r="BE53" s="453">
        <f>IF(AT53&lt;&gt;0,SSHI*W53,0)</f>
        <v>0</v>
      </c>
      <c r="BF53" s="453">
        <f>IF(AND(AT53&lt;&gt;0,AN53&lt;&gt;"NE"),VLOOKUP(AN53,Retirement_Rates,3,FALSE)*W53,0)</f>
        <v>0</v>
      </c>
      <c r="BG53" s="453">
        <f>IF(AND(AT53&lt;&gt;0,AJ53&lt;&gt;"PF"),Life*W53,0)</f>
        <v>0</v>
      </c>
      <c r="BH53" s="453">
        <f>IF(AND(AT53&lt;&gt;0,AM53="Y"),UI*W53,0)</f>
        <v>0</v>
      </c>
      <c r="BI53" s="453">
        <f>IF(AND(AT53&lt;&gt;0,N53&lt;&gt;"NR"),DHR*W53,0)</f>
        <v>0</v>
      </c>
      <c r="BJ53" s="453">
        <f>IF(AT53&lt;&gt;0,WC*W53,0)</f>
        <v>0</v>
      </c>
      <c r="BK53" s="453">
        <f>IF(OR(AND(AT53&lt;&gt;0,AJ53&lt;&gt;"PF",AN53&lt;&gt;"NE",AG53&lt;&gt;"A"),AND(AL53="E",OR(AT53=1,AT53=3))),Sick*W53,0)</f>
        <v>0</v>
      </c>
      <c r="BL53" s="453">
        <f t="shared" si="5"/>
        <v>0</v>
      </c>
      <c r="BM53" s="453">
        <f t="shared" si="6"/>
        <v>0</v>
      </c>
      <c r="BN53" s="453">
        <f>IF(AND(AT53=1,AK53="E",AU53&gt;=0.75,AW53=1),HealthBY,IF(AND(AT53=1,AK53="E",AU53&gt;=0.75),HealthBY*P53,IF(AND(AT53=1,AK53="E",AU53&gt;=0.5,AW53=1),PTHealthBY,IF(AND(AT53=1,AK53="E",AU53&gt;=0.5),PTHealthBY*P53,0))))</f>
        <v>0</v>
      </c>
      <c r="BO53" s="453">
        <f>IF(AND(AT53=3,AK53="E",AV53&gt;=0.75,AW53=1),HealthBY,IF(AND(AT53=3,AK53="E",AV53&gt;=0.75),HealthBY*P53,IF(AND(AT53=3,AK53="E",AV53&gt;=0.5,AW53=1),PTHealthBY,IF(AND(AT53=3,AK53="E",AV53&gt;=0.5),PTHealthBY*P53,0))))</f>
        <v>0</v>
      </c>
      <c r="BP53" s="453">
        <f>IF(AND(AT53&lt;&gt;0,(AX53+BA53)&gt;=MAXSSDIBY),SSDIBY*MAXSSDIBY*P53,IF(AT53&lt;&gt;0,SSDIBY*W53,0))</f>
        <v>0</v>
      </c>
      <c r="BQ53" s="453">
        <f>IF(AT53&lt;&gt;0,SSHIBY*W53,0)</f>
        <v>0</v>
      </c>
      <c r="BR53" s="453">
        <f>IF(AND(AT53&lt;&gt;0,AN53&lt;&gt;"NE"),VLOOKUP(AN53,Retirement_Rates,4,FALSE)*W53,0)</f>
        <v>0</v>
      </c>
      <c r="BS53" s="453">
        <f>IF(AND(AT53&lt;&gt;0,AJ53&lt;&gt;"PF"),LifeBY*W53,0)</f>
        <v>0</v>
      </c>
      <c r="BT53" s="453">
        <f>IF(AND(AT53&lt;&gt;0,AM53="Y"),UIBY*W53,0)</f>
        <v>0</v>
      </c>
      <c r="BU53" s="453">
        <f>IF(AND(AT53&lt;&gt;0,N53&lt;&gt;"NR"),DHRBY*W53,0)</f>
        <v>0</v>
      </c>
      <c r="BV53" s="453">
        <f>IF(AT53&lt;&gt;0,WCBY*W53,0)</f>
        <v>0</v>
      </c>
      <c r="BW53" s="453">
        <f>IF(OR(AND(AT53&lt;&gt;0,AJ53&lt;&gt;"PF",AN53&lt;&gt;"NE",AG53&lt;&gt;"A"),AND(AL53="E",OR(AT53=1,AT53=3))),SickBY*W53,0)</f>
        <v>0</v>
      </c>
      <c r="BX53" s="453">
        <f t="shared" si="7"/>
        <v>0</v>
      </c>
      <c r="BY53" s="453">
        <f t="shared" si="8"/>
        <v>0</v>
      </c>
      <c r="BZ53" s="453">
        <f t="shared" si="9"/>
        <v>0</v>
      </c>
      <c r="CA53" s="453">
        <f t="shared" si="10"/>
        <v>0</v>
      </c>
      <c r="CB53" s="453">
        <f t="shared" si="11"/>
        <v>0</v>
      </c>
      <c r="CC53" s="453">
        <f>IF(AT53&lt;&gt;0,SSHICHG*Y53,0)</f>
        <v>0</v>
      </c>
      <c r="CD53" s="453">
        <f>IF(AND(AT53&lt;&gt;0,AN53&lt;&gt;"NE"),VLOOKUP(AN53,Retirement_Rates,5,FALSE)*Y53,0)</f>
        <v>0</v>
      </c>
      <c r="CE53" s="453">
        <f>IF(AND(AT53&lt;&gt;0,AJ53&lt;&gt;"PF"),LifeCHG*Y53,0)</f>
        <v>0</v>
      </c>
      <c r="CF53" s="453">
        <f>IF(AND(AT53&lt;&gt;0,AM53="Y"),UICHG*Y53,0)</f>
        <v>0</v>
      </c>
      <c r="CG53" s="453">
        <f>IF(AND(AT53&lt;&gt;0,N53&lt;&gt;"NR"),DHRCHG*Y53,0)</f>
        <v>0</v>
      </c>
      <c r="CH53" s="453">
        <f>IF(AT53&lt;&gt;0,WCCHG*Y53,0)</f>
        <v>0</v>
      </c>
      <c r="CI53" s="453">
        <f>IF(OR(AND(AT53&lt;&gt;0,AJ53&lt;&gt;"PF",AN53&lt;&gt;"NE",AG53&lt;&gt;"A"),AND(AL53="E",OR(AT53=1,AT53=3))),SickCHG*Y53,0)</f>
        <v>0</v>
      </c>
      <c r="CJ53" s="453">
        <f t="shared" si="12"/>
        <v>0</v>
      </c>
      <c r="CK53" s="453" t="str">
        <f t="shared" si="13"/>
        <v/>
      </c>
      <c r="CL53" s="453">
        <f t="shared" si="14"/>
        <v>0</v>
      </c>
      <c r="CM53" s="453">
        <f t="shared" si="15"/>
        <v>0</v>
      </c>
      <c r="CN53" s="453" t="str">
        <f t="shared" si="16"/>
        <v>ÿÿÿÿ-ÿÿ</v>
      </c>
    </row>
    <row r="54" spans="1:92" ht="15" thickBot="1" x14ac:dyDescent="0.35">
      <c r="A54" s="368" t="s">
        <v>161</v>
      </c>
      <c r="B54" s="368" t="s">
        <v>162</v>
      </c>
      <c r="C54" s="368" t="s">
        <v>327</v>
      </c>
      <c r="D54" s="368" t="s">
        <v>234</v>
      </c>
      <c r="E54" s="368" t="s">
        <v>401</v>
      </c>
      <c r="F54" s="369" t="s">
        <v>402</v>
      </c>
      <c r="G54" s="368" t="s">
        <v>401</v>
      </c>
      <c r="H54" s="370"/>
      <c r="I54" s="370"/>
      <c r="J54" s="368" t="s">
        <v>315</v>
      </c>
      <c r="K54" s="368" t="s">
        <v>235</v>
      </c>
      <c r="L54" s="368" t="s">
        <v>200</v>
      </c>
      <c r="M54" s="368" t="s">
        <v>288</v>
      </c>
      <c r="N54" s="368" t="s">
        <v>289</v>
      </c>
      <c r="O54" s="371">
        <v>0</v>
      </c>
      <c r="P54" s="451">
        <v>0.33</v>
      </c>
      <c r="Q54" s="451">
        <v>0</v>
      </c>
      <c r="R54" s="372">
        <v>0</v>
      </c>
      <c r="S54" s="451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0"/>
      <c r="AB54" s="368" t="s">
        <v>45</v>
      </c>
      <c r="AC54" s="368" t="s">
        <v>45</v>
      </c>
      <c r="AD54" s="370"/>
      <c r="AE54" s="370"/>
      <c r="AF54" s="370"/>
      <c r="AG54" s="370"/>
      <c r="AH54" s="371">
        <v>0</v>
      </c>
      <c r="AI54" s="371">
        <v>0</v>
      </c>
      <c r="AJ54" s="370"/>
      <c r="AK54" s="370"/>
      <c r="AL54" s="368" t="s">
        <v>181</v>
      </c>
      <c r="AM54" s="370"/>
      <c r="AN54" s="370"/>
      <c r="AO54" s="371">
        <v>0</v>
      </c>
      <c r="AP54" s="451">
        <v>0</v>
      </c>
      <c r="AQ54" s="451">
        <v>0</v>
      </c>
      <c r="AR54" s="450"/>
      <c r="AS54" s="453">
        <f t="shared" si="0"/>
        <v>0</v>
      </c>
      <c r="AT54">
        <f t="shared" si="1"/>
        <v>0</v>
      </c>
      <c r="AU54" s="453" t="str">
        <f>IF(AT54=0,"",IF(AND(AT54=1,M54="F",SUMIF(C2:C55,C54,AS2:AS55)&lt;=1),SUMIF(C2:C55,C54,AS2:AS55),IF(AND(AT54=1,M54="F",SUMIF(C2:C55,C54,AS2:AS55)&gt;1),1,"")))</f>
        <v/>
      </c>
      <c r="AV54" s="453" t="str">
        <f>IF(AT54=0,"",IF(AND(AT54=3,M54="F",SUMIF(C2:C55,C54,AS2:AS55)&lt;=1),SUMIF(C2:C55,C54,AS2:AS55),IF(AND(AT54=3,M54="F",SUMIF(C2:C55,C54,AS2:AS55)&gt;1),1,"")))</f>
        <v/>
      </c>
      <c r="AW54" s="453">
        <f>SUMIF(C2:C55,C54,O2:O55)</f>
        <v>0</v>
      </c>
      <c r="AX54" s="453">
        <f>IF(AND(M54="F",AS54&lt;&gt;0),SUMIF(C2:C55,C54,W2:W55),0)</f>
        <v>0</v>
      </c>
      <c r="AY54" s="453" t="str">
        <f t="shared" si="2"/>
        <v/>
      </c>
      <c r="AZ54" s="453" t="str">
        <f t="shared" si="3"/>
        <v/>
      </c>
      <c r="BA54" s="453">
        <f t="shared" si="4"/>
        <v>0</v>
      </c>
      <c r="BB54" s="453">
        <f>IF(AND(AT54=1,AK54="E",AU54&gt;=0.75,AW54=1),Health,IF(AND(AT54=1,AK54="E",AU54&gt;=0.75),Health*P54,IF(AND(AT54=1,AK54="E",AU54&gt;=0.5,AW54=1),PTHealth,IF(AND(AT54=1,AK54="E",AU54&gt;=0.5),PTHealth*P54,0))))</f>
        <v>0</v>
      </c>
      <c r="BC54" s="453">
        <f>IF(AND(AT54=3,AK54="E",AV54&gt;=0.75,AW54=1),Health,IF(AND(AT54=3,AK54="E",AV54&gt;=0.75),Health*P54,IF(AND(AT54=3,AK54="E",AV54&gt;=0.5,AW54=1),PTHealth,IF(AND(AT54=3,AK54="E",AV54&gt;=0.5),PTHealth*P54,0))))</f>
        <v>0</v>
      </c>
      <c r="BD54" s="453">
        <f>IF(AND(AT54&lt;&gt;0,AX54&gt;=MAXSSDI),SSDI*MAXSSDI*P54,IF(AT54&lt;&gt;0,SSDI*W54,0))</f>
        <v>0</v>
      </c>
      <c r="BE54" s="453">
        <f>IF(AT54&lt;&gt;0,SSHI*W54,0)</f>
        <v>0</v>
      </c>
      <c r="BF54" s="453">
        <f>IF(AND(AT54&lt;&gt;0,AN54&lt;&gt;"NE"),VLOOKUP(AN54,Retirement_Rates,3,FALSE)*W54,0)</f>
        <v>0</v>
      </c>
      <c r="BG54" s="453">
        <f>IF(AND(AT54&lt;&gt;0,AJ54&lt;&gt;"PF"),Life*W54,0)</f>
        <v>0</v>
      </c>
      <c r="BH54" s="453">
        <f>IF(AND(AT54&lt;&gt;0,AM54="Y"),UI*W54,0)</f>
        <v>0</v>
      </c>
      <c r="BI54" s="453">
        <f>IF(AND(AT54&lt;&gt;0,N54&lt;&gt;"NR"),DHR*W54,0)</f>
        <v>0</v>
      </c>
      <c r="BJ54" s="453">
        <f>IF(AT54&lt;&gt;0,WC*W54,0)</f>
        <v>0</v>
      </c>
      <c r="BK54" s="453">
        <f>IF(OR(AND(AT54&lt;&gt;0,AJ54&lt;&gt;"PF",AN54&lt;&gt;"NE",AG54&lt;&gt;"A"),AND(AL54="E",OR(AT54=1,AT54=3))),Sick*W54,0)</f>
        <v>0</v>
      </c>
      <c r="BL54" s="453">
        <f t="shared" si="5"/>
        <v>0</v>
      </c>
      <c r="BM54" s="453">
        <f t="shared" si="6"/>
        <v>0</v>
      </c>
      <c r="BN54" s="453">
        <f>IF(AND(AT54=1,AK54="E",AU54&gt;=0.75,AW54=1),HealthBY,IF(AND(AT54=1,AK54="E",AU54&gt;=0.75),HealthBY*P54,IF(AND(AT54=1,AK54="E",AU54&gt;=0.5,AW54=1),PTHealthBY,IF(AND(AT54=1,AK54="E",AU54&gt;=0.5),PTHealthBY*P54,0))))</f>
        <v>0</v>
      </c>
      <c r="BO54" s="453">
        <f>IF(AND(AT54=3,AK54="E",AV54&gt;=0.75,AW54=1),HealthBY,IF(AND(AT54=3,AK54="E",AV54&gt;=0.75),HealthBY*P54,IF(AND(AT54=3,AK54="E",AV54&gt;=0.5,AW54=1),PTHealthBY,IF(AND(AT54=3,AK54="E",AV54&gt;=0.5),PTHealthBY*P54,0))))</f>
        <v>0</v>
      </c>
      <c r="BP54" s="453">
        <f>IF(AND(AT54&lt;&gt;0,(AX54+BA54)&gt;=MAXSSDIBY),SSDIBY*MAXSSDIBY*P54,IF(AT54&lt;&gt;0,SSDIBY*W54,0))</f>
        <v>0</v>
      </c>
      <c r="BQ54" s="453">
        <f>IF(AT54&lt;&gt;0,SSHIBY*W54,0)</f>
        <v>0</v>
      </c>
      <c r="BR54" s="453">
        <f>IF(AND(AT54&lt;&gt;0,AN54&lt;&gt;"NE"),VLOOKUP(AN54,Retirement_Rates,4,FALSE)*W54,0)</f>
        <v>0</v>
      </c>
      <c r="BS54" s="453">
        <f>IF(AND(AT54&lt;&gt;0,AJ54&lt;&gt;"PF"),LifeBY*W54,0)</f>
        <v>0</v>
      </c>
      <c r="BT54" s="453">
        <f>IF(AND(AT54&lt;&gt;0,AM54="Y"),UIBY*W54,0)</f>
        <v>0</v>
      </c>
      <c r="BU54" s="453">
        <f>IF(AND(AT54&lt;&gt;0,N54&lt;&gt;"NR"),DHRBY*W54,0)</f>
        <v>0</v>
      </c>
      <c r="BV54" s="453">
        <f>IF(AT54&lt;&gt;0,WCBY*W54,0)</f>
        <v>0</v>
      </c>
      <c r="BW54" s="453">
        <f>IF(OR(AND(AT54&lt;&gt;0,AJ54&lt;&gt;"PF",AN54&lt;&gt;"NE",AG54&lt;&gt;"A"),AND(AL54="E",OR(AT54=1,AT54=3))),SickBY*W54,0)</f>
        <v>0</v>
      </c>
      <c r="BX54" s="453">
        <f t="shared" si="7"/>
        <v>0</v>
      </c>
      <c r="BY54" s="453">
        <f t="shared" si="8"/>
        <v>0</v>
      </c>
      <c r="BZ54" s="453">
        <f t="shared" si="9"/>
        <v>0</v>
      </c>
      <c r="CA54" s="453">
        <f t="shared" si="10"/>
        <v>0</v>
      </c>
      <c r="CB54" s="453">
        <f t="shared" si="11"/>
        <v>0</v>
      </c>
      <c r="CC54" s="453">
        <f>IF(AT54&lt;&gt;0,SSHICHG*Y54,0)</f>
        <v>0</v>
      </c>
      <c r="CD54" s="453">
        <f>IF(AND(AT54&lt;&gt;0,AN54&lt;&gt;"NE"),VLOOKUP(AN54,Retirement_Rates,5,FALSE)*Y54,0)</f>
        <v>0</v>
      </c>
      <c r="CE54" s="453">
        <f>IF(AND(AT54&lt;&gt;0,AJ54&lt;&gt;"PF"),LifeCHG*Y54,0)</f>
        <v>0</v>
      </c>
      <c r="CF54" s="453">
        <f>IF(AND(AT54&lt;&gt;0,AM54="Y"),UICHG*Y54,0)</f>
        <v>0</v>
      </c>
      <c r="CG54" s="453">
        <f>IF(AND(AT54&lt;&gt;0,N54&lt;&gt;"NR"),DHRCHG*Y54,0)</f>
        <v>0</v>
      </c>
      <c r="CH54" s="453">
        <f>IF(AT54&lt;&gt;0,WCCHG*Y54,0)</f>
        <v>0</v>
      </c>
      <c r="CI54" s="453">
        <f>IF(OR(AND(AT54&lt;&gt;0,AJ54&lt;&gt;"PF",AN54&lt;&gt;"NE",AG54&lt;&gt;"A"),AND(AL54="E",OR(AT54=1,AT54=3))),SickCHG*Y54,0)</f>
        <v>0</v>
      </c>
      <c r="CJ54" s="453">
        <f t="shared" si="12"/>
        <v>0</v>
      </c>
      <c r="CK54" s="453" t="str">
        <f t="shared" si="13"/>
        <v/>
      </c>
      <c r="CL54" s="453">
        <f t="shared" si="14"/>
        <v>0</v>
      </c>
      <c r="CM54" s="453">
        <f t="shared" si="15"/>
        <v>0</v>
      </c>
      <c r="CN54" s="453" t="str">
        <f t="shared" si="16"/>
        <v>ÿÿÿÿ-ÿÿ</v>
      </c>
    </row>
    <row r="55" spans="1:92" ht="15" thickBot="1" x14ac:dyDescent="0.35">
      <c r="A55" s="368" t="s">
        <v>161</v>
      </c>
      <c r="B55" s="368" t="s">
        <v>162</v>
      </c>
      <c r="C55" s="368" t="s">
        <v>251</v>
      </c>
      <c r="D55" s="368" t="s">
        <v>198</v>
      </c>
      <c r="E55" s="368" t="s">
        <v>401</v>
      </c>
      <c r="F55" s="369" t="s">
        <v>402</v>
      </c>
      <c r="G55" s="368" t="s">
        <v>401</v>
      </c>
      <c r="H55" s="370"/>
      <c r="I55" s="370"/>
      <c r="J55" s="368" t="s">
        <v>252</v>
      </c>
      <c r="K55" s="368" t="s">
        <v>199</v>
      </c>
      <c r="L55" s="368" t="s">
        <v>200</v>
      </c>
      <c r="M55" s="368" t="s">
        <v>171</v>
      </c>
      <c r="N55" s="368" t="s">
        <v>172</v>
      </c>
      <c r="O55" s="371">
        <v>1</v>
      </c>
      <c r="P55" s="451">
        <v>0.1</v>
      </c>
      <c r="Q55" s="451">
        <v>0.1</v>
      </c>
      <c r="R55" s="372">
        <v>80</v>
      </c>
      <c r="S55" s="451">
        <v>0.1</v>
      </c>
      <c r="T55" s="372">
        <v>0</v>
      </c>
      <c r="U55" s="372">
        <v>0</v>
      </c>
      <c r="V55" s="372">
        <v>0</v>
      </c>
      <c r="W55" s="372">
        <v>5000.32</v>
      </c>
      <c r="X55" s="372">
        <v>2355.62</v>
      </c>
      <c r="Y55" s="372">
        <v>5000.32</v>
      </c>
      <c r="Z55" s="372">
        <v>2341.12</v>
      </c>
      <c r="AA55" s="368" t="s">
        <v>253</v>
      </c>
      <c r="AB55" s="368" t="s">
        <v>254</v>
      </c>
      <c r="AC55" s="368" t="s">
        <v>255</v>
      </c>
      <c r="AD55" s="368" t="s">
        <v>256</v>
      </c>
      <c r="AE55" s="368" t="s">
        <v>199</v>
      </c>
      <c r="AF55" s="368" t="s">
        <v>177</v>
      </c>
      <c r="AG55" s="368" t="s">
        <v>178</v>
      </c>
      <c r="AH55" s="373">
        <v>24.04</v>
      </c>
      <c r="AI55" s="373">
        <v>13942.1</v>
      </c>
      <c r="AJ55" s="368" t="s">
        <v>179</v>
      </c>
      <c r="AK55" s="368" t="s">
        <v>180</v>
      </c>
      <c r="AL55" s="368" t="s">
        <v>181</v>
      </c>
      <c r="AM55" s="368" t="s">
        <v>182</v>
      </c>
      <c r="AN55" s="368" t="s">
        <v>68</v>
      </c>
      <c r="AO55" s="371">
        <v>80</v>
      </c>
      <c r="AP55" s="451">
        <v>1</v>
      </c>
      <c r="AQ55" s="451">
        <v>0.1</v>
      </c>
      <c r="AR55" s="449" t="s">
        <v>183</v>
      </c>
      <c r="AS55" s="453">
        <f t="shared" si="0"/>
        <v>0.1</v>
      </c>
      <c r="AT55">
        <f t="shared" si="1"/>
        <v>1</v>
      </c>
      <c r="AU55" s="453">
        <f>IF(AT55=0,"",IF(AND(AT55=1,M55="F",SUMIF(C2:C55,C55,AS2:AS55)&lt;=1),SUMIF(C2:C55,C55,AS2:AS55),IF(AND(AT55=1,M55="F",SUMIF(C2:C55,C55,AS2:AS55)&gt;1),1,"")))</f>
        <v>1</v>
      </c>
      <c r="AV55" s="453" t="str">
        <f>IF(AT55=0,"",IF(AND(AT55=3,M55="F",SUMIF(C2:C55,C55,AS2:AS55)&lt;=1),SUMIF(C2:C55,C55,AS2:AS55),IF(AND(AT55=3,M55="F",SUMIF(C2:C55,C55,AS2:AS55)&gt;1),1,"")))</f>
        <v/>
      </c>
      <c r="AW55" s="453">
        <f>SUMIF(C2:C55,C55,O2:O55)</f>
        <v>2</v>
      </c>
      <c r="AX55" s="453">
        <f>IF(AND(M55="F",AS55&lt;&gt;0),SUMIF(C2:C55,C55,W2:W55),0)</f>
        <v>50003.199999999997</v>
      </c>
      <c r="AY55" s="453">
        <f t="shared" si="2"/>
        <v>5000.32</v>
      </c>
      <c r="AZ55" s="453" t="str">
        <f t="shared" si="3"/>
        <v/>
      </c>
      <c r="BA55" s="453">
        <f t="shared" si="4"/>
        <v>0</v>
      </c>
      <c r="BB55" s="453">
        <f>IF(AND(AT55=1,AK55="E",AU55&gt;=0.75,AW55=1),Health,IF(AND(AT55=1,AK55="E",AU55&gt;=0.75),Health*P55,IF(AND(AT55=1,AK55="E",AU55&gt;=0.5,AW55=1),PTHealth,IF(AND(AT55=1,AK55="E",AU55&gt;=0.5),PTHealth*P55,0))))</f>
        <v>1165</v>
      </c>
      <c r="BC55" s="453">
        <f>IF(AND(AT55=3,AK55="E",AV55&gt;=0.75,AW55=1),Health,IF(AND(AT55=3,AK55="E",AV55&gt;=0.75),Health*P55,IF(AND(AT55=3,AK55="E",AV55&gt;=0.5,AW55=1),PTHealth,IF(AND(AT55=3,AK55="E",AV55&gt;=0.5),PTHealth*P55,0))))</f>
        <v>0</v>
      </c>
      <c r="BD55" s="453">
        <f>IF(AND(AT55&lt;&gt;0,AX55&gt;=MAXSSDI),SSDI*MAXSSDI*P55,IF(AT55&lt;&gt;0,SSDI*W55,0))</f>
        <v>310.01983999999999</v>
      </c>
      <c r="BE55" s="453">
        <f>IF(AT55&lt;&gt;0,SSHI*W55,0)</f>
        <v>72.504639999999995</v>
      </c>
      <c r="BF55" s="453">
        <f>IF(AND(AT55&lt;&gt;0,AN55&lt;&gt;"NE"),VLOOKUP(AN55,Retirement_Rates,3,FALSE)*W55,0)</f>
        <v>597.03820799999994</v>
      </c>
      <c r="BG55" s="453">
        <f>IF(AND(AT55&lt;&gt;0,AJ55&lt;&gt;"PF"),Life*W55,0)</f>
        <v>36.052307200000001</v>
      </c>
      <c r="BH55" s="453">
        <f>IF(AND(AT55&lt;&gt;0,AM55="Y"),UI*W55,0)</f>
        <v>24.501567999999999</v>
      </c>
      <c r="BI55" s="453">
        <f>IF(AND(AT55&lt;&gt;0,N55&lt;&gt;"NR"),DHR*W55,0)</f>
        <v>0</v>
      </c>
      <c r="BJ55" s="453">
        <f>IF(AT55&lt;&gt;0,WC*W55,0)</f>
        <v>150.50963199999998</v>
      </c>
      <c r="BK55" s="453">
        <f>IF(OR(AND(AT55&lt;&gt;0,AJ55&lt;&gt;"PF",AN55&lt;&gt;"NE",AG55&lt;&gt;"A"),AND(AL55="E",OR(AT55=1,AT55=3))),Sick*W55,0)</f>
        <v>0</v>
      </c>
      <c r="BL55" s="453">
        <f t="shared" si="5"/>
        <v>1190.6261952</v>
      </c>
      <c r="BM55" s="453">
        <f t="shared" si="6"/>
        <v>0</v>
      </c>
      <c r="BN55" s="453">
        <f>IF(AND(AT55=1,AK55="E",AU55&gt;=0.75,AW55=1),HealthBY,IF(AND(AT55=1,AK55="E",AU55&gt;=0.75),HealthBY*P55,IF(AND(AT55=1,AK55="E",AU55&gt;=0.5,AW55=1),PTHealthBY,IF(AND(AT55=1,AK55="E",AU55&gt;=0.5),PTHealthBY*P55,0))))</f>
        <v>1165</v>
      </c>
      <c r="BO55" s="453">
        <f>IF(AND(AT55=3,AK55="E",AV55&gt;=0.75,AW55=1),HealthBY,IF(AND(AT55=3,AK55="E",AV55&gt;=0.75),HealthBY*P55,IF(AND(AT55=3,AK55="E",AV55&gt;=0.5,AW55=1),PTHealthBY,IF(AND(AT55=3,AK55="E",AV55&gt;=0.5),PTHealthBY*P55,0))))</f>
        <v>0</v>
      </c>
      <c r="BP55" s="453">
        <f>IF(AND(AT55&lt;&gt;0,(AX55+BA55)&gt;=MAXSSDIBY),SSDIBY*MAXSSDIBY*P55,IF(AT55&lt;&gt;0,SSDIBY*W55,0))</f>
        <v>310.01983999999999</v>
      </c>
      <c r="BQ55" s="453">
        <f>IF(AT55&lt;&gt;0,SSHIBY*W55,0)</f>
        <v>72.504639999999995</v>
      </c>
      <c r="BR55" s="453">
        <f>IF(AND(AT55&lt;&gt;0,AN55&lt;&gt;"NE"),VLOOKUP(AN55,Retirement_Rates,4,FALSE)*W55,0)</f>
        <v>597.03820799999994</v>
      </c>
      <c r="BS55" s="453">
        <f>IF(AND(AT55&lt;&gt;0,AJ55&lt;&gt;"PF"),LifeBY*W55,0)</f>
        <v>36.052307200000001</v>
      </c>
      <c r="BT55" s="453">
        <f>IF(AND(AT55&lt;&gt;0,AM55="Y"),UIBY*W55,0)</f>
        <v>0</v>
      </c>
      <c r="BU55" s="453">
        <f>IF(AND(AT55&lt;&gt;0,N55&lt;&gt;"NR"),DHRBY*W55,0)</f>
        <v>0</v>
      </c>
      <c r="BV55" s="453">
        <f>IF(AT55&lt;&gt;0,WCBY*W55,0)</f>
        <v>160.51027199999999</v>
      </c>
      <c r="BW55" s="453">
        <f>IF(OR(AND(AT55&lt;&gt;0,AJ55&lt;&gt;"PF",AN55&lt;&gt;"NE",AG55&lt;&gt;"A"),AND(AL55="E",OR(AT55=1,AT55=3))),SickBY*W55,0)</f>
        <v>0</v>
      </c>
      <c r="BX55" s="453">
        <f t="shared" si="7"/>
        <v>1176.1252672000001</v>
      </c>
      <c r="BY55" s="453">
        <f t="shared" si="8"/>
        <v>0</v>
      </c>
      <c r="BZ55" s="453">
        <f t="shared" si="9"/>
        <v>0</v>
      </c>
      <c r="CA55" s="453">
        <f t="shared" si="10"/>
        <v>0</v>
      </c>
      <c r="CB55" s="453">
        <f t="shared" si="11"/>
        <v>0</v>
      </c>
      <c r="CC55" s="453">
        <f>IF(AT55&lt;&gt;0,SSHICHG*Y55,0)</f>
        <v>0</v>
      </c>
      <c r="CD55" s="453">
        <f>IF(AND(AT55&lt;&gt;0,AN55&lt;&gt;"NE"),VLOOKUP(AN55,Retirement_Rates,5,FALSE)*Y55,0)</f>
        <v>0</v>
      </c>
      <c r="CE55" s="453">
        <f>IF(AND(AT55&lt;&gt;0,AJ55&lt;&gt;"PF"),LifeCHG*Y55,0)</f>
        <v>0</v>
      </c>
      <c r="CF55" s="453">
        <f>IF(AND(AT55&lt;&gt;0,AM55="Y"),UICHG*Y55,0)</f>
        <v>-24.501567999999999</v>
      </c>
      <c r="CG55" s="453">
        <f>IF(AND(AT55&lt;&gt;0,N55&lt;&gt;"NR"),DHRCHG*Y55,0)</f>
        <v>0</v>
      </c>
      <c r="CH55" s="453">
        <f>IF(AT55&lt;&gt;0,WCCHG*Y55,0)</f>
        <v>10.000639999999992</v>
      </c>
      <c r="CI55" s="453">
        <f>IF(OR(AND(AT55&lt;&gt;0,AJ55&lt;&gt;"PF",AN55&lt;&gt;"NE",AG55&lt;&gt;"A"),AND(AL55="E",OR(AT55=1,AT55=3))),SickCHG*Y55,0)</f>
        <v>0</v>
      </c>
      <c r="CJ55" s="453">
        <f t="shared" si="12"/>
        <v>-14.500928000000007</v>
      </c>
      <c r="CK55" s="453" t="str">
        <f t="shared" si="13"/>
        <v/>
      </c>
      <c r="CL55" s="453" t="str">
        <f t="shared" si="14"/>
        <v/>
      </c>
      <c r="CM55" s="453" t="str">
        <f t="shared" si="15"/>
        <v/>
      </c>
      <c r="CN55" s="453" t="str">
        <f t="shared" si="16"/>
        <v>ÿÿÿÿ-ÿÿ</v>
      </c>
    </row>
    <row r="57" spans="1:92" ht="21" x14ac:dyDescent="0.4">
      <c r="AQ57" s="251" t="s">
        <v>453</v>
      </c>
    </row>
    <row r="58" spans="1:92" ht="15" thickBot="1" x14ac:dyDescent="0.35">
      <c r="AR58" t="s">
        <v>451</v>
      </c>
      <c r="AS58" s="453">
        <f>SUMIFS(AS2:AS55,G2:G55,"CRAJ",E2:E55,"0421",F2:F55,"01",AT2:AT55,1)</f>
        <v>34.03</v>
      </c>
      <c r="AT58" s="453">
        <f>SUMIFS(AS2:AS55,G2:G55,"CRAJ",E2:E55,"0421",F2:F55,"01",AT2:AT55,3)</f>
        <v>0</v>
      </c>
      <c r="AU58" s="453">
        <f>SUMIFS(AU2:AU55,G2:G55,"CRAJ",E2:E55,"0421",F2:F55,"01")</f>
        <v>35</v>
      </c>
      <c r="AV58" s="453">
        <f>SUMIFS(AV2:AV55,G2:G55,"CRAJ",E2:E55,"0421",F2:F55,"01")</f>
        <v>0</v>
      </c>
      <c r="AW58" s="453">
        <f>SUMIFS(AW2:AW55,G2:G55,"CRAJ",E2:E55,"0421",F2:F55,"01")</f>
        <v>37</v>
      </c>
      <c r="AX58" s="453">
        <f>SUMIFS(AX2:AX55,G2:G55,"CRAJ",E2:E55,"0421",F2:F55,"01")</f>
        <v>1795705.59</v>
      </c>
      <c r="AY58" s="453">
        <f>SUMIFS(AY2:AY55,G2:G55,"CRAJ",E2:E55,"0421",F2:F55,"01")</f>
        <v>1748306.3499999999</v>
      </c>
      <c r="AZ58" s="453">
        <f>SUMIFS(AZ2:AZ55,G2:G55,"CRAJ",E2:E55,"0421",F2:F55,"01")</f>
        <v>0</v>
      </c>
      <c r="BA58" s="453">
        <f>SUMIFS(BA2:BA55,G2:G55,"CRAJ",E2:E55,"0421",F2:F55,"01")</f>
        <v>0</v>
      </c>
      <c r="BB58" s="453">
        <f>SUMIFS(BB2:BB55,G2:G55,"CRAJ",E2:E55,"0421",F2:F55,"01")</f>
        <v>396449.5</v>
      </c>
      <c r="BC58" s="453">
        <f>SUMIFS(BC2:BC55,G2:G55,"CRAJ",E2:E55,"0421",F2:F55,"01")</f>
        <v>0</v>
      </c>
      <c r="BD58" s="453">
        <f>SUMIFS(BD2:BD55,G2:G55,"CRAJ",E2:E55,"0421",F2:F55,"01")</f>
        <v>108394.99369999999</v>
      </c>
      <c r="BE58" s="453">
        <f>SUMIFS(BE2:BE55,G2:G55,"CRAJ",E2:E55,"0421",F2:F55,"01")</f>
        <v>25350.44207500001</v>
      </c>
      <c r="BF58" s="453">
        <f>SUMIFS(BF2:BF55,G2:G55,"CRAJ",E2:E55,"0421",F2:F55,"01")</f>
        <v>209478.03291000001</v>
      </c>
      <c r="BG58" s="453">
        <f>SUMIFS(BG2:BG55,G2:G55,"CRAJ",E2:E55,"0421",F2:F55,"01")</f>
        <v>12605.2887835</v>
      </c>
      <c r="BH58" s="453">
        <f>SUMIFS(BH2:BH55,G2:G55,"CRAJ",E2:E55,"0421",F2:F55,"01")</f>
        <v>7995.4395149999982</v>
      </c>
      <c r="BI58" s="453">
        <f>SUMIFS(BI2:BI55,G2:G55,"CRAJ",E2:E55,"0421",F2:F55,"01")</f>
        <v>0</v>
      </c>
      <c r="BJ58" s="453">
        <f>SUMIFS(BJ2:BJ55,G2:G55,"CRAJ",E2:E55,"0421",F2:F55,"01")</f>
        <v>52624.021134999988</v>
      </c>
      <c r="BK58" s="453">
        <f>SUMIFS(BK2:BK55,G2:G55,"CRAJ",E2:E55,"0421",F2:F55,"01")</f>
        <v>0</v>
      </c>
      <c r="BL58" s="453">
        <f>SUMIFS(BL2:BL55,G2:G55,"CRAJ",E2:E55,"0421",F2:F55,"01")</f>
        <v>416448.21811850008</v>
      </c>
      <c r="BM58" s="453">
        <f>SUMIFS(BM2:BM55,G2:G55,"CRAJ",E2:E55,"0421",F2:F55,"01")</f>
        <v>0</v>
      </c>
      <c r="BN58" s="453">
        <f>SUMIFS(BN2:BN55,G2:G55,"CRAJ",E2:E55,"0421",F2:F55,"01")</f>
        <v>396449.5</v>
      </c>
      <c r="BO58" s="453">
        <f>SUMIFS(BO2:BO55,G2:G55,"CRAJ",E2:E55,"0421",F2:F55,"01")</f>
        <v>0</v>
      </c>
      <c r="BP58" s="453">
        <f>SUMIFS(BP2:BP55,G2:G55,"CRAJ",E2:E55,"0421",F2:F55,"01")</f>
        <v>108394.99369999999</v>
      </c>
      <c r="BQ58" s="453">
        <f>SUMIFS(BQ2:BQ55,G2:G55,"CRAJ",E2:E55,"0421",F2:F55,"01")</f>
        <v>25350.44207500001</v>
      </c>
      <c r="BR58" s="453">
        <f>SUMIFS(BR2:BR55,G2:G55,"CRAJ",E2:E55,"0421",F2:F55,"01")</f>
        <v>209478.03291000001</v>
      </c>
      <c r="BS58" s="453">
        <f>SUMIFS(BS2:BS55,G2:G55,"CRAJ",E2:E55,"0421",F2:F55,"01")</f>
        <v>12605.2887835</v>
      </c>
      <c r="BT58" s="453">
        <f>SUMIFS(BT2:BT55,G2:G55,"CRAJ",E2:E55,"0421",F2:F55,"01")</f>
        <v>0</v>
      </c>
      <c r="BU58" s="453">
        <f>SUMIFS(BU2:BU55,G2:G55,"CRAJ",E2:E55,"0421",F2:F55,"01")</f>
        <v>0</v>
      </c>
      <c r="BV58" s="453">
        <f>SUMIFS(BV2:BV55,G2:G55,"CRAJ",E2:E55,"0421",F2:F55,"01")</f>
        <v>56120.633835000001</v>
      </c>
      <c r="BW58" s="453">
        <f>SUMIFS(BW2:BW55,G2:G55,"CRAJ",E2:E55,"0421",F2:F55,"01")</f>
        <v>0</v>
      </c>
      <c r="BX58" s="453">
        <f>SUMIFS(BX2:BX55,G2:G55,"CRAJ",E2:E55,"0421",F2:F55,"01")</f>
        <v>411949.3913035001</v>
      </c>
      <c r="BY58" s="453">
        <f>SUMIFS(BY2:BY55,G2:G55,"CRAJ",E2:E55,"0421",F2:F55,"01")</f>
        <v>0</v>
      </c>
      <c r="BZ58" s="453">
        <f>SUMIFS(BZ2:BZ55,G2:G55,"CRAJ",E2:E55,"0421",F2:F55,"01")</f>
        <v>0</v>
      </c>
      <c r="CA58" s="453">
        <f>SUMIFS(CA2:CA55,G2:G55,"CRAJ",E2:E55,"0421",F2:F55,"01")</f>
        <v>0</v>
      </c>
      <c r="CB58" s="453">
        <f>SUMIFS(CB2:CB55,G2:G55,"CRAJ",E2:E55,"0421",F2:F55,"01")</f>
        <v>0</v>
      </c>
      <c r="CC58" s="453">
        <f>SUMIFS(CC2:CC55,G2:G55,"CRAJ",E2:E55,"0421",F2:F55,"01")</f>
        <v>0</v>
      </c>
      <c r="CD58" s="453">
        <f>SUMIFS(CD2:CD55,G2:G55,"CRAJ",E2:E55,"0421",F2:F55,"01")</f>
        <v>0</v>
      </c>
      <c r="CE58" s="453">
        <f>SUMIFS(CE2:CE55,G2:G55,"CRAJ",E2:E55,"0421",F2:F55,"01")</f>
        <v>0</v>
      </c>
      <c r="CF58" s="453">
        <f>SUMIFS(CF2:CF55,G2:G55,"CRAJ",E2:E55,"0421",F2:F55,"01")</f>
        <v>-7995.4395149999982</v>
      </c>
      <c r="CG58" s="453">
        <f>SUMIFS(CG2:CG55,G2:G55,"CRAJ",E2:E55,"0421",F2:F55,"01")</f>
        <v>0</v>
      </c>
      <c r="CH58" s="453">
        <f>SUMIFS(CH2:CH55,G2:G55,"CRAJ",E2:E55,"0421",F2:F55,"01")</f>
        <v>3496.6126999999969</v>
      </c>
      <c r="CI58" s="453">
        <f>SUMIFS(CI2:CI55,G2:G55,"CRAJ",E2:E55,"0421",F2:F55,"01")</f>
        <v>0</v>
      </c>
      <c r="CJ58" s="453">
        <f>SUMIFS(CJ2:CJ55,G2:G55,"CRAJ",E2:E55,"0421",F2:F55,"01")</f>
        <v>-4498.8268150000031</v>
      </c>
      <c r="CK58" s="453">
        <f>SUMIFS(CK2:CK55,G2:G55,"CRAJ",E2:E55,"0421",F2:F55,"01")</f>
        <v>0</v>
      </c>
      <c r="CL58" s="453">
        <f>SUMIFS(CL2:CL55,G2:G55,"CRAJ",E2:E55,"0421",F2:F55,"01")</f>
        <v>0</v>
      </c>
      <c r="CM58" s="453">
        <f>SUMIFS(CM2:CM55,G2:G55,"CRAJ",E2:E55,"0421",F2:F55,"01")</f>
        <v>0</v>
      </c>
    </row>
    <row r="59" spans="1:92" ht="18" x14ac:dyDescent="0.35">
      <c r="AQ59" s="459" t="s">
        <v>452</v>
      </c>
      <c r="AS59" s="460">
        <f>SUM(AS58:AS58)</f>
        <v>34.03</v>
      </c>
      <c r="AT59" s="460">
        <f>SUM(AT58:AT58)</f>
        <v>0</v>
      </c>
      <c r="AU59" s="460">
        <f>SUM(AU58:AU58)</f>
        <v>35</v>
      </c>
      <c r="AV59" s="460">
        <f>SUM(AV58:AV58)</f>
        <v>0</v>
      </c>
      <c r="AW59" s="460">
        <f>SUM(AW58:AW58)</f>
        <v>37</v>
      </c>
      <c r="AX59" s="460">
        <f>SUM(AX58:AX58)</f>
        <v>1795705.59</v>
      </c>
      <c r="AY59" s="460">
        <f>SUM(AY58:AY58)</f>
        <v>1748306.3499999999</v>
      </c>
      <c r="AZ59" s="460">
        <f>SUM(AZ58:AZ58)</f>
        <v>0</v>
      </c>
      <c r="BA59" s="460">
        <f>SUM(BA58:BA58)</f>
        <v>0</v>
      </c>
      <c r="BB59" s="460">
        <f>SUM(BB58:BB58)</f>
        <v>396449.5</v>
      </c>
      <c r="BC59" s="460">
        <f>SUM(BC58:BC58)</f>
        <v>0</v>
      </c>
      <c r="BD59" s="460">
        <f>SUM(BD58:BD58)</f>
        <v>108394.99369999999</v>
      </c>
      <c r="BE59" s="460">
        <f>SUM(BE58:BE58)</f>
        <v>25350.44207500001</v>
      </c>
      <c r="BF59" s="460">
        <f>SUM(BF58:BF58)</f>
        <v>209478.03291000001</v>
      </c>
      <c r="BG59" s="460">
        <f>SUM(BG58:BG58)</f>
        <v>12605.2887835</v>
      </c>
      <c r="BH59" s="460">
        <f>SUM(BH58:BH58)</f>
        <v>7995.4395149999982</v>
      </c>
      <c r="BI59" s="460">
        <f>SUM(BI58:BI58)</f>
        <v>0</v>
      </c>
      <c r="BJ59" s="460">
        <f>SUM(BJ58:BJ58)</f>
        <v>52624.021134999988</v>
      </c>
      <c r="BK59" s="460">
        <f>SUM(BK58:BK58)</f>
        <v>0</v>
      </c>
      <c r="BL59" s="460">
        <f>SUM(BL58:BL58)</f>
        <v>416448.21811850008</v>
      </c>
      <c r="BM59" s="460">
        <f>SUM(BM58:BM58)</f>
        <v>0</v>
      </c>
      <c r="BN59" s="460">
        <f>SUM(BN58:BN58)</f>
        <v>396449.5</v>
      </c>
      <c r="BO59" s="460">
        <f>SUM(BO58:BO58)</f>
        <v>0</v>
      </c>
      <c r="BP59" s="460">
        <f>SUM(BP58:BP58)</f>
        <v>108394.99369999999</v>
      </c>
      <c r="BQ59" s="460">
        <f>SUM(BQ58:BQ58)</f>
        <v>25350.44207500001</v>
      </c>
      <c r="BR59" s="460">
        <f>SUM(BR58:BR58)</f>
        <v>209478.03291000001</v>
      </c>
      <c r="BS59" s="460">
        <f>SUM(BS58:BS58)</f>
        <v>12605.2887835</v>
      </c>
      <c r="BT59" s="460">
        <f>SUM(BT58:BT58)</f>
        <v>0</v>
      </c>
      <c r="BU59" s="460">
        <f>SUM(BU58:BU58)</f>
        <v>0</v>
      </c>
      <c r="BV59" s="460">
        <f>SUM(BV58:BV58)</f>
        <v>56120.633835000001</v>
      </c>
      <c r="BW59" s="460">
        <f>SUM(BW58:BW58)</f>
        <v>0</v>
      </c>
      <c r="BX59" s="460">
        <f>SUM(BX58:BX58)</f>
        <v>411949.3913035001</v>
      </c>
      <c r="BY59" s="460">
        <f>SUM(BY58:BY58)</f>
        <v>0</v>
      </c>
      <c r="BZ59" s="460">
        <f>SUM(BZ58:BZ58)</f>
        <v>0</v>
      </c>
      <c r="CA59" s="460">
        <f>SUM(CA58:CA58)</f>
        <v>0</v>
      </c>
      <c r="CB59" s="460">
        <f>SUM(CB58:CB58)</f>
        <v>0</v>
      </c>
      <c r="CC59" s="460">
        <f>SUM(CC58:CC58)</f>
        <v>0</v>
      </c>
      <c r="CD59" s="460">
        <f>SUM(CD58:CD58)</f>
        <v>0</v>
      </c>
      <c r="CE59" s="460">
        <f>SUM(CE58:CE58)</f>
        <v>0</v>
      </c>
      <c r="CF59" s="460">
        <f>SUM(CF58:CF58)</f>
        <v>-7995.4395149999982</v>
      </c>
      <c r="CG59" s="460">
        <f>SUM(CG58:CG58)</f>
        <v>0</v>
      </c>
      <c r="CH59" s="460">
        <f>SUM(CH58:CH58)</f>
        <v>3496.6126999999969</v>
      </c>
      <c r="CI59" s="460">
        <f>SUM(CI58:CI58)</f>
        <v>0</v>
      </c>
      <c r="CJ59" s="460">
        <f>SUM(CJ58:CJ58)</f>
        <v>-4498.8268150000031</v>
      </c>
      <c r="CK59" s="460">
        <f>SUM(CK58:CK58)</f>
        <v>0</v>
      </c>
      <c r="CL59" s="460">
        <f>SUM(CL58:CL58)</f>
        <v>0</v>
      </c>
      <c r="CM59" s="460">
        <f>SUM(CM58:CM58)</f>
        <v>0</v>
      </c>
    </row>
    <row r="61" spans="1:92" ht="21" x14ac:dyDescent="0.4">
      <c r="AO61" s="251" t="s">
        <v>97</v>
      </c>
      <c r="AP61" s="251"/>
      <c r="AQ61" s="251"/>
    </row>
    <row r="63" spans="1:92" ht="21" x14ac:dyDescent="0.4">
      <c r="AO63" s="252"/>
      <c r="AP63" s="252"/>
      <c r="AQ63" s="252"/>
    </row>
    <row r="64" spans="1:92" ht="15.6" x14ac:dyDescent="0.3">
      <c r="AS64" s="365" t="s">
        <v>83</v>
      </c>
      <c r="AT64" s="446" t="s">
        <v>456</v>
      </c>
      <c r="AU64" s="446"/>
      <c r="AV64" s="447" t="s">
        <v>454</v>
      </c>
      <c r="AW64" s="446" t="s">
        <v>457</v>
      </c>
      <c r="AX64" s="446"/>
      <c r="AY64" s="447" t="s">
        <v>455</v>
      </c>
      <c r="AZ64" s="446" t="s">
        <v>458</v>
      </c>
      <c r="BA64" s="446"/>
    </row>
    <row r="65" spans="41:53" ht="15.6" x14ac:dyDescent="0.3">
      <c r="AS65" s="249"/>
      <c r="AT65" s="365" t="s">
        <v>94</v>
      </c>
      <c r="AU65" s="364" t="s">
        <v>96</v>
      </c>
      <c r="AV65" s="448"/>
      <c r="AW65" s="365" t="s">
        <v>98</v>
      </c>
      <c r="AX65" s="364" t="s">
        <v>95</v>
      </c>
      <c r="AY65" s="448"/>
      <c r="AZ65" s="365" t="s">
        <v>98</v>
      </c>
      <c r="BA65" s="364" t="s">
        <v>95</v>
      </c>
    </row>
    <row r="66" spans="41:53" x14ac:dyDescent="0.3">
      <c r="AO66" s="458" t="s">
        <v>459</v>
      </c>
    </row>
    <row r="67" spans="41:53" x14ac:dyDescent="0.3">
      <c r="AS67" s="453"/>
      <c r="AT67" s="453"/>
      <c r="AU67" s="453"/>
      <c r="AV67" s="453"/>
      <c r="AW67" s="453"/>
      <c r="AX67" s="453"/>
      <c r="AY67" s="453"/>
      <c r="AZ67" s="453"/>
      <c r="BA67" s="453"/>
    </row>
    <row r="68" spans="41:53" x14ac:dyDescent="0.3">
      <c r="AO68" s="461" t="s">
        <v>460</v>
      </c>
      <c r="AS68" s="453"/>
      <c r="AT68" s="453"/>
      <c r="AU68" s="453"/>
      <c r="AV68" s="453"/>
      <c r="AW68" s="453"/>
      <c r="AX68" s="453"/>
      <c r="AY68" s="453"/>
      <c r="AZ68" s="453"/>
      <c r="BA68" s="453"/>
    </row>
    <row r="69" spans="41:53" x14ac:dyDescent="0.3">
      <c r="AS69" s="453"/>
      <c r="AT69" s="453"/>
      <c r="AU69" s="453"/>
      <c r="AV69" s="453"/>
      <c r="AW69" s="453"/>
      <c r="AX69" s="453"/>
      <c r="AY69" s="453"/>
      <c r="AZ69" s="453"/>
      <c r="BA69" s="453"/>
    </row>
    <row r="70" spans="41:53" x14ac:dyDescent="0.3">
      <c r="AO70" s="458" t="s">
        <v>461</v>
      </c>
      <c r="AS70" s="453"/>
      <c r="AT70" s="453"/>
      <c r="AU70" s="453"/>
      <c r="AV70" s="453"/>
      <c r="AW70" s="453"/>
      <c r="AX70" s="453"/>
      <c r="AY70" s="453"/>
      <c r="AZ70" s="453"/>
      <c r="BA70" s="453"/>
    </row>
    <row r="71" spans="41:53" x14ac:dyDescent="0.3">
      <c r="AS71" s="453"/>
      <c r="AT71" s="453"/>
      <c r="AU71" s="453"/>
      <c r="AV71" s="453"/>
      <c r="AW71" s="453"/>
      <c r="AX71" s="453"/>
      <c r="AY71" s="453"/>
      <c r="AZ71" s="453"/>
      <c r="BA71" s="453"/>
    </row>
    <row r="72" spans="41:53" x14ac:dyDescent="0.3">
      <c r="AO72" s="461" t="s">
        <v>462</v>
      </c>
      <c r="AS72" s="453"/>
      <c r="AT72" s="453"/>
      <c r="AU72" s="453"/>
      <c r="AV72" s="453"/>
      <c r="AW72" s="453"/>
      <c r="AX72" s="453"/>
      <c r="AY72" s="453"/>
      <c r="AZ72" s="453"/>
      <c r="BA72" s="453"/>
    </row>
    <row r="73" spans="41:53" x14ac:dyDescent="0.3">
      <c r="AS73" s="453"/>
      <c r="AT73" s="453"/>
      <c r="AU73" s="453"/>
      <c r="AV73" s="453"/>
      <c r="AW73" s="453"/>
      <c r="AX73" s="453"/>
      <c r="AY73" s="453"/>
      <c r="AZ73" s="453"/>
      <c r="BA73" s="453"/>
    </row>
    <row r="74" spans="41:53" x14ac:dyDescent="0.3">
      <c r="AO74" s="462" t="s">
        <v>463</v>
      </c>
      <c r="AS74" s="453"/>
      <c r="AT74" s="463"/>
      <c r="AU74" s="463"/>
      <c r="AV74" s="463"/>
      <c r="AW74" s="463"/>
      <c r="AX74" s="463"/>
      <c r="AY74" s="463"/>
      <c r="AZ74" s="463"/>
      <c r="BA74" s="463"/>
    </row>
  </sheetData>
  <mergeCells count="5">
    <mergeCell ref="AT64:AU64"/>
    <mergeCell ref="AV64:AV65"/>
    <mergeCell ref="AW64:AX64"/>
    <mergeCell ref="AY64:AY65"/>
    <mergeCell ref="AZ64:BA6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9" zoomScaleNormal="100" workbookViewId="0">
      <selection activeCell="C39" sqref="C39"/>
    </sheetView>
  </sheetViews>
  <sheetFormatPr defaultColWidth="9.109375" defaultRowHeight="19.2" x14ac:dyDescent="0.35"/>
  <cols>
    <col min="1" max="1" width="4" style="1" customWidth="1"/>
    <col min="2" max="2" width="42" style="1" bestFit="1" customWidth="1"/>
    <col min="3" max="3" width="20.33203125" style="1" customWidth="1"/>
    <col min="4" max="4" width="21.44140625" style="1" bestFit="1" customWidth="1"/>
    <col min="5" max="5" width="20.5546875" style="1" customWidth="1"/>
    <col min="6" max="6" width="14.33203125" style="1" bestFit="1" customWidth="1"/>
    <col min="7" max="7" width="12" style="1" bestFit="1" customWidth="1"/>
    <col min="8" max="8" width="15" style="1" bestFit="1" customWidth="1"/>
    <col min="9" max="10" width="9.109375" style="1"/>
    <col min="11" max="11" width="9.88671875" style="1" bestFit="1" customWidth="1"/>
    <col min="12" max="12" width="16.44140625" style="1" bestFit="1" customWidth="1"/>
    <col min="13" max="14" width="15.88671875" style="1" bestFit="1" customWidth="1"/>
    <col min="15" max="15" width="16.44140625" style="1" bestFit="1" customWidth="1"/>
    <col min="16" max="16384" width="9.109375" style="1"/>
  </cols>
  <sheetData>
    <row r="1" spans="1:15" x14ac:dyDescent="0.35">
      <c r="A1" s="374"/>
      <c r="B1" s="374"/>
      <c r="C1" s="374"/>
      <c r="D1" s="374"/>
      <c r="E1" s="374"/>
    </row>
    <row r="2" spans="1:15" ht="28.5" customHeight="1" x14ac:dyDescent="0.35">
      <c r="A2" s="2" t="s">
        <v>10</v>
      </c>
      <c r="B2" s="2"/>
      <c r="C2" s="2"/>
      <c r="D2" s="2"/>
      <c r="E2" s="2"/>
    </row>
    <row r="3" spans="1:15" x14ac:dyDescent="0.35">
      <c r="A3" s="3"/>
      <c r="B3" s="3"/>
      <c r="C3" s="4" t="s">
        <v>0</v>
      </c>
      <c r="D3" s="4" t="s">
        <v>1</v>
      </c>
      <c r="E3" s="3"/>
    </row>
    <row r="4" spans="1:15" ht="37.799999999999997" x14ac:dyDescent="0.35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5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5">
      <c r="A8" s="3"/>
      <c r="B8" s="130" t="s">
        <v>5</v>
      </c>
      <c r="C8" s="235">
        <v>3.0099999999999998E-2</v>
      </c>
      <c r="D8" s="234">
        <v>3.2099999999999997E-2</v>
      </c>
      <c r="E8" s="314">
        <f t="shared" si="0"/>
        <v>1.9999999999999983E-3</v>
      </c>
    </row>
    <row r="9" spans="1:15" x14ac:dyDescent="0.3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5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5">
      <c r="A12" s="3"/>
      <c r="B12" s="233" t="s">
        <v>11</v>
      </c>
      <c r="C12" s="234">
        <f>SUM(C5:C11)</f>
        <v>0.12425</v>
      </c>
      <c r="D12" s="234">
        <f>SUM(D5:D11)</f>
        <v>0.12135</v>
      </c>
      <c r="E12" s="315">
        <f>D12-C12</f>
        <v>-2.8999999999999998E-3</v>
      </c>
      <c r="M12" s="320"/>
    </row>
    <row r="13" spans="1:15" x14ac:dyDescent="0.35">
      <c r="A13" s="3"/>
      <c r="B13" s="231" t="s">
        <v>9</v>
      </c>
      <c r="C13" s="226">
        <f>SUM(C5:C8)</f>
        <v>0.1115</v>
      </c>
      <c r="D13" s="226">
        <f>SUM(D5:D8)</f>
        <v>0.1086</v>
      </c>
      <c r="E13" s="313">
        <f t="shared" si="0"/>
        <v>-2.8999999999999998E-3</v>
      </c>
      <c r="F13" s="8"/>
    </row>
    <row r="14" spans="1:15" x14ac:dyDescent="0.35">
      <c r="A14" s="230"/>
      <c r="B14" s="232" t="s">
        <v>102</v>
      </c>
      <c r="C14" s="226">
        <f>SUM(C5:C6,C8:C9)</f>
        <v>0.11380999999999999</v>
      </c>
      <c r="D14" s="226">
        <f>SUM(D5:D6,D8:D9)</f>
        <v>0.11581</v>
      </c>
      <c r="E14" s="313">
        <f>D14-C14</f>
        <v>2.0000000000000018E-3</v>
      </c>
      <c r="M14" s="320"/>
    </row>
    <row r="15" spans="1:15" x14ac:dyDescent="0.35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5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5">
      <c r="B17" s="130"/>
      <c r="D17" s="1" t="s">
        <v>45</v>
      </c>
      <c r="K17" s="319"/>
    </row>
    <row r="18" spans="1:11" ht="12" customHeight="1" x14ac:dyDescent="0.35">
      <c r="C18" s="1" t="s">
        <v>45</v>
      </c>
    </row>
    <row r="19" spans="1:11" ht="37.799999999999997" x14ac:dyDescent="0.35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5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5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5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5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5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5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5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5">
      <c r="A28" s="375" t="s">
        <v>110</v>
      </c>
      <c r="B28" s="375"/>
      <c r="C28" s="375"/>
      <c r="D28" s="375"/>
      <c r="E28" s="375"/>
    </row>
    <row r="29" spans="1:11" x14ac:dyDescent="0.35">
      <c r="A29" s="375" t="s">
        <v>111</v>
      </c>
      <c r="B29" s="375"/>
      <c r="C29" s="375"/>
      <c r="D29" s="375"/>
      <c r="E29" s="375"/>
    </row>
    <row r="30" spans="1:11" ht="12.75" customHeight="1" x14ac:dyDescent="0.35">
      <c r="A30" s="247"/>
      <c r="B30" s="247"/>
      <c r="C30" s="247"/>
      <c r="D30" s="247"/>
      <c r="E30" s="247"/>
    </row>
    <row r="31" spans="1:11" x14ac:dyDescent="0.35">
      <c r="A31" s="316" t="s">
        <v>88</v>
      </c>
      <c r="B31" s="316"/>
      <c r="C31" s="247"/>
      <c r="D31" s="247"/>
      <c r="E31" s="247"/>
    </row>
    <row r="32" spans="1:11" x14ac:dyDescent="0.35">
      <c r="A32" s="316"/>
      <c r="B32" s="316" t="s">
        <v>89</v>
      </c>
      <c r="C32" s="247"/>
      <c r="D32" s="247"/>
      <c r="E32" s="247"/>
    </row>
    <row r="33" spans="1:5" x14ac:dyDescent="0.35">
      <c r="A33" s="316"/>
      <c r="B33" s="316" t="s">
        <v>90</v>
      </c>
      <c r="C33" s="247"/>
      <c r="D33" s="247"/>
      <c r="E33" s="247"/>
    </row>
    <row r="34" spans="1:5" x14ac:dyDescent="0.35">
      <c r="A34" s="316"/>
      <c r="B34" s="316" t="s">
        <v>91</v>
      </c>
      <c r="C34" s="247"/>
      <c r="D34" s="247"/>
      <c r="E34" s="247"/>
    </row>
    <row r="35" spans="1:5" x14ac:dyDescent="0.35">
      <c r="A35" s="316"/>
      <c r="B35" s="316" t="s">
        <v>92</v>
      </c>
      <c r="C35" s="247"/>
      <c r="D35" s="247"/>
      <c r="E35" s="247"/>
    </row>
    <row r="36" spans="1:5" x14ac:dyDescent="0.35">
      <c r="A36" s="316"/>
      <c r="B36" s="316" t="s">
        <v>93</v>
      </c>
      <c r="C36" s="247"/>
      <c r="D36" s="247"/>
      <c r="E36" s="247"/>
    </row>
    <row r="38" spans="1:5" x14ac:dyDescent="0.35">
      <c r="B38" s="317" t="s">
        <v>103</v>
      </c>
      <c r="C38" s="318">
        <v>0.01</v>
      </c>
    </row>
    <row r="39" spans="1:5" x14ac:dyDescent="0.35">
      <c r="B39" s="341" t="s">
        <v>104</v>
      </c>
      <c r="C39" s="340">
        <v>0.01</v>
      </c>
    </row>
    <row r="40" spans="1:5" x14ac:dyDescent="0.35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391"/>
      <c r="N1" s="392"/>
      <c r="AA1" s="337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393"/>
      <c r="N2" s="394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391"/>
      <c r="N3" s="392"/>
      <c r="AA3" s="337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391">
        <v>2023</v>
      </c>
      <c r="N4" s="392"/>
      <c r="AA4" s="337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393"/>
      <c r="J5" s="395"/>
      <c r="K5" s="395"/>
      <c r="L5" s="394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256" t="s">
        <v>21</v>
      </c>
      <c r="C8" s="378" t="s">
        <v>22</v>
      </c>
      <c r="D8" s="379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29" t="s">
        <v>105</v>
      </c>
      <c r="AB8" s="429"/>
      <c r="AC8" s="429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0" t="s">
        <v>26</v>
      </c>
      <c r="D9" s="381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76" t="s">
        <v>27</v>
      </c>
      <c r="D10" s="382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76" t="s">
        <v>28</v>
      </c>
      <c r="D11" s="382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76" t="s">
        <v>29</v>
      </c>
      <c r="D12" s="37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76" t="s">
        <v>30</v>
      </c>
      <c r="D13" s="382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83" t="s">
        <v>32</v>
      </c>
      <c r="D16" s="38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85" t="s">
        <v>34</v>
      </c>
      <c r="D17" s="38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87" t="s">
        <v>35</v>
      </c>
      <c r="D18" s="38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89" t="s">
        <v>37</v>
      </c>
      <c r="D37" s="39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76" t="str">
        <f>perm_name</f>
        <v>Permanent Positions</v>
      </c>
      <c r="D38" s="37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76" t="str">
        <f>Group_name</f>
        <v>Board &amp; Group Positions</v>
      </c>
      <c r="D39" s="37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76" t="s">
        <v>38</v>
      </c>
      <c r="D41" s="37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38"/>
      <c r="D42" s="43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0" t="s">
        <v>39</v>
      </c>
      <c r="D43" s="441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0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05"/>
      <c r="M43" s="405"/>
      <c r="N43" s="406"/>
      <c r="O43"/>
      <c r="P43"/>
      <c r="Q43"/>
      <c r="R43"/>
      <c r="S43"/>
      <c r="T43"/>
      <c r="U43"/>
      <c r="V43"/>
      <c r="W43"/>
      <c r="X43"/>
      <c r="Y43"/>
      <c r="Z43" s="344"/>
      <c r="AA43" s="432" t="s">
        <v>108</v>
      </c>
      <c r="AB43" s="433"/>
      <c r="AC43" s="43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42"/>
      <c r="D44" s="443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0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05"/>
      <c r="M44" s="405"/>
      <c r="N44" s="40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0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05"/>
      <c r="M45" s="405"/>
      <c r="N45" s="40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13" t="s">
        <v>100</v>
      </c>
      <c r="F46" s="414"/>
      <c r="G46" s="414"/>
      <c r="H46" s="414"/>
      <c r="I46" s="414"/>
      <c r="J46" s="415"/>
      <c r="K46" s="407" t="str">
        <f>IF(OR(J45&lt;0,F45&lt;0),"You may not have sufficient funding or authorized FTP, and may need to make additional adjustments to finalize this form.  Please contact both your DFM and LSO analysts.","")</f>
        <v/>
      </c>
      <c r="L46" s="408"/>
      <c r="M46" s="408"/>
      <c r="N46" s="40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16"/>
      <c r="F47" s="417"/>
      <c r="G47" s="417"/>
      <c r="H47" s="417"/>
      <c r="I47" s="417"/>
      <c r="J47" s="418"/>
      <c r="K47" s="410"/>
      <c r="L47" s="411"/>
      <c r="M47" s="411"/>
      <c r="N47" s="41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44"/>
      <c r="D50" s="445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36" t="s">
        <v>47</v>
      </c>
      <c r="D53" s="43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0" t="s">
        <v>48</v>
      </c>
      <c r="D54" s="40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02" t="s">
        <v>49</v>
      </c>
      <c r="D55" s="40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398" t="s">
        <v>51</v>
      </c>
      <c r="D57" s="399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0" t="s">
        <v>52</v>
      </c>
      <c r="D58" s="401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02" t="s">
        <v>66</v>
      </c>
      <c r="D59" s="40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398" t="s">
        <v>54</v>
      </c>
      <c r="D61" s="399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0" t="s">
        <v>67</v>
      </c>
      <c r="D62" s="40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0" t="s">
        <v>55</v>
      </c>
      <c r="D63" s="40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396" t="s">
        <v>56</v>
      </c>
      <c r="D64" s="397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34"/>
      <c r="D65" s="43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21"/>
      <c r="D66" s="422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398" t="s">
        <v>58</v>
      </c>
      <c r="D68" s="423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398" t="s">
        <v>59</v>
      </c>
      <c r="D69" s="423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24"/>
      <c r="D70" s="425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0" t="s">
        <v>60</v>
      </c>
      <c r="D71" s="40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0" t="s">
        <v>101</v>
      </c>
      <c r="D72" s="426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0" t="s">
        <v>61</v>
      </c>
      <c r="D73" s="426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27" t="s">
        <v>64</v>
      </c>
      <c r="D76" s="428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19"/>
      <c r="D77" s="420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19"/>
      <c r="D78" s="420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19"/>
      <c r="D79" s="420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4" priority="5">
      <formula>$J$44&lt;0</formula>
    </cfRule>
  </conditionalFormatting>
  <conditionalFormatting sqref="K43">
    <cfRule type="expression" dxfId="3" priority="4">
      <formula>$J$43&lt;0</formula>
    </cfRule>
  </conditionalFormatting>
  <conditionalFormatting sqref="L16">
    <cfRule type="expression" dxfId="2" priority="3">
      <formula>$J$16&lt;0</formula>
    </cfRule>
  </conditionalFormatting>
  <conditionalFormatting sqref="K45">
    <cfRule type="expression" dxfId="1" priority="2">
      <formula>$J$44&lt;0</formula>
    </cfRule>
  </conditionalFormatting>
  <conditionalFormatting sqref="K43:N45">
    <cfRule type="containsText" dxfId="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landscape" r:id="rId1"/>
  <headerFooter>
    <oddFooter>&amp;L&amp;"Arial"&amp;10 B6:Summary by Program, by Fund&amp;R&amp;"Arial"&amp;10 FY 2022 Request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5"/>
  <sheetViews>
    <sheetView workbookViewId="0">
      <selection activeCell="E8" sqref="E8:M15"/>
    </sheetView>
  </sheetViews>
  <sheetFormatPr defaultRowHeight="14.4" x14ac:dyDescent="0.3"/>
  <cols>
    <col min="1" max="1" width="2.77734375" customWidth="1"/>
    <col min="2" max="2" width="7.6640625" customWidth="1"/>
    <col min="3" max="3" width="8.6640625" customWidth="1"/>
    <col min="4" max="4" width="5.6640625" customWidth="1"/>
    <col min="5" max="5" width="5.109375" bestFit="1" customWidth="1"/>
    <col min="6" max="6" width="6.5546875" bestFit="1" customWidth="1"/>
    <col min="7" max="7" width="14" bestFit="1" customWidth="1"/>
    <col min="8" max="8" width="6.5546875" bestFit="1" customWidth="1"/>
    <col min="9" max="9" width="15.44140625" bestFit="1" customWidth="1"/>
    <col min="10" max="10" width="17" bestFit="1" customWidth="1"/>
    <col min="11" max="11" width="10.21875" bestFit="1" customWidth="1"/>
    <col min="12" max="12" width="15.44140625" bestFit="1" customWidth="1"/>
    <col min="13" max="13" width="17" bestFit="1" customWidth="1"/>
  </cols>
  <sheetData>
    <row r="2" spans="1:13" ht="21" x14ac:dyDescent="0.4">
      <c r="A2" s="251" t="s">
        <v>97</v>
      </c>
      <c r="B2" s="251"/>
      <c r="C2" s="251"/>
    </row>
    <row r="4" spans="1:13" ht="21" x14ac:dyDescent="0.4">
      <c r="A4" s="252"/>
      <c r="B4" s="252"/>
      <c r="C4" s="252"/>
    </row>
    <row r="5" spans="1:13" ht="15.75" customHeight="1" x14ac:dyDescent="0.3">
      <c r="E5" s="255" t="s">
        <v>83</v>
      </c>
      <c r="F5" s="446" t="s">
        <v>456</v>
      </c>
      <c r="G5" s="446"/>
      <c r="H5" s="447" t="s">
        <v>454</v>
      </c>
      <c r="I5" s="446" t="s">
        <v>457</v>
      </c>
      <c r="J5" s="446"/>
      <c r="K5" s="447" t="s">
        <v>455</v>
      </c>
      <c r="L5" s="446" t="s">
        <v>458</v>
      </c>
      <c r="M5" s="446"/>
    </row>
    <row r="6" spans="1:13" ht="15.6" x14ac:dyDescent="0.3">
      <c r="E6" s="249"/>
      <c r="F6" s="253" t="s">
        <v>94</v>
      </c>
      <c r="G6" s="254" t="s">
        <v>96</v>
      </c>
      <c r="H6" s="448"/>
      <c r="I6" s="253" t="s">
        <v>98</v>
      </c>
      <c r="J6" s="254" t="s">
        <v>95</v>
      </c>
      <c r="K6" s="448"/>
      <c r="L6" s="278" t="s">
        <v>98</v>
      </c>
      <c r="M6" s="254" t="s">
        <v>95</v>
      </c>
    </row>
    <row r="7" spans="1:13" x14ac:dyDescent="0.3">
      <c r="A7" s="458" t="s">
        <v>459</v>
      </c>
      <c r="D7" s="250"/>
    </row>
    <row r="8" spans="1:13" x14ac:dyDescent="0.3">
      <c r="D8" s="250"/>
      <c r="E8" s="464">
        <f>Data!AS67</f>
        <v>0</v>
      </c>
      <c r="F8" s="464">
        <f>Data!AT67</f>
        <v>0</v>
      </c>
      <c r="G8" s="464">
        <f>Data!AU67</f>
        <v>0</v>
      </c>
      <c r="H8" s="464">
        <f>Data!AV67</f>
        <v>0</v>
      </c>
      <c r="I8" s="464">
        <f>Data!AW67</f>
        <v>0</v>
      </c>
      <c r="J8" s="464">
        <f>Data!AX67</f>
        <v>0</v>
      </c>
      <c r="K8" s="464">
        <f>Data!AY67</f>
        <v>0</v>
      </c>
      <c r="L8" s="464">
        <f>Data!AZ67</f>
        <v>0</v>
      </c>
      <c r="M8" s="464">
        <f>Data!BA67</f>
        <v>0</v>
      </c>
    </row>
    <row r="9" spans="1:13" x14ac:dyDescent="0.3">
      <c r="A9" s="461" t="s">
        <v>460</v>
      </c>
      <c r="D9" s="250"/>
      <c r="E9" s="464">
        <f>Data!AS68</f>
        <v>0</v>
      </c>
      <c r="F9" s="464">
        <f>Data!AT68</f>
        <v>0</v>
      </c>
      <c r="G9" s="464">
        <f>Data!AU68</f>
        <v>0</v>
      </c>
      <c r="H9" s="464">
        <f>Data!AV68</f>
        <v>0</v>
      </c>
      <c r="I9" s="464">
        <f>Data!AW68</f>
        <v>0</v>
      </c>
      <c r="J9" s="464">
        <f>Data!AX68</f>
        <v>0</v>
      </c>
      <c r="K9" s="464">
        <f>Data!AY68</f>
        <v>0</v>
      </c>
      <c r="L9" s="464">
        <f>Data!AZ68</f>
        <v>0</v>
      </c>
      <c r="M9" s="464">
        <f>Data!BA68</f>
        <v>0</v>
      </c>
    </row>
    <row r="10" spans="1:13" x14ac:dyDescent="0.3">
      <c r="D10" s="250"/>
      <c r="E10" s="464">
        <f>Data!AS69</f>
        <v>0</v>
      </c>
      <c r="F10" s="464">
        <f>Data!AT69</f>
        <v>0</v>
      </c>
      <c r="G10" s="464">
        <f>Data!AU69</f>
        <v>0</v>
      </c>
      <c r="H10" s="464">
        <f>Data!AV69</f>
        <v>0</v>
      </c>
      <c r="I10" s="464">
        <f>Data!AW69</f>
        <v>0</v>
      </c>
      <c r="J10" s="464">
        <f>Data!AX69</f>
        <v>0</v>
      </c>
      <c r="K10" s="464">
        <f>Data!AY69</f>
        <v>0</v>
      </c>
      <c r="L10" s="464">
        <f>Data!AZ69</f>
        <v>0</v>
      </c>
      <c r="M10" s="464">
        <f>Data!BA69</f>
        <v>0</v>
      </c>
    </row>
    <row r="11" spans="1:13" x14ac:dyDescent="0.3">
      <c r="A11" s="458" t="s">
        <v>461</v>
      </c>
      <c r="D11" s="250"/>
      <c r="E11" s="464">
        <f>Data!AS70</f>
        <v>0</v>
      </c>
      <c r="F11" s="464">
        <f>Data!AT70</f>
        <v>0</v>
      </c>
      <c r="G11" s="464">
        <f>Data!AU70</f>
        <v>0</v>
      </c>
      <c r="H11" s="464">
        <f>Data!AV70</f>
        <v>0</v>
      </c>
      <c r="I11" s="464">
        <f>Data!AW70</f>
        <v>0</v>
      </c>
      <c r="J11" s="464">
        <f>Data!AX70</f>
        <v>0</v>
      </c>
      <c r="K11" s="464">
        <f>Data!AY70</f>
        <v>0</v>
      </c>
      <c r="L11" s="464">
        <f>Data!AZ70</f>
        <v>0</v>
      </c>
      <c r="M11" s="464">
        <f>Data!BA70</f>
        <v>0</v>
      </c>
    </row>
    <row r="12" spans="1:13" x14ac:dyDescent="0.3">
      <c r="D12" s="250"/>
      <c r="E12" s="464">
        <f>Data!AS71</f>
        <v>0</v>
      </c>
      <c r="F12" s="464">
        <f>Data!AT71</f>
        <v>0</v>
      </c>
      <c r="G12" s="464">
        <f>Data!AU71</f>
        <v>0</v>
      </c>
      <c r="H12" s="464">
        <f>Data!AV71</f>
        <v>0</v>
      </c>
      <c r="I12" s="464">
        <f>Data!AW71</f>
        <v>0</v>
      </c>
      <c r="J12" s="464">
        <f>Data!AX71</f>
        <v>0</v>
      </c>
      <c r="K12" s="464">
        <f>Data!AY71</f>
        <v>0</v>
      </c>
      <c r="L12" s="464">
        <f>Data!AZ71</f>
        <v>0</v>
      </c>
      <c r="M12" s="464">
        <f>Data!BA71</f>
        <v>0</v>
      </c>
    </row>
    <row r="13" spans="1:13" x14ac:dyDescent="0.3">
      <c r="A13" s="461" t="s">
        <v>462</v>
      </c>
      <c r="D13" s="250"/>
      <c r="E13" s="464">
        <f>Data!AS72</f>
        <v>0</v>
      </c>
      <c r="F13" s="464">
        <f>Data!AT72</f>
        <v>0</v>
      </c>
      <c r="G13" s="464">
        <f>Data!AU72</f>
        <v>0</v>
      </c>
      <c r="H13" s="464">
        <f>Data!AV72</f>
        <v>0</v>
      </c>
      <c r="I13" s="464">
        <f>Data!AW72</f>
        <v>0</v>
      </c>
      <c r="J13" s="464">
        <f>Data!AX72</f>
        <v>0</v>
      </c>
      <c r="K13" s="464">
        <f>Data!AY72</f>
        <v>0</v>
      </c>
      <c r="L13" s="464">
        <f>Data!AZ72</f>
        <v>0</v>
      </c>
      <c r="M13" s="464">
        <f>Data!BA72</f>
        <v>0</v>
      </c>
    </row>
    <row r="14" spans="1:13" x14ac:dyDescent="0.3">
      <c r="E14" s="464">
        <f>Data!AS73</f>
        <v>0</v>
      </c>
      <c r="F14" s="464">
        <f>Data!AT73</f>
        <v>0</v>
      </c>
      <c r="G14" s="464">
        <f>Data!AU73</f>
        <v>0</v>
      </c>
      <c r="H14" s="464">
        <f>Data!AV73</f>
        <v>0</v>
      </c>
      <c r="I14" s="464">
        <f>Data!AW73</f>
        <v>0</v>
      </c>
      <c r="J14" s="464">
        <f>Data!AX73</f>
        <v>0</v>
      </c>
      <c r="K14" s="464">
        <f>Data!AY73</f>
        <v>0</v>
      </c>
      <c r="L14" s="464">
        <f>Data!AZ73</f>
        <v>0</v>
      </c>
      <c r="M14" s="464">
        <f>Data!BA73</f>
        <v>0</v>
      </c>
    </row>
    <row r="15" spans="1:13" x14ac:dyDescent="0.3">
      <c r="A15" s="462" t="s">
        <v>463</v>
      </c>
      <c r="E15" s="453">
        <f>Data!AS74</f>
        <v>0</v>
      </c>
      <c r="F15" s="463">
        <f>Data!AT74</f>
        <v>0</v>
      </c>
      <c r="G15" s="463">
        <f>Data!AU74</f>
        <v>0</v>
      </c>
      <c r="H15" s="463">
        <f>Data!AV74</f>
        <v>0</v>
      </c>
      <c r="I15" s="463">
        <f>Data!AW74</f>
        <v>0</v>
      </c>
      <c r="J15" s="463">
        <f>Data!AX74</f>
        <v>0</v>
      </c>
      <c r="K15" s="463">
        <f>Data!AY74</f>
        <v>0</v>
      </c>
      <c r="L15" s="463">
        <f>Data!AZ74</f>
        <v>0</v>
      </c>
      <c r="M15" s="463">
        <f>Data!BA74</f>
        <v>0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93" orientation="landscape" horizontalDpi="1200" verticalDpi="1200" r:id="rId1"/>
  <headerFoot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204</vt:i4>
      </vt:variant>
    </vt:vector>
  </HeadingPairs>
  <TitlesOfParts>
    <vt:vector size="209" baseType="lpstr">
      <vt:lpstr>Data</vt:lpstr>
      <vt:lpstr>Benefits</vt:lpstr>
      <vt:lpstr>B6</vt:lpstr>
      <vt:lpstr>Summary</vt:lpstr>
      <vt:lpstr>FundSummary</vt:lpstr>
      <vt:lpstr>AdjGroupHlth</vt:lpstr>
      <vt:lpstr>AdjGroupSalary</vt:lpstr>
      <vt:lpstr>AdjGroupVB</vt:lpstr>
      <vt:lpstr>AdjGroupVBBY</vt:lpstr>
      <vt:lpstr>AdjPermHlth</vt:lpstr>
      <vt:lpstr>AdjPermHlthBY</vt:lpstr>
      <vt:lpstr>AdjPermSalary</vt:lpstr>
      <vt:lpstr>AdjPermVB</vt:lpstr>
      <vt:lpstr>AdjPermVBBY</vt:lpstr>
      <vt:lpstr>AdjustedTotal</vt:lpstr>
      <vt:lpstr>AgencyNum</vt:lpstr>
      <vt:lpstr>AppropFTP</vt:lpstr>
      <vt:lpstr>AppropTotal</vt:lpstr>
      <vt:lpstr>AtZHealth</vt:lpstr>
      <vt:lpstr>AtZSalary</vt:lpstr>
      <vt:lpstr>AtZTotal</vt:lpstr>
      <vt:lpstr>AtZVarBen</vt:lpstr>
      <vt:lpstr>BudgetUnit</vt:lpstr>
      <vt:lpstr>BudgetYear</vt:lpstr>
      <vt:lpstr>CECGroup</vt:lpstr>
      <vt:lpstr>CECOrigElectSalary</vt:lpstr>
      <vt:lpstr>CECOrigElectVB</vt:lpstr>
      <vt:lpstr>CECOrigGroupSalary</vt:lpstr>
      <vt:lpstr>CECOrigGroupVB</vt:lpstr>
      <vt:lpstr>CECOrigPermSalary</vt:lpstr>
      <vt:lpstr>CECOrigPermVB</vt:lpstr>
      <vt:lpstr>CECPerm</vt:lpstr>
      <vt:lpstr>CECpermCalc</vt:lpstr>
      <vt:lpstr>CRAJ042101col_1_27TH_PP</vt:lpstr>
      <vt:lpstr>CRAJ042101col_DHR</vt:lpstr>
      <vt:lpstr>CRAJ042101col_DHR_BY</vt:lpstr>
      <vt:lpstr>CRAJ042101col_DHR_CHG</vt:lpstr>
      <vt:lpstr>CRAJ042101col_FTI_SALARY_ELECT</vt:lpstr>
      <vt:lpstr>CRAJ042101col_FTI_SALARY_PERM</vt:lpstr>
      <vt:lpstr>CRAJ042101col_FTI_SALARY_SSDI</vt:lpstr>
      <vt:lpstr>CRAJ042101col_Group_Ben</vt:lpstr>
      <vt:lpstr>CRAJ042101col_Group_Salary</vt:lpstr>
      <vt:lpstr>CRAJ042101col_HEALTH_ELECT</vt:lpstr>
      <vt:lpstr>CRAJ042101col_HEALTH_ELECT_BY</vt:lpstr>
      <vt:lpstr>CRAJ042101col_HEALTH_ELECT_CHG</vt:lpstr>
      <vt:lpstr>CRAJ042101col_HEALTH_PERM</vt:lpstr>
      <vt:lpstr>CRAJ042101col_HEALTH_PERM_BY</vt:lpstr>
      <vt:lpstr>CRAJ042101col_HEALTH_PERM_CHG</vt:lpstr>
      <vt:lpstr>CRAJ042101col_INC_FTI</vt:lpstr>
      <vt:lpstr>CRAJ042101col_LIFE_INS</vt:lpstr>
      <vt:lpstr>CRAJ042101col_LIFE_INS_BY</vt:lpstr>
      <vt:lpstr>CRAJ042101col_LIFE_INS_CHG</vt:lpstr>
      <vt:lpstr>CRAJ042101col_RETIREMENT</vt:lpstr>
      <vt:lpstr>CRAJ042101col_RETIREMENT_BY</vt:lpstr>
      <vt:lpstr>CRAJ042101col_RETIREMENT_CHG</vt:lpstr>
      <vt:lpstr>CRAJ042101col_ROWS_PER_PCN</vt:lpstr>
      <vt:lpstr>CRAJ042101col_SICK</vt:lpstr>
      <vt:lpstr>CRAJ042101col_SICK_BY</vt:lpstr>
      <vt:lpstr>CRAJ042101col_SICK_CHG</vt:lpstr>
      <vt:lpstr>CRAJ042101col_SSDI</vt:lpstr>
      <vt:lpstr>CRAJ042101col_SSDI_BY</vt:lpstr>
      <vt:lpstr>CRAJ042101col_SSDI_CHG</vt:lpstr>
      <vt:lpstr>CRAJ042101col_SSHI</vt:lpstr>
      <vt:lpstr>CRAJ042101col_SSHI_BY</vt:lpstr>
      <vt:lpstr>CRAJ042101col_SSHI_CHGv</vt:lpstr>
      <vt:lpstr>CRAJ042101col_TOT_VB_ELECT</vt:lpstr>
      <vt:lpstr>CRAJ042101col_TOT_VB_ELECT_BY</vt:lpstr>
      <vt:lpstr>CRAJ042101col_TOT_VB_ELECT_CHG</vt:lpstr>
      <vt:lpstr>CRAJ042101col_TOT_VB_PERM</vt:lpstr>
      <vt:lpstr>CRAJ042101col_TOT_VB_PERM_BY</vt:lpstr>
      <vt:lpstr>CRAJ042101col_TOT_VB_PERM_CHG</vt:lpstr>
      <vt:lpstr>CRAJ042101col_TOTAL_ELECT_PCN_FTI</vt:lpstr>
      <vt:lpstr>CRAJ042101col_TOTAL_ELECT_PCN_FTI_ALT</vt:lpstr>
      <vt:lpstr>CRAJ042101col_TOTAL_PERM_PCN_FTI</vt:lpstr>
      <vt:lpstr>CRAJ042101col_UNEMP_INS</vt:lpstr>
      <vt:lpstr>CRAJ042101col_UNEMP_INS_BY</vt:lpstr>
      <vt:lpstr>CRAJ042101col_UNEMP_INS_CHG</vt:lpstr>
      <vt:lpstr>CRAJ042101col_WORKERS_COMP</vt:lpstr>
      <vt:lpstr>CRAJ042101col_WORKERS_COMP_BY</vt:lpstr>
      <vt:lpstr>CRAJ042101col_WORKERS_COMP_CHG</vt:lpstr>
      <vt:lpstr>Department</vt:lpstr>
      <vt:lpstr>DHR</vt:lpstr>
      <vt:lpstr>DHRBY</vt:lpstr>
      <vt:lpstr>DHRCHG</vt:lpstr>
      <vt:lpstr>Division</vt:lpstr>
      <vt:lpstr>DUCECElect</vt:lpstr>
      <vt:lpstr>DUCECGroup</vt:lpstr>
      <vt:lpstr>DUCECPerm</vt:lpstr>
      <vt:lpstr>DUEleven</vt:lpstr>
      <vt:lpstr>DUHealthBen</vt:lpstr>
      <vt:lpstr>DUNine</vt:lpstr>
      <vt:lpstr>DUThirteen</vt:lpstr>
      <vt:lpstr>DUVariableBen</vt:lpstr>
      <vt:lpstr>Elect_chg_health</vt:lpstr>
      <vt:lpstr>Elect_chg_Var</vt:lpstr>
      <vt:lpstr>elect_FTP</vt:lpstr>
      <vt:lpstr>Elect_health</vt:lpstr>
      <vt:lpstr>Elect_name</vt:lpstr>
      <vt:lpstr>Elect_salary</vt:lpstr>
      <vt:lpstr>Elect_Var</vt:lpstr>
      <vt:lpstr>Elect_VarBen</vt:lpstr>
      <vt:lpstr>ElectVB</vt:lpstr>
      <vt:lpstr>ElectVBBY</vt:lpstr>
      <vt:lpstr>ElectVBCHG</vt:lpstr>
      <vt:lpstr>FillRate_Avg</vt:lpstr>
      <vt:lpstr>FiscalYear</vt:lpstr>
      <vt:lpstr>FundName</vt:lpstr>
      <vt:lpstr>FundNum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Group_name</vt:lpstr>
      <vt:lpstr>GroupFxdBen</vt:lpstr>
      <vt:lpstr>GroupSalary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LUMAFund</vt:lpstr>
      <vt:lpstr>MAXSSDI</vt:lpstr>
      <vt:lpstr>MAXSSDIBY</vt:lpstr>
      <vt:lpstr>NEW_AdjGroup</vt:lpstr>
      <vt:lpstr>NEW_AdjGroupSalary</vt:lpstr>
      <vt:lpstr>NEW_AdjGroupVB</vt:lpstr>
      <vt:lpstr>NEW_AdjONLYGroup</vt:lpstr>
      <vt:lpstr>NEW_AdjONLYGroupSalary</vt:lpstr>
      <vt:lpstr>NEW_AdjONLYGroupVB</vt:lpstr>
      <vt:lpstr>NEW_AdjONLYPerm</vt:lpstr>
      <vt:lpstr>NEW_AdjONLYPermSalary</vt:lpstr>
      <vt:lpstr>NEW_AdjONLYPermVB</vt:lpstr>
      <vt:lpstr>NEW_AdjPerm</vt:lpstr>
      <vt:lpstr>NEW_AdjPermSalary</vt:lpstr>
      <vt:lpstr>NEW_AdjPermVB</vt:lpstr>
      <vt:lpstr>NEW_GroupFilled</vt:lpstr>
      <vt:lpstr>NEW_GroupSalaryFilled</vt:lpstr>
      <vt:lpstr>NEW_GroupVBFilled</vt:lpstr>
      <vt:lpstr>NEW_PermFilled</vt:lpstr>
      <vt:lpstr>NEW_PermSalaryFilled</vt:lpstr>
      <vt:lpstr>NEW_PermVBFilled</vt:lpstr>
      <vt:lpstr>OneTimePC_Total</vt:lpstr>
      <vt:lpstr>OrigApprop</vt:lpstr>
      <vt:lpstr>perm_name</vt:lpstr>
      <vt:lpstr>PermFTP</vt:lpstr>
      <vt:lpstr>PermFxdBen</vt:lpstr>
      <vt:lpstr>PermFxdBenChg</vt:lpstr>
      <vt:lpstr>PermFxdChg</vt:lpstr>
      <vt:lpstr>PermSalary</vt:lpstr>
      <vt:lpstr>PermVarBen</vt:lpstr>
      <vt:lpstr>PermVarBenChg</vt:lpstr>
      <vt:lpstr>PermVB</vt:lpstr>
      <vt:lpstr>PermVBBY</vt:lpstr>
      <vt:lpstr>PermVBCHG</vt:lpstr>
      <vt:lpstr>'B6'!Print_Area</vt:lpstr>
      <vt:lpstr>Benefits!Print_Area</vt:lpstr>
      <vt:lpstr>Prog_Unadjusted_Total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RoundedAppropSalary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232 B6</dc:title>
  <dc:subject>B6</dc:subject>
  <dc:creator>Shane Winslow</dc:creator>
  <cp:lastModifiedBy>Shane Winslow</cp:lastModifiedBy>
  <cp:lastPrinted>2019-06-21T15:46:35Z</cp:lastPrinted>
  <dcterms:created xsi:type="dcterms:W3CDTF">2013-05-01T19:55:41Z</dcterms:created>
  <dcterms:modified xsi:type="dcterms:W3CDTF">2021-07-14T21:09:32Z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