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1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lso-filesrv\BudgetandPolicyStaff\Projects\Budget Development\Agency B6 Folder_FY23\"/>
    </mc:Choice>
  </mc:AlternateContent>
  <xr:revisionPtr revIDLastSave="0" documentId="13_ncr:1_{1349ABDF-A7F7-4967-BF75-32D7FC47461D}" xr6:coauthVersionLast="45" xr6:coauthVersionMax="45" xr10:uidLastSave="{00000000-0000-0000-0000-000000000000}"/>
  <bookViews>
    <workbookView xWindow="4455" yWindow="1920" windowWidth="23355" windowHeight="13905" xr2:uid="{00000000-000D-0000-FFFF-FFFF00000000}"/>
  </bookViews>
  <sheets>
    <sheet name="LABA|0349-00" sheetId="12" r:id="rId1"/>
    <sheet name="LABA|0482-00" sheetId="13" r:id="rId2"/>
    <sheet name="Data" sheetId="5" r:id="rId3"/>
    <sheet name="Benefits" sheetId="7" r:id="rId4"/>
    <sheet name="B6" sheetId="9" r:id="rId5"/>
    <sheet name="Summary" sheetId="10" r:id="rId6"/>
    <sheet name="FundSummary" sheetId="11" r:id="rId7"/>
  </sheets>
  <definedNames>
    <definedName name="AdjGroupHlth" localSheetId="0">'LABA|0349-00'!$H$39</definedName>
    <definedName name="AdjGroupHlth" localSheetId="1">'LABA|0482-00'!$H$39</definedName>
    <definedName name="AdjGroupHlth">'B6'!$H$39</definedName>
    <definedName name="AdjGroupSalary" localSheetId="0">'LABA|0349-00'!$G$39</definedName>
    <definedName name="AdjGroupSalary" localSheetId="1">'LABA|0482-00'!$G$39</definedName>
    <definedName name="AdjGroupSalary">'B6'!$G$39</definedName>
    <definedName name="AdjGroupVB" localSheetId="0">'LABA|0349-00'!$I$39</definedName>
    <definedName name="AdjGroupVB" localSheetId="1">'LABA|0482-00'!$I$39</definedName>
    <definedName name="AdjGroupVB">'B6'!$I$39</definedName>
    <definedName name="AdjGroupVBBY" localSheetId="0">'LABA|0349-00'!$M$39</definedName>
    <definedName name="AdjGroupVBBY" localSheetId="1">'LABA|0482-00'!$M$39</definedName>
    <definedName name="AdjGroupVBBY">'B6'!$M$39</definedName>
    <definedName name="AdjPermHlth" localSheetId="0">'LABA|0349-00'!$H$38</definedName>
    <definedName name="AdjPermHlth" localSheetId="1">'LABA|0482-00'!$H$38</definedName>
    <definedName name="AdjPermHlth">'B6'!$H$38</definedName>
    <definedName name="AdjPermHlthBY" localSheetId="0">'LABA|0349-00'!$L$38</definedName>
    <definedName name="AdjPermHlthBY" localSheetId="1">'LABA|0482-00'!$L$38</definedName>
    <definedName name="AdjPermHlthBY">'B6'!$L$38</definedName>
    <definedName name="AdjPermSalary" localSheetId="0">'LABA|0349-00'!$G$38</definedName>
    <definedName name="AdjPermSalary" localSheetId="1">'LABA|0482-00'!$G$38</definedName>
    <definedName name="AdjPermSalary">'B6'!$G$38</definedName>
    <definedName name="AdjPermVB" localSheetId="0">'LABA|0349-00'!$I$38</definedName>
    <definedName name="AdjPermVB" localSheetId="1">'LABA|0482-00'!$I$38</definedName>
    <definedName name="AdjPermVB">'B6'!$I$38</definedName>
    <definedName name="AdjPermVBBY" localSheetId="0">'LABA|0349-00'!$M$38</definedName>
    <definedName name="AdjPermVBBY" localSheetId="1">'LABA|0482-00'!$M$38</definedName>
    <definedName name="AdjPermVBBY">'B6'!$M$38</definedName>
    <definedName name="AdjustedTotal" localSheetId="0">'LABA|0349-00'!$J$16</definedName>
    <definedName name="AdjustedTotal" localSheetId="1">'LABA|0482-00'!$J$16</definedName>
    <definedName name="AdjustedTotal">'B6'!$J$16</definedName>
    <definedName name="AgencyNum" localSheetId="0">'LABA|0349-00'!$M$1</definedName>
    <definedName name="AgencyNum" localSheetId="1">'LABA|0482-00'!$M$1</definedName>
    <definedName name="AgencyNum">'B6'!$M$1</definedName>
    <definedName name="AppropFTP" localSheetId="0">'LABA|0349-00'!$F$15</definedName>
    <definedName name="AppropFTP" localSheetId="1">'LABA|0482-00'!$F$15</definedName>
    <definedName name="AppropFTP">'B6'!$F$15</definedName>
    <definedName name="AppropTotal" localSheetId="0">'LABA|0349-00'!$J$15</definedName>
    <definedName name="AppropTotal" localSheetId="1">'LABA|0482-00'!$J$15</definedName>
    <definedName name="AppropTotal">'B6'!$J$15</definedName>
    <definedName name="AtZHealth" localSheetId="0">'LABA|0349-00'!$H$45</definedName>
    <definedName name="AtZHealth" localSheetId="1">'LABA|0482-00'!$H$45</definedName>
    <definedName name="AtZHealth">'B6'!$H$45</definedName>
    <definedName name="AtZSalary" localSheetId="0">'LABA|0349-00'!$G$45</definedName>
    <definedName name="AtZSalary" localSheetId="1">'LABA|0482-00'!$G$45</definedName>
    <definedName name="AtZSalary">'B6'!$G$45</definedName>
    <definedName name="AtZTotal" localSheetId="0">'LABA|0349-00'!$J$45</definedName>
    <definedName name="AtZTotal" localSheetId="1">'LABA|0482-00'!$J$45</definedName>
    <definedName name="AtZTotal">'B6'!$J$45</definedName>
    <definedName name="AtZVarBen" localSheetId="0">'LABA|0349-00'!$I$45</definedName>
    <definedName name="AtZVarBen" localSheetId="1">'LABA|0482-00'!$I$45</definedName>
    <definedName name="AtZVarBen">'B6'!$I$45</definedName>
    <definedName name="BudgetUnit" localSheetId="0">'LABA|0349-00'!$M$3</definedName>
    <definedName name="BudgetUnit" localSheetId="1">'LABA|0482-00'!$M$3</definedName>
    <definedName name="BudgetUnit">'B6'!$M$3</definedName>
    <definedName name="BudgetYear">Benefits!$D$4</definedName>
    <definedName name="CECGroup">Benefits!$C$39</definedName>
    <definedName name="CECOrigElectSalary" localSheetId="0">'LABA|0349-00'!$G$74</definedName>
    <definedName name="CECOrigElectSalary" localSheetId="1">'LABA|0482-00'!$G$74</definedName>
    <definedName name="CECOrigElectSalary">'B6'!$G$74</definedName>
    <definedName name="CECOrigElectVB" localSheetId="0">'LABA|0349-00'!$I$74</definedName>
    <definedName name="CECOrigElectVB" localSheetId="1">'LABA|0482-00'!$I$74</definedName>
    <definedName name="CECOrigElectVB">'B6'!$I$74</definedName>
    <definedName name="CECOrigGroupSalary" localSheetId="0">'LABA|0349-00'!$G$73</definedName>
    <definedName name="CECOrigGroupSalary" localSheetId="1">'LABA|0482-00'!$G$73</definedName>
    <definedName name="CECOrigGroupSalary">'B6'!$G$73</definedName>
    <definedName name="CECOrigGroupVB" localSheetId="0">'LABA|0349-00'!$I$73</definedName>
    <definedName name="CECOrigGroupVB" localSheetId="1">'LABA|0482-00'!$I$73</definedName>
    <definedName name="CECOrigGroupVB">'B6'!$I$73</definedName>
    <definedName name="CECOrigPermSalary" localSheetId="0">'LABA|0349-00'!$G$72</definedName>
    <definedName name="CECOrigPermSalary" localSheetId="1">'LABA|0482-00'!$G$72</definedName>
    <definedName name="CECOrigPermSalary">'B6'!$G$72</definedName>
    <definedName name="CECOrigPermVB" localSheetId="0">'LABA|0349-00'!$I$72</definedName>
    <definedName name="CECOrigPermVB" localSheetId="1">'LABA|0482-00'!$I$72</definedName>
    <definedName name="CECOrigPermVB">'B6'!$I$72</definedName>
    <definedName name="CECPerm">Benefits!$C$38</definedName>
    <definedName name="CECpermCalc" localSheetId="0">'LABA|0349-00'!$E$72</definedName>
    <definedName name="CECpermCalc" localSheetId="1">'LABA|0482-00'!$E$72</definedName>
    <definedName name="CECpermCalc">'B6'!$E$72</definedName>
    <definedName name="Department" localSheetId="0">'LABA|0349-00'!$D$1</definedName>
    <definedName name="Department" localSheetId="1">'LABA|0482-00'!$D$1</definedName>
    <definedName name="Department">'B6'!$D$1</definedName>
    <definedName name="DHR">Benefits!$C$11</definedName>
    <definedName name="DHRBY">Benefits!$D$11</definedName>
    <definedName name="DHRCHG">Benefits!$E$11</definedName>
    <definedName name="Division" localSheetId="0">'LABA|0349-00'!$D$2</definedName>
    <definedName name="Division" localSheetId="1">'LABA|0482-00'!$D$2</definedName>
    <definedName name="Division">'B6'!$D$2</definedName>
    <definedName name="DUCECElect" localSheetId="0">'LABA|0349-00'!$J$74</definedName>
    <definedName name="DUCECElect" localSheetId="1">'LABA|0482-00'!$J$74</definedName>
    <definedName name="DUCECElect">'B6'!$J$74</definedName>
    <definedName name="DUCECGroup" localSheetId="0">'LABA|0349-00'!$J$73</definedName>
    <definedName name="DUCECGroup" localSheetId="1">'LABA|0482-00'!$J$73</definedName>
    <definedName name="DUCECGroup">'B6'!$J$73</definedName>
    <definedName name="DUCECPerm" localSheetId="0">'LABA|0349-00'!$J$72</definedName>
    <definedName name="DUCECPerm" localSheetId="1">'LABA|0482-00'!$J$72</definedName>
    <definedName name="DUCECPerm">'B6'!$J$72</definedName>
    <definedName name="DUEleven" localSheetId="0">'LABA|0349-00'!$J$75</definedName>
    <definedName name="DUEleven" localSheetId="1">'LABA|0482-00'!$J$75</definedName>
    <definedName name="DUEleven">'B6'!$J$75</definedName>
    <definedName name="DUHealthBen" localSheetId="0">'LABA|0349-00'!$J$68</definedName>
    <definedName name="DUHealthBen" localSheetId="1">'LABA|0482-00'!$J$68</definedName>
    <definedName name="DUHealthBen">'B6'!$J$68</definedName>
    <definedName name="DUNine" localSheetId="0">'LABA|0349-00'!$J$67</definedName>
    <definedName name="DUNine" localSheetId="1">'LABA|0482-00'!$J$67</definedName>
    <definedName name="DUNine">'B6'!$J$67</definedName>
    <definedName name="DUThirteen" localSheetId="0">'LABA|0349-00'!$J$80</definedName>
    <definedName name="DUThirteen" localSheetId="1">'LABA|0482-00'!$J$80</definedName>
    <definedName name="DUThirteen">'B6'!$J$80</definedName>
    <definedName name="DUVariableBen" localSheetId="0">'LABA|0349-00'!$J$69</definedName>
    <definedName name="DUVariableBen" localSheetId="1">'LABA|0482-00'!$J$69</definedName>
    <definedName name="DUVariableBen">'B6'!$J$69</definedName>
    <definedName name="Elect_chg_health" localSheetId="0">'LABA|0349-00'!$L$12</definedName>
    <definedName name="Elect_chg_health" localSheetId="1">'LABA|0482-00'!$L$12</definedName>
    <definedName name="Elect_chg_health">'B6'!$L$12</definedName>
    <definedName name="Elect_chg_Var" localSheetId="0">'LABA|0349-00'!$M$12</definedName>
    <definedName name="Elect_chg_Var" localSheetId="1">'LABA|0482-00'!$M$12</definedName>
    <definedName name="Elect_chg_Var">'B6'!$M$12</definedName>
    <definedName name="elect_FTP" localSheetId="0">'LABA|0349-00'!$F$12</definedName>
    <definedName name="elect_FTP" localSheetId="1">'LABA|0482-00'!$F$12</definedName>
    <definedName name="elect_FTP">'B6'!$F$12</definedName>
    <definedName name="Elect_health" localSheetId="0">'LABA|0349-00'!$H$12</definedName>
    <definedName name="Elect_health" localSheetId="1">'LABA|0482-00'!$H$12</definedName>
    <definedName name="Elect_health">'B6'!$H$12</definedName>
    <definedName name="Elect_name" localSheetId="0">'LABA|0349-00'!$C$12</definedName>
    <definedName name="Elect_name" localSheetId="1">'LABA|0482-00'!$C$12</definedName>
    <definedName name="Elect_name">'B6'!$C$12</definedName>
    <definedName name="Elect_salary" localSheetId="0">'LABA|0349-00'!$G$12</definedName>
    <definedName name="Elect_salary" localSheetId="1">'LABA|0482-00'!$G$12</definedName>
    <definedName name="Elect_salary">'B6'!$G$12</definedName>
    <definedName name="Elect_Var" localSheetId="0">'LABA|0349-00'!$I$12</definedName>
    <definedName name="Elect_Var" localSheetId="1">'LABA|0482-00'!$I$12</definedName>
    <definedName name="Elect_Var">'B6'!$I$12</definedName>
    <definedName name="Elect_VarBen" localSheetId="0">'LABA|0349-00'!$I$12</definedName>
    <definedName name="Elect_VarBen" localSheetId="1">'LABA|0482-00'!$I$12</definedName>
    <definedName name="Elect_VarBen">'B6'!$I$12</definedName>
    <definedName name="ElectVB">Benefits!$C$14</definedName>
    <definedName name="ElectVBBY">Benefits!$D$14</definedName>
    <definedName name="ElectVBCHG">Benefits!$E$14</definedName>
    <definedName name="FillRate_Avg">Benefits!$C$40</definedName>
    <definedName name="FillRateAvg_B6" localSheetId="0">'LABA|0349-00'!#REF!</definedName>
    <definedName name="FillRateAvg_B6" localSheetId="1">'LABA|0482-00'!#REF!</definedName>
    <definedName name="FillRateAvg_B6">'B6'!#REF!</definedName>
    <definedName name="FiscalYear" localSheetId="0">'LABA|0349-00'!$M$4</definedName>
    <definedName name="FiscalYear" localSheetId="1">'LABA|0482-00'!$M$4</definedName>
    <definedName name="FiscalYear">'B6'!$M$4</definedName>
    <definedName name="FundName" localSheetId="0">'LABA|0349-00'!$I$5</definedName>
    <definedName name="FundName" localSheetId="1">'LABA|0482-00'!$I$5</definedName>
    <definedName name="FundName">'B6'!$I$5</definedName>
    <definedName name="FundNum" localSheetId="0">'LABA|0349-00'!$N$5</definedName>
    <definedName name="FundNum" localSheetId="1">'LABA|0482-00'!$N$5</definedName>
    <definedName name="FundNum">'B6'!$N$5</definedName>
    <definedName name="FundNumber" localSheetId="0">'LABA|0349-00'!$N$5</definedName>
    <definedName name="FundNumber" localSheetId="1">'LABA|0482-00'!$N$5</definedName>
    <definedName name="FundNumber">'B6'!$N$5</definedName>
    <definedName name="FundSummaryEst">FundSummary!$H$5</definedName>
    <definedName name="FundSummaryLastColumn">FundSummary!$M$6</definedName>
    <definedName name="FundSummaryPermActual">FundSummary!$F$5</definedName>
    <definedName name="FundSummaryPermBY">FundSummary!$L$5</definedName>
    <definedName name="FundSummaryPermCY">FundSummary!$I$5</definedName>
    <definedName name="FundSummaryProj">FundSummary!$K$5</definedName>
    <definedName name="FundSummaryStartData">FundSummary!$E$8</definedName>
    <definedName name="Group_name" localSheetId="0">'LABA|0349-00'!$C$11</definedName>
    <definedName name="Group_name" localSheetId="1">'LABA|0482-00'!$C$11</definedName>
    <definedName name="Group_name">'B6'!$C$11</definedName>
    <definedName name="GroupFxdBen" localSheetId="0">'LABA|0349-00'!$H$11</definedName>
    <definedName name="GroupFxdBen" localSheetId="1">'LABA|0482-00'!$H$11</definedName>
    <definedName name="GroupFxdBen">'B6'!$H$11</definedName>
    <definedName name="GroupSalary" localSheetId="0">'LABA|0349-00'!$G$11</definedName>
    <definedName name="GroupSalary" localSheetId="1">'LABA|0482-00'!$G$11</definedName>
    <definedName name="GroupSalary">'B6'!$G$11</definedName>
    <definedName name="GroupVarBen" localSheetId="0">'LABA|0349-00'!$I$11</definedName>
    <definedName name="GroupVarBen" localSheetId="1">'LABA|0482-00'!$I$11</definedName>
    <definedName name="GroupVarBen">'B6'!$I$11</definedName>
    <definedName name="GroupVB">Benefits!$C$13</definedName>
    <definedName name="GroupVBBY">Benefits!$D$13</definedName>
    <definedName name="GroupVBCHG">Benefits!$E$13</definedName>
    <definedName name="Health">Benefits!$C$15</definedName>
    <definedName name="HealthBY">Benefits!$D$15</definedName>
    <definedName name="HealthCHG">Benefits!$E$15</definedName>
    <definedName name="LABA034900col_1_27TH_PP">Data!$BA$16</definedName>
    <definedName name="LABA034900col_DHR">Data!$BI$16</definedName>
    <definedName name="LABA034900col_DHR_BY">Data!$BU$16</definedName>
    <definedName name="LABA034900col_DHR_CHG">Data!$CG$16</definedName>
    <definedName name="LABA034900col_FTI_SALARY_ELECT">Data!$AZ$16</definedName>
    <definedName name="LABA034900col_FTI_SALARY_PERM">Data!$AY$16</definedName>
    <definedName name="LABA034900col_FTI_SALARY_SSDI">Data!$AX$16</definedName>
    <definedName name="LABA034900col_Group_Ben">Data!$CM$16</definedName>
    <definedName name="LABA034900col_Group_Salary">Data!$CL$16</definedName>
    <definedName name="LABA034900col_HEALTH_ELECT">Data!$BC$16</definedName>
    <definedName name="LABA034900col_HEALTH_ELECT_BY">Data!$BO$16</definedName>
    <definedName name="LABA034900col_HEALTH_ELECT_CHG">Data!$CA$16</definedName>
    <definedName name="LABA034900col_HEALTH_PERM">Data!$BB$16</definedName>
    <definedName name="LABA034900col_HEALTH_PERM_BY">Data!$BN$16</definedName>
    <definedName name="LABA034900col_HEALTH_PERM_CHG">Data!$BZ$16</definedName>
    <definedName name="LABA034900col_INC_FTI">Data!$AS$16</definedName>
    <definedName name="LABA034900col_LIFE_INS">Data!$BG$16</definedName>
    <definedName name="LABA034900col_LIFE_INS_BY">Data!$BS$16</definedName>
    <definedName name="LABA034900col_LIFE_INS_CHG">Data!$CE$16</definedName>
    <definedName name="LABA034900col_RETIREMENT">Data!$BF$16</definedName>
    <definedName name="LABA034900col_RETIREMENT_BY">Data!$BR$16</definedName>
    <definedName name="LABA034900col_RETIREMENT_CHG">Data!$CD$16</definedName>
    <definedName name="LABA034900col_ROWS_PER_PCN">Data!$AW$16</definedName>
    <definedName name="LABA034900col_SICK">Data!$BK$16</definedName>
    <definedName name="LABA034900col_SICK_BY">Data!$BW$16</definedName>
    <definedName name="LABA034900col_SICK_CHG">Data!$CI$16</definedName>
    <definedName name="LABA034900col_SSDI">Data!$BD$16</definedName>
    <definedName name="LABA034900col_SSDI_BY">Data!$BP$16</definedName>
    <definedName name="LABA034900col_SSDI_CHG">Data!$CB$16</definedName>
    <definedName name="LABA034900col_SSHI">Data!$BE$16</definedName>
    <definedName name="LABA034900col_SSHI_BY">Data!$BQ$16</definedName>
    <definedName name="LABA034900col_SSHI_CHGv">Data!$CC$16</definedName>
    <definedName name="LABA034900col_TOT_VB_ELECT">Data!$BM$16</definedName>
    <definedName name="LABA034900col_TOT_VB_ELECT_BY">Data!$BY$16</definedName>
    <definedName name="LABA034900col_TOT_VB_ELECT_CHG">Data!$CK$16</definedName>
    <definedName name="LABA034900col_TOT_VB_PERM">Data!$BL$16</definedName>
    <definedName name="LABA034900col_TOT_VB_PERM_BY">Data!$BX$16</definedName>
    <definedName name="LABA034900col_TOT_VB_PERM_CHG">Data!$CJ$16</definedName>
    <definedName name="LABA034900col_TOTAL_ELECT_PCN_FTI">Data!$AT$16</definedName>
    <definedName name="LABA034900col_TOTAL_ELECT_PCN_FTI_ALT">Data!$AV$16</definedName>
    <definedName name="LABA034900col_TOTAL_PERM_PCN_FTI">Data!$AU$16</definedName>
    <definedName name="LABA034900col_UNEMP_INS">Data!$BH$16</definedName>
    <definedName name="LABA034900col_UNEMP_INS_BY">Data!$BT$16</definedName>
    <definedName name="LABA034900col_UNEMP_INS_CHG">Data!$CF$16</definedName>
    <definedName name="LABA034900col_WORKERS_COMP">Data!$BJ$16</definedName>
    <definedName name="LABA034900col_WORKERS_COMP_BY">Data!$BV$16</definedName>
    <definedName name="LABA034900col_WORKERS_COMP_CHG">Data!$CH$16</definedName>
    <definedName name="LABA048270col_1_27TH_PP">Data!$BA$18</definedName>
    <definedName name="LABA048270col_DHR">Data!$BI$18</definedName>
    <definedName name="LABA048270col_DHR_BY">Data!$BU$18</definedName>
    <definedName name="LABA048270col_DHR_CHG">Data!$CG$18</definedName>
    <definedName name="LABA048270col_FTI_SALARY_ELECT">Data!$AZ$18</definedName>
    <definedName name="LABA048270col_FTI_SALARY_PERM">Data!$AY$18</definedName>
    <definedName name="LABA048270col_FTI_SALARY_SSDI">Data!$AX$18</definedName>
    <definedName name="LABA048270col_Group_Ben">Data!$CM$18</definedName>
    <definedName name="LABA048270col_Group_Salary">Data!$CL$18</definedName>
    <definedName name="LABA048270col_HEALTH_ELECT">Data!$BC$18</definedName>
    <definedName name="LABA048270col_HEALTH_ELECT_BY">Data!$BO$18</definedName>
    <definedName name="LABA048270col_HEALTH_ELECT_CHG">Data!$CA$18</definedName>
    <definedName name="LABA048270col_HEALTH_PERM">Data!$BB$18</definedName>
    <definedName name="LABA048270col_HEALTH_PERM_BY">Data!$BN$18</definedName>
    <definedName name="LABA048270col_HEALTH_PERM_CHG">Data!$BZ$18</definedName>
    <definedName name="LABA048270col_INC_FTI">Data!$AS$18</definedName>
    <definedName name="LABA048270col_LIFE_INS">Data!$BG$18</definedName>
    <definedName name="LABA048270col_LIFE_INS_BY">Data!$BS$18</definedName>
    <definedName name="LABA048270col_LIFE_INS_CHG">Data!$CE$18</definedName>
    <definedName name="LABA048270col_RETIREMENT">Data!$BF$18</definedName>
    <definedName name="LABA048270col_RETIREMENT_BY">Data!$BR$18</definedName>
    <definedName name="LABA048270col_RETIREMENT_CHG">Data!$CD$18</definedName>
    <definedName name="LABA048270col_ROWS_PER_PCN">Data!$AW$18</definedName>
    <definedName name="LABA048270col_SICK">Data!$BK$18</definedName>
    <definedName name="LABA048270col_SICK_BY">Data!$BW$18</definedName>
    <definedName name="LABA048270col_SICK_CHG">Data!$CI$18</definedName>
    <definedName name="LABA048270col_SSDI">Data!$BD$18</definedName>
    <definedName name="LABA048270col_SSDI_BY">Data!$BP$18</definedName>
    <definedName name="LABA048270col_SSDI_CHG">Data!$CB$18</definedName>
    <definedName name="LABA048270col_SSHI">Data!$BE$18</definedName>
    <definedName name="LABA048270col_SSHI_BY">Data!$BQ$18</definedName>
    <definedName name="LABA048270col_SSHI_CHGv">Data!$CC$18</definedName>
    <definedName name="LABA048270col_TOT_VB_ELECT">Data!$BM$18</definedName>
    <definedName name="LABA048270col_TOT_VB_ELECT_BY">Data!$BY$18</definedName>
    <definedName name="LABA048270col_TOT_VB_ELECT_CHG">Data!$CK$18</definedName>
    <definedName name="LABA048270col_TOT_VB_PERM">Data!$BL$18</definedName>
    <definedName name="LABA048270col_TOT_VB_PERM_BY">Data!$BX$18</definedName>
    <definedName name="LABA048270col_TOT_VB_PERM_CHG">Data!$CJ$18</definedName>
    <definedName name="LABA048270col_TOTAL_ELECT_PCN_FTI">Data!$AT$18</definedName>
    <definedName name="LABA048270col_TOTAL_ELECT_PCN_FTI_ALT">Data!$AV$18</definedName>
    <definedName name="LABA048270col_TOTAL_PERM_PCN_FTI">Data!$AU$18</definedName>
    <definedName name="LABA048270col_UNEMP_INS">Data!$BH$18</definedName>
    <definedName name="LABA048270col_UNEMP_INS_BY">Data!$BT$18</definedName>
    <definedName name="LABA048270col_UNEMP_INS_CHG">Data!$CF$18</definedName>
    <definedName name="LABA048270col_WORKERS_COMP">Data!$BJ$18</definedName>
    <definedName name="LABA048270col_WORKERS_COMP_BY">Data!$BV$18</definedName>
    <definedName name="LABA048270col_WORKERS_COMP_CHG">Data!$CH$18</definedName>
    <definedName name="LABB034900col_1_27TH_PP">Data!$BA$20</definedName>
    <definedName name="LABB034900col_DHR">Data!$BI$20</definedName>
    <definedName name="LABB034900col_DHR_BY">Data!$BU$20</definedName>
    <definedName name="LABB034900col_DHR_CHG">Data!$CG$20</definedName>
    <definedName name="LABB034900col_FTI_SALARY_ELECT">Data!$AZ$20</definedName>
    <definedName name="LABB034900col_FTI_SALARY_PERM">Data!$AY$20</definedName>
    <definedName name="LABB034900col_FTI_SALARY_SSDI">Data!$AX$20</definedName>
    <definedName name="LABB034900col_Group_Ben">Data!$CM$20</definedName>
    <definedName name="LABB034900col_Group_Salary">Data!$CL$20</definedName>
    <definedName name="LABB034900col_HEALTH_ELECT">Data!$BC$20</definedName>
    <definedName name="LABB034900col_HEALTH_ELECT_BY">Data!$BO$20</definedName>
    <definedName name="LABB034900col_HEALTH_ELECT_CHG">Data!$CA$20</definedName>
    <definedName name="LABB034900col_HEALTH_PERM">Data!$BB$20</definedName>
    <definedName name="LABB034900col_HEALTH_PERM_BY">Data!$BN$20</definedName>
    <definedName name="LABB034900col_HEALTH_PERM_CHG">Data!$BZ$20</definedName>
    <definedName name="LABB034900col_INC_FTI">Data!$AS$20</definedName>
    <definedName name="LABB034900col_LIFE_INS">Data!$BG$20</definedName>
    <definedName name="LABB034900col_LIFE_INS_BY">Data!$BS$20</definedName>
    <definedName name="LABB034900col_LIFE_INS_CHG">Data!$CE$20</definedName>
    <definedName name="LABB034900col_RETIREMENT">Data!$BF$20</definedName>
    <definedName name="LABB034900col_RETIREMENT_BY">Data!$BR$20</definedName>
    <definedName name="LABB034900col_RETIREMENT_CHG">Data!$CD$20</definedName>
    <definedName name="LABB034900col_ROWS_PER_PCN">Data!$AW$20</definedName>
    <definedName name="LABB034900col_SICK">Data!$BK$20</definedName>
    <definedName name="LABB034900col_SICK_BY">Data!$BW$20</definedName>
    <definedName name="LABB034900col_SICK_CHG">Data!$CI$20</definedName>
    <definedName name="LABB034900col_SSDI">Data!$BD$20</definedName>
    <definedName name="LABB034900col_SSDI_BY">Data!$BP$20</definedName>
    <definedName name="LABB034900col_SSDI_CHG">Data!$CB$20</definedName>
    <definedName name="LABB034900col_SSHI">Data!$BE$20</definedName>
    <definedName name="LABB034900col_SSHI_BY">Data!$BQ$20</definedName>
    <definedName name="LABB034900col_SSHI_CHGv">Data!$CC$20</definedName>
    <definedName name="LABB034900col_TOT_VB_ELECT">Data!$BM$20</definedName>
    <definedName name="LABB034900col_TOT_VB_ELECT_BY">Data!$BY$20</definedName>
    <definedName name="LABB034900col_TOT_VB_ELECT_CHG">Data!$CK$20</definedName>
    <definedName name="LABB034900col_TOT_VB_PERM">Data!$BL$20</definedName>
    <definedName name="LABB034900col_TOT_VB_PERM_BY">Data!$BX$20</definedName>
    <definedName name="LABB034900col_TOT_VB_PERM_CHG">Data!$CJ$20</definedName>
    <definedName name="LABB034900col_TOTAL_ELECT_PCN_FTI">Data!$AT$20</definedName>
    <definedName name="LABB034900col_TOTAL_ELECT_PCN_FTI_ALT">Data!$AV$20</definedName>
    <definedName name="LABB034900col_TOTAL_PERM_PCN_FTI">Data!$AU$20</definedName>
    <definedName name="LABB034900col_UNEMP_INS">Data!$BH$20</definedName>
    <definedName name="LABB034900col_UNEMP_INS_BY">Data!$BT$20</definedName>
    <definedName name="LABB034900col_UNEMP_INS_CHG">Data!$CF$20</definedName>
    <definedName name="LABB034900col_WORKERS_COMP">Data!$BJ$20</definedName>
    <definedName name="LABB034900col_WORKERS_COMP_BY">Data!$BV$20</definedName>
    <definedName name="LABB034900col_WORKERS_COMP_CHG">Data!$CH$20</definedName>
    <definedName name="LABB048270col_1_27TH_PP">Data!$BA$22</definedName>
    <definedName name="LABB048270col_DHR">Data!$BI$22</definedName>
    <definedName name="LABB048270col_DHR_BY">Data!$BU$22</definedName>
    <definedName name="LABB048270col_DHR_CHG">Data!$CG$22</definedName>
    <definedName name="LABB048270col_FTI_SALARY_ELECT">Data!$AZ$22</definedName>
    <definedName name="LABB048270col_FTI_SALARY_PERM">Data!$AY$22</definedName>
    <definedName name="LABB048270col_FTI_SALARY_SSDI">Data!$AX$22</definedName>
    <definedName name="LABB048270col_Group_Ben">Data!$CM$22</definedName>
    <definedName name="LABB048270col_Group_Salary">Data!$CL$22</definedName>
    <definedName name="LABB048270col_HEALTH_ELECT">Data!$BC$22</definedName>
    <definedName name="LABB048270col_HEALTH_ELECT_BY">Data!$BO$22</definedName>
    <definedName name="LABB048270col_HEALTH_ELECT_CHG">Data!$CA$22</definedName>
    <definedName name="LABB048270col_HEALTH_PERM">Data!$BB$22</definedName>
    <definedName name="LABB048270col_HEALTH_PERM_BY">Data!$BN$22</definedName>
    <definedName name="LABB048270col_HEALTH_PERM_CHG">Data!$BZ$22</definedName>
    <definedName name="LABB048270col_INC_FTI">Data!$AS$22</definedName>
    <definedName name="LABB048270col_LIFE_INS">Data!$BG$22</definedName>
    <definedName name="LABB048270col_LIFE_INS_BY">Data!$BS$22</definedName>
    <definedName name="LABB048270col_LIFE_INS_CHG">Data!$CE$22</definedName>
    <definedName name="LABB048270col_RETIREMENT">Data!$BF$22</definedName>
    <definedName name="LABB048270col_RETIREMENT_BY">Data!$BR$22</definedName>
    <definedName name="LABB048270col_RETIREMENT_CHG">Data!$CD$22</definedName>
    <definedName name="LABB048270col_ROWS_PER_PCN">Data!$AW$22</definedName>
    <definedName name="LABB048270col_SICK">Data!$BK$22</definedName>
    <definedName name="LABB048270col_SICK_BY">Data!$BW$22</definedName>
    <definedName name="LABB048270col_SICK_CHG">Data!$CI$22</definedName>
    <definedName name="LABB048270col_SSDI">Data!$BD$22</definedName>
    <definedName name="LABB048270col_SSDI_BY">Data!$BP$22</definedName>
    <definedName name="LABB048270col_SSDI_CHG">Data!$CB$22</definedName>
    <definedName name="LABB048270col_SSHI">Data!$BE$22</definedName>
    <definedName name="LABB048270col_SSHI_BY">Data!$BQ$22</definedName>
    <definedName name="LABB048270col_SSHI_CHGv">Data!$CC$22</definedName>
    <definedName name="LABB048270col_TOT_VB_ELECT">Data!$BM$22</definedName>
    <definedName name="LABB048270col_TOT_VB_ELECT_BY">Data!$BY$22</definedName>
    <definedName name="LABB048270col_TOT_VB_ELECT_CHG">Data!$CK$22</definedName>
    <definedName name="LABB048270col_TOT_VB_PERM">Data!$BL$22</definedName>
    <definedName name="LABB048270col_TOT_VB_PERM_BY">Data!$BX$22</definedName>
    <definedName name="LABB048270col_TOT_VB_PERM_CHG">Data!$CJ$22</definedName>
    <definedName name="LABB048270col_TOTAL_ELECT_PCN_FTI">Data!$AT$22</definedName>
    <definedName name="LABB048270col_TOTAL_ELECT_PCN_FTI_ALT">Data!$AV$22</definedName>
    <definedName name="LABB048270col_TOTAL_PERM_PCN_FTI">Data!$AU$22</definedName>
    <definedName name="LABB048270col_UNEMP_INS">Data!$BH$22</definedName>
    <definedName name="LABB048270col_UNEMP_INS_BY">Data!$BT$22</definedName>
    <definedName name="LABB048270col_UNEMP_INS_CHG">Data!$CF$22</definedName>
    <definedName name="LABB048270col_WORKERS_COMP">Data!$BJ$22</definedName>
    <definedName name="LABB048270col_WORKERS_COMP_BY">Data!$BV$22</definedName>
    <definedName name="LABB048270col_WORKERS_COMP_CHG">Data!$CH$22</definedName>
    <definedName name="Life">Benefits!$C$9</definedName>
    <definedName name="LifeBY">Benefits!$D$9</definedName>
    <definedName name="LifeCHG">Benefits!$E$9</definedName>
    <definedName name="LUMAFund" localSheetId="0">'LABA|0349-00'!$M$2</definedName>
    <definedName name="LUMAFund" localSheetId="1">'LABA|0482-00'!$M$2</definedName>
    <definedName name="LUMAFund">'B6'!$M$2</definedName>
    <definedName name="MAXSSDI">Benefits!$F$5</definedName>
    <definedName name="MAXSSDIBY">Benefits!$G$5</definedName>
    <definedName name="NEW_AdjGroup" localSheetId="0">'LABA|0349-00'!$AC$39</definedName>
    <definedName name="NEW_AdjGroup" localSheetId="1">'LABA|0482-00'!$AC$39</definedName>
    <definedName name="NEW_AdjGroup">'B6'!$AC$39</definedName>
    <definedName name="NEW_AdjGroupSalary" localSheetId="0">'LABA|0349-00'!$AA$39</definedName>
    <definedName name="NEW_AdjGroupSalary" localSheetId="1">'LABA|0482-00'!$AA$39</definedName>
    <definedName name="NEW_AdjGroupSalary">'B6'!$AA$39</definedName>
    <definedName name="NEW_AdjGroupVB" localSheetId="0">'LABA|0349-00'!$AB$39</definedName>
    <definedName name="NEW_AdjGroupVB" localSheetId="1">'LABA|0482-00'!$AB$39</definedName>
    <definedName name="NEW_AdjGroupVB">'B6'!$AB$39</definedName>
    <definedName name="NEW_AdjONLYGroup" localSheetId="0">'LABA|0349-00'!$AC$45</definedName>
    <definedName name="NEW_AdjONLYGroup" localSheetId="1">'LABA|0482-00'!$AC$45</definedName>
    <definedName name="NEW_AdjONLYGroup">'B6'!$AC$45</definedName>
    <definedName name="NEW_AdjONLYGroupSalary" localSheetId="0">'LABA|0349-00'!$AA$45</definedName>
    <definedName name="NEW_AdjONLYGroupSalary" localSheetId="1">'LABA|0482-00'!$AA$45</definedName>
    <definedName name="NEW_AdjONLYGroupSalary">'B6'!$AA$45</definedName>
    <definedName name="NEW_AdjONLYGroupVB" localSheetId="0">'LABA|0349-00'!$AB$45</definedName>
    <definedName name="NEW_AdjONLYGroupVB" localSheetId="1">'LABA|0482-00'!$AB$45</definedName>
    <definedName name="NEW_AdjONLYGroupVB">'B6'!$AB$45</definedName>
    <definedName name="NEW_AdjONLYPerm" localSheetId="0">'LABA|0349-00'!$AC$44</definedName>
    <definedName name="NEW_AdjONLYPerm" localSheetId="1">'LABA|0482-00'!$AC$44</definedName>
    <definedName name="NEW_AdjONLYPerm">'B6'!$AC$44</definedName>
    <definedName name="NEW_AdjONLYPermSalary" localSheetId="0">'LABA|0349-00'!$AA$44</definedName>
    <definedName name="NEW_AdjONLYPermSalary" localSheetId="1">'LABA|0482-00'!$AA$44</definedName>
    <definedName name="NEW_AdjONLYPermSalary">'B6'!$AA$44</definedName>
    <definedName name="NEW_AdjONLYPermVB" localSheetId="0">'LABA|0349-00'!$AB$44</definedName>
    <definedName name="NEW_AdjONLYPermVB" localSheetId="1">'LABA|0482-00'!$AB$44</definedName>
    <definedName name="NEW_AdjONLYPermVB">'B6'!$AB$44</definedName>
    <definedName name="NEW_AdjPerm" localSheetId="0">'LABA|0349-00'!$AC$38</definedName>
    <definedName name="NEW_AdjPerm" localSheetId="1">'LABA|0482-00'!$AC$38</definedName>
    <definedName name="NEW_AdjPerm">'B6'!$AC$38</definedName>
    <definedName name="NEW_AdjPermSalary" localSheetId="0">'LABA|0349-00'!$AA$38</definedName>
    <definedName name="NEW_AdjPermSalary" localSheetId="1">'LABA|0482-00'!$AA$38</definedName>
    <definedName name="NEW_AdjPermSalary">'B6'!$AA$38</definedName>
    <definedName name="NEW_AdjPermVB" localSheetId="0">'LABA|0349-00'!$AB$38</definedName>
    <definedName name="NEW_AdjPermVB" localSheetId="1">'LABA|0482-00'!$AB$38</definedName>
    <definedName name="NEW_AdjPermVB">'B6'!$AB$38</definedName>
    <definedName name="NEW_GroupFilled" localSheetId="0">'LABA|0349-00'!$AC$11</definedName>
    <definedName name="NEW_GroupFilled" localSheetId="1">'LABA|0482-00'!$AC$11</definedName>
    <definedName name="NEW_GroupFilled">'B6'!$AC$11</definedName>
    <definedName name="NEW_GroupSalaryFilled" localSheetId="0">'LABA|0349-00'!$AA$11</definedName>
    <definedName name="NEW_GroupSalaryFilled" localSheetId="1">'LABA|0482-00'!$AA$11</definedName>
    <definedName name="NEW_GroupSalaryFilled">'B6'!$AA$11</definedName>
    <definedName name="NEW_GroupVBFilled" localSheetId="0">'LABA|0349-00'!$AB$11</definedName>
    <definedName name="NEW_GroupVBFilled" localSheetId="1">'LABA|0482-00'!$AB$11</definedName>
    <definedName name="NEW_GroupVBFilled">'B6'!$AB$11</definedName>
    <definedName name="NEW_PermFilled" localSheetId="0">'LABA|0349-00'!$AC$10</definedName>
    <definedName name="NEW_PermFilled" localSheetId="1">'LABA|0482-00'!$AC$10</definedName>
    <definedName name="NEW_PermFilled">'B6'!$AC$10</definedName>
    <definedName name="NEW_PermSalaryFilled" localSheetId="0">'LABA|0349-00'!$AA$10</definedName>
    <definedName name="NEW_PermSalaryFilled" localSheetId="1">'LABA|0482-00'!$AA$10</definedName>
    <definedName name="NEW_PermSalaryFilled">'B6'!$AA$10</definedName>
    <definedName name="NEW_PermVBFilled" localSheetId="0">'LABA|0349-00'!$AB$10</definedName>
    <definedName name="NEW_PermVBFilled" localSheetId="1">'LABA|0482-00'!$AB$10</definedName>
    <definedName name="NEW_PermVBFilled">'B6'!$AB$10</definedName>
    <definedName name="OneTimePC_Total" localSheetId="0">'LABA|0349-00'!$J$63</definedName>
    <definedName name="OneTimePC_Total" localSheetId="1">'LABA|0482-00'!$J$63</definedName>
    <definedName name="OneTimePC_Total">'B6'!$J$63</definedName>
    <definedName name="OrigApprop" localSheetId="0">'LABA|0349-00'!$E$15</definedName>
    <definedName name="OrigApprop" localSheetId="1">'LABA|0482-00'!$E$15</definedName>
    <definedName name="OrigApprop">'B6'!$E$15</definedName>
    <definedName name="perm_name" localSheetId="0">'LABA|0349-00'!$C$10</definedName>
    <definedName name="perm_name" localSheetId="1">'LABA|0482-00'!$C$10</definedName>
    <definedName name="perm_name">'B6'!$C$10</definedName>
    <definedName name="PermFTP" localSheetId="0">'LABA|0349-00'!$F$10</definedName>
    <definedName name="PermFTP" localSheetId="1">'LABA|0482-00'!$F$10</definedName>
    <definedName name="PermFTP">'B6'!$F$10</definedName>
    <definedName name="PermFxdBen" localSheetId="0">'LABA|0349-00'!$H$10</definedName>
    <definedName name="PermFxdBen" localSheetId="1">'LABA|0482-00'!$H$10</definedName>
    <definedName name="PermFxdBen">'B6'!$H$10</definedName>
    <definedName name="PermFxdBenChg" localSheetId="0">'LABA|0349-00'!$L$10</definedName>
    <definedName name="PermFxdBenChg" localSheetId="1">'LABA|0482-00'!$L$10</definedName>
    <definedName name="PermFxdBenChg">'B6'!$L$10</definedName>
    <definedName name="PermFxdChg" localSheetId="0">'LABA|0349-00'!$L$10</definedName>
    <definedName name="PermFxdChg" localSheetId="1">'LABA|0482-00'!$L$10</definedName>
    <definedName name="PermFxdChg">'B6'!$L$10</definedName>
    <definedName name="PermSalary" localSheetId="0">'LABA|0349-00'!$G$10</definedName>
    <definedName name="PermSalary" localSheetId="1">'LABA|0482-00'!$G$10</definedName>
    <definedName name="PermSalary">'B6'!$G$10</definedName>
    <definedName name="PermVarBen" localSheetId="0">'LABA|0349-00'!$I$10</definedName>
    <definedName name="PermVarBen" localSheetId="1">'LABA|0482-00'!$I$10</definedName>
    <definedName name="PermVarBen">'B6'!$I$10</definedName>
    <definedName name="PermVarBenChg" localSheetId="0">'LABA|0349-00'!$M$10</definedName>
    <definedName name="PermVarBenChg" localSheetId="1">'LABA|0482-00'!$M$10</definedName>
    <definedName name="PermVarBenChg">'B6'!$M$10</definedName>
    <definedName name="PermVB">Benefits!$C$12</definedName>
    <definedName name="PermVBBY">Benefits!$D$12</definedName>
    <definedName name="PermVBCHG">Benefits!$E$12</definedName>
    <definedName name="_xlnm.Print_Area" localSheetId="4">'B6'!$A$1:$N$81</definedName>
    <definedName name="_xlnm.Print_Area" localSheetId="3">Benefits!$A$1:$G$36</definedName>
    <definedName name="_xlnm.Print_Area" localSheetId="0">'LABA|0349-00'!$A$1:$N$81</definedName>
    <definedName name="_xlnm.Print_Area" localSheetId="1">'LABA|0482-00'!$A$1:$N$81</definedName>
    <definedName name="Prog_Unadjusted_Total" localSheetId="0">'LABA|0349-00'!$C$8:$N$16</definedName>
    <definedName name="Prog_Unadjusted_Total" localSheetId="1">'LABA|0482-00'!$C$8:$N$16</definedName>
    <definedName name="Prog_Unadjusted_Total">'B6'!$C$8:$N$16</definedName>
    <definedName name="Program" localSheetId="0">'LABA|0349-00'!$D$3</definedName>
    <definedName name="Program" localSheetId="1">'LABA|0482-00'!$D$3</definedName>
    <definedName name="Program">'B6'!$D$3</definedName>
    <definedName name="PTHealth">Benefits!$C$16</definedName>
    <definedName name="PTHealthBY">Benefits!$D$16</definedName>
    <definedName name="PTHealthChg">Benefits!$E$16</definedName>
    <definedName name="Retire1">Benefits!$C$20</definedName>
    <definedName name="Retire1BY">Benefits!$D$20</definedName>
    <definedName name="Retire1CHG">Benefits!$E$20</definedName>
    <definedName name="Retire2">Benefits!$C$21</definedName>
    <definedName name="Retire2BY">Benefits!$D$21</definedName>
    <definedName name="Retire2CHG">Benefits!$E$21</definedName>
    <definedName name="Retire4">Benefits!$C$22</definedName>
    <definedName name="Retire4BY">Benefits!$D$22</definedName>
    <definedName name="Retire4CHG">Benefits!$E$22</definedName>
    <definedName name="Retire5">Benefits!$C$23</definedName>
    <definedName name="Retire5BY">Benefits!$D$23</definedName>
    <definedName name="Retire5CHG">Benefits!$E$23</definedName>
    <definedName name="Retire6">Benefits!$C$24</definedName>
    <definedName name="Retire6BY">Benefits!$D$24</definedName>
    <definedName name="Retire6CHG">Benefits!$E$24</definedName>
    <definedName name="Retire7">Benefits!$C$25</definedName>
    <definedName name="Retire7BY">Benefits!$D$25</definedName>
    <definedName name="Retire7CHG">Benefits!$E$25</definedName>
    <definedName name="Retire8">Benefits!$C$26</definedName>
    <definedName name="Retire8BY">Benefits!$D$26</definedName>
    <definedName name="Retire8CHG">Benefits!$E$26</definedName>
    <definedName name="Retirement_Rates">Benefits!$A$19:$E$26</definedName>
    <definedName name="RoundedAppropSalary" localSheetId="0">'LABA|0349-00'!$G$52</definedName>
    <definedName name="RoundedAppropSalary" localSheetId="1">'LABA|0482-00'!$G$52</definedName>
    <definedName name="RoundedAppropSalary">'B6'!$G$52</definedName>
    <definedName name="SalaryChg" localSheetId="0">'LABA|0349-00'!$K$10</definedName>
    <definedName name="SalaryChg" localSheetId="1">'LABA|0482-00'!$K$10</definedName>
    <definedName name="SalaryChg">'B6'!$K$10</definedName>
    <definedName name="Sick">Benefits!$C$10</definedName>
    <definedName name="SickBY">Benefits!$D$10</definedName>
    <definedName name="SickCHG">Benefits!$E$10</definedName>
    <definedName name="SSDI">Benefits!$C$5</definedName>
    <definedName name="SSDIBY">Benefits!$D$5</definedName>
    <definedName name="SSDICHG">Benefits!$E$5</definedName>
    <definedName name="SSHI">Benefits!$C$6</definedName>
    <definedName name="SSHIBY">Benefits!$D$6</definedName>
    <definedName name="SSHICHG">Benefits!$E$6</definedName>
    <definedName name="SubCECBase" localSheetId="0">'LABA|0349-00'!#REF!</definedName>
    <definedName name="SubCECBase" localSheetId="1">'LABA|0482-00'!#REF!</definedName>
    <definedName name="SubCECBase">'B6'!#REF!</definedName>
    <definedName name="UI">Benefits!$C$7</definedName>
    <definedName name="UIBY">Benefits!$D$7</definedName>
    <definedName name="UICHG">Benefits!$E$7</definedName>
    <definedName name="WC">Benefits!$C$8</definedName>
    <definedName name="WCBY">Benefits!$D$8</definedName>
    <definedName name="WCCHG">Benefits!$E$8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8" i="11" l="1"/>
  <c r="F8" i="11"/>
  <c r="G8" i="11"/>
  <c r="H8" i="11"/>
  <c r="I8" i="11"/>
  <c r="K8" i="11"/>
  <c r="L8" i="11"/>
  <c r="E9" i="11"/>
  <c r="F9" i="11"/>
  <c r="G9" i="11"/>
  <c r="H9" i="11"/>
  <c r="I9" i="11"/>
  <c r="K9" i="11"/>
  <c r="L9" i="11"/>
  <c r="E10" i="11"/>
  <c r="F10" i="11"/>
  <c r="G10" i="11"/>
  <c r="H10" i="11"/>
  <c r="I10" i="11"/>
  <c r="K10" i="11"/>
  <c r="L10" i="11"/>
  <c r="E11" i="11"/>
  <c r="F11" i="11"/>
  <c r="G11" i="11"/>
  <c r="H11" i="11"/>
  <c r="I11" i="11"/>
  <c r="K11" i="11"/>
  <c r="L11" i="11"/>
  <c r="E12" i="11"/>
  <c r="F12" i="11"/>
  <c r="G12" i="11"/>
  <c r="H12" i="11"/>
  <c r="I12" i="11"/>
  <c r="J12" i="11"/>
  <c r="K12" i="11"/>
  <c r="L12" i="11"/>
  <c r="M12" i="11"/>
  <c r="E13" i="11"/>
  <c r="F13" i="11"/>
  <c r="G13" i="11"/>
  <c r="H13" i="11"/>
  <c r="I13" i="11"/>
  <c r="K13" i="11"/>
  <c r="L13" i="11"/>
  <c r="E14" i="11"/>
  <c r="F14" i="11"/>
  <c r="G14" i="11"/>
  <c r="H14" i="11"/>
  <c r="I14" i="11"/>
  <c r="J14" i="11"/>
  <c r="K14" i="11"/>
  <c r="L14" i="11"/>
  <c r="M14" i="11"/>
  <c r="E15" i="11"/>
  <c r="F15" i="11"/>
  <c r="G15" i="11"/>
  <c r="H15" i="11"/>
  <c r="I15" i="11"/>
  <c r="J15" i="11"/>
  <c r="K15" i="11"/>
  <c r="L15" i="11"/>
  <c r="M15" i="11"/>
  <c r="E16" i="11"/>
  <c r="F16" i="11"/>
  <c r="G16" i="11"/>
  <c r="H16" i="11"/>
  <c r="I16" i="11"/>
  <c r="J16" i="11"/>
  <c r="K16" i="11"/>
  <c r="L16" i="11"/>
  <c r="M16" i="11"/>
  <c r="E17" i="11"/>
  <c r="F17" i="11"/>
  <c r="G17" i="11"/>
  <c r="H17" i="11"/>
  <c r="I17" i="11"/>
  <c r="J17" i="11"/>
  <c r="K17" i="11"/>
  <c r="L17" i="11"/>
  <c r="M17" i="11"/>
  <c r="E18" i="11"/>
  <c r="F18" i="11"/>
  <c r="G18" i="11"/>
  <c r="H18" i="11"/>
  <c r="I18" i="11"/>
  <c r="J18" i="11"/>
  <c r="K18" i="11"/>
  <c r="L18" i="11"/>
  <c r="M18" i="11"/>
  <c r="E19" i="11"/>
  <c r="F19" i="11"/>
  <c r="G19" i="11"/>
  <c r="H19" i="11"/>
  <c r="I19" i="11"/>
  <c r="J19" i="11"/>
  <c r="K19" i="11"/>
  <c r="L19" i="11"/>
  <c r="M19" i="11"/>
  <c r="E20" i="11"/>
  <c r="F20" i="11"/>
  <c r="G20" i="11"/>
  <c r="H20" i="11"/>
  <c r="I20" i="11"/>
  <c r="J20" i="11"/>
  <c r="K20" i="11"/>
  <c r="L20" i="11"/>
  <c r="M20" i="11"/>
  <c r="E21" i="11"/>
  <c r="F21" i="11"/>
  <c r="G21" i="11"/>
  <c r="H21" i="11"/>
  <c r="I21" i="11"/>
  <c r="K21" i="11"/>
  <c r="L21" i="11"/>
  <c r="AZ43" i="5"/>
  <c r="AY43" i="5"/>
  <c r="AW43" i="5"/>
  <c r="AV43" i="5"/>
  <c r="AU43" i="5"/>
  <c r="AT43" i="5"/>
  <c r="AS43" i="5"/>
  <c r="BA41" i="5"/>
  <c r="AZ41" i="5"/>
  <c r="AY41" i="5"/>
  <c r="AX41" i="5"/>
  <c r="AW41" i="5"/>
  <c r="AV41" i="5"/>
  <c r="AU41" i="5"/>
  <c r="AT41" i="5"/>
  <c r="AS41" i="5"/>
  <c r="AZ35" i="5"/>
  <c r="AY35" i="5"/>
  <c r="AW35" i="5"/>
  <c r="AV35" i="5"/>
  <c r="AU35" i="5"/>
  <c r="AT35" i="5"/>
  <c r="AS35" i="5"/>
  <c r="AZ39" i="5"/>
  <c r="AW39" i="5"/>
  <c r="A42" i="10"/>
  <c r="K35" i="10"/>
  <c r="J35" i="10"/>
  <c r="I35" i="10"/>
  <c r="H35" i="10"/>
  <c r="G35" i="10"/>
  <c r="F35" i="10"/>
  <c r="E35" i="10"/>
  <c r="CM21" i="5"/>
  <c r="CM22" i="5" s="1"/>
  <c r="CL21" i="5"/>
  <c r="CL22" i="5" s="1"/>
  <c r="CK21" i="5"/>
  <c r="CK22" i="5" s="1"/>
  <c r="K39" i="10" s="1"/>
  <c r="CJ21" i="5"/>
  <c r="CJ22" i="5" s="1"/>
  <c r="CI21" i="5"/>
  <c r="CI22" i="5" s="1"/>
  <c r="CH21" i="5"/>
  <c r="CH22" i="5" s="1"/>
  <c r="CG21" i="5"/>
  <c r="CG22" i="5" s="1"/>
  <c r="CF21" i="5"/>
  <c r="CF22" i="5" s="1"/>
  <c r="CE21" i="5"/>
  <c r="CE22" i="5" s="1"/>
  <c r="CD21" i="5"/>
  <c r="CD22" i="5" s="1"/>
  <c r="CC21" i="5"/>
  <c r="CC22" i="5" s="1"/>
  <c r="CB21" i="5"/>
  <c r="CB22" i="5" s="1"/>
  <c r="CA21" i="5"/>
  <c r="CA22" i="5" s="1"/>
  <c r="BZ21" i="5"/>
  <c r="BZ22" i="5" s="1"/>
  <c r="J37" i="10" s="1"/>
  <c r="BY21" i="5"/>
  <c r="BY22" i="5" s="1"/>
  <c r="BX21" i="5"/>
  <c r="BX22" i="5" s="1"/>
  <c r="BW21" i="5"/>
  <c r="BW22" i="5" s="1"/>
  <c r="BV21" i="5"/>
  <c r="BV22" i="5" s="1"/>
  <c r="BU21" i="5"/>
  <c r="BU22" i="5" s="1"/>
  <c r="BT21" i="5"/>
  <c r="BT22" i="5" s="1"/>
  <c r="BS21" i="5"/>
  <c r="BS22" i="5" s="1"/>
  <c r="BR21" i="5"/>
  <c r="BR22" i="5" s="1"/>
  <c r="BQ21" i="5"/>
  <c r="BQ22" i="5" s="1"/>
  <c r="BP21" i="5"/>
  <c r="BP22" i="5" s="1"/>
  <c r="BO21" i="5"/>
  <c r="BO22" i="5" s="1"/>
  <c r="BN21" i="5"/>
  <c r="BN22" i="5" s="1"/>
  <c r="BM21" i="5"/>
  <c r="BM22" i="5" s="1"/>
  <c r="BL21" i="5"/>
  <c r="BL22" i="5" s="1"/>
  <c r="BK21" i="5"/>
  <c r="BK22" i="5" s="1"/>
  <c r="BJ21" i="5"/>
  <c r="BJ22" i="5" s="1"/>
  <c r="BI21" i="5"/>
  <c r="BI22" i="5" s="1"/>
  <c r="BH21" i="5"/>
  <c r="BH22" i="5" s="1"/>
  <c r="BG21" i="5"/>
  <c r="BG22" i="5" s="1"/>
  <c r="BF21" i="5"/>
  <c r="BF22" i="5" s="1"/>
  <c r="BE21" i="5"/>
  <c r="BE22" i="5" s="1"/>
  <c r="BD21" i="5"/>
  <c r="BD22" i="5" s="1"/>
  <c r="BC21" i="5"/>
  <c r="BC22" i="5" s="1"/>
  <c r="BB21" i="5"/>
  <c r="BB22" i="5" s="1"/>
  <c r="BA21" i="5"/>
  <c r="BA22" i="5" s="1"/>
  <c r="AZ21" i="5"/>
  <c r="AZ22" i="5" s="1"/>
  <c r="AY21" i="5"/>
  <c r="AY22" i="5" s="1"/>
  <c r="E37" i="10" s="1"/>
  <c r="AX21" i="5"/>
  <c r="AX22" i="5" s="1"/>
  <c r="AW21" i="5"/>
  <c r="AW22" i="5" s="1"/>
  <c r="AV21" i="5"/>
  <c r="AV22" i="5" s="1"/>
  <c r="AU21" i="5"/>
  <c r="AU22" i="5" s="1"/>
  <c r="AT21" i="5"/>
  <c r="AT22" i="5" s="1"/>
  <c r="AS21" i="5"/>
  <c r="AS22" i="5" s="1"/>
  <c r="A31" i="10"/>
  <c r="K24" i="10"/>
  <c r="J24" i="10"/>
  <c r="I24" i="10"/>
  <c r="H24" i="10"/>
  <c r="G24" i="10"/>
  <c r="F24" i="10"/>
  <c r="E24" i="10"/>
  <c r="CM19" i="5"/>
  <c r="CM20" i="5" s="1"/>
  <c r="CL19" i="5"/>
  <c r="CL20" i="5" s="1"/>
  <c r="CK19" i="5"/>
  <c r="CK20" i="5" s="1"/>
  <c r="CJ19" i="5"/>
  <c r="CJ20" i="5" s="1"/>
  <c r="CI19" i="5"/>
  <c r="CI20" i="5" s="1"/>
  <c r="CH19" i="5"/>
  <c r="CH20" i="5" s="1"/>
  <c r="CG19" i="5"/>
  <c r="CG20" i="5" s="1"/>
  <c r="CF19" i="5"/>
  <c r="CF20" i="5" s="1"/>
  <c r="CE19" i="5"/>
  <c r="CE20" i="5" s="1"/>
  <c r="CD19" i="5"/>
  <c r="CD20" i="5" s="1"/>
  <c r="CC19" i="5"/>
  <c r="CC20" i="5" s="1"/>
  <c r="CB19" i="5"/>
  <c r="CB20" i="5" s="1"/>
  <c r="CA19" i="5"/>
  <c r="CA20" i="5" s="1"/>
  <c r="BZ19" i="5"/>
  <c r="BZ20" i="5" s="1"/>
  <c r="BY19" i="5"/>
  <c r="BY20" i="5" s="1"/>
  <c r="BX19" i="5"/>
  <c r="BX20" i="5" s="1"/>
  <c r="BW19" i="5"/>
  <c r="BW20" i="5" s="1"/>
  <c r="BV19" i="5"/>
  <c r="BV20" i="5" s="1"/>
  <c r="BU19" i="5"/>
  <c r="BU20" i="5" s="1"/>
  <c r="BT19" i="5"/>
  <c r="BT20" i="5" s="1"/>
  <c r="BS19" i="5"/>
  <c r="BS20" i="5" s="1"/>
  <c r="BR19" i="5"/>
  <c r="BR20" i="5" s="1"/>
  <c r="BQ19" i="5"/>
  <c r="BQ20" i="5" s="1"/>
  <c r="BP19" i="5"/>
  <c r="BP20" i="5" s="1"/>
  <c r="BO19" i="5"/>
  <c r="BO20" i="5" s="1"/>
  <c r="BN19" i="5"/>
  <c r="BN20" i="5" s="1"/>
  <c r="BM19" i="5"/>
  <c r="BM20" i="5" s="1"/>
  <c r="BL19" i="5"/>
  <c r="BL20" i="5" s="1"/>
  <c r="BK19" i="5"/>
  <c r="BK20" i="5" s="1"/>
  <c r="BJ19" i="5"/>
  <c r="BJ20" i="5" s="1"/>
  <c r="BI19" i="5"/>
  <c r="BI20" i="5" s="1"/>
  <c r="BH19" i="5"/>
  <c r="BH20" i="5" s="1"/>
  <c r="BG19" i="5"/>
  <c r="BG20" i="5" s="1"/>
  <c r="BF19" i="5"/>
  <c r="BF20" i="5" s="1"/>
  <c r="BE19" i="5"/>
  <c r="BE20" i="5" s="1"/>
  <c r="BD19" i="5"/>
  <c r="BD20" i="5" s="1"/>
  <c r="BC19" i="5"/>
  <c r="BC20" i="5" s="1"/>
  <c r="F28" i="10" s="1"/>
  <c r="BB19" i="5"/>
  <c r="BB20" i="5" s="1"/>
  <c r="F26" i="10" s="1"/>
  <c r="BA19" i="5"/>
  <c r="BA20" i="5" s="1"/>
  <c r="AZ19" i="5"/>
  <c r="AZ20" i="5" s="1"/>
  <c r="AY19" i="5"/>
  <c r="AY20" i="5" s="1"/>
  <c r="AX19" i="5"/>
  <c r="AX20" i="5" s="1"/>
  <c r="AW19" i="5"/>
  <c r="AW20" i="5" s="1"/>
  <c r="AV19" i="5"/>
  <c r="AV20" i="5" s="1"/>
  <c r="AU19" i="5"/>
  <c r="AU20" i="5" s="1"/>
  <c r="AT19" i="5"/>
  <c r="AT20" i="5" s="1"/>
  <c r="AS19" i="5"/>
  <c r="AS20" i="5" s="1"/>
  <c r="A20" i="10"/>
  <c r="K13" i="10"/>
  <c r="J13" i="10"/>
  <c r="I13" i="10"/>
  <c r="H13" i="10"/>
  <c r="G13" i="10"/>
  <c r="F13" i="10"/>
  <c r="E13" i="10"/>
  <c r="C80" i="13"/>
  <c r="J79" i="13"/>
  <c r="J78" i="13"/>
  <c r="J77" i="13"/>
  <c r="C75" i="13"/>
  <c r="I74" i="13"/>
  <c r="J74" i="13" s="1"/>
  <c r="E73" i="13"/>
  <c r="E72" i="13"/>
  <c r="I71" i="13"/>
  <c r="J71" i="13" s="1"/>
  <c r="J70" i="13"/>
  <c r="C67" i="13"/>
  <c r="J66" i="13"/>
  <c r="I66" i="13"/>
  <c r="H66" i="13"/>
  <c r="G66" i="13"/>
  <c r="N64" i="13"/>
  <c r="J64" i="13"/>
  <c r="N63" i="13"/>
  <c r="H63" i="13"/>
  <c r="G63" i="13" s="1"/>
  <c r="I63" i="13" s="1"/>
  <c r="N62" i="13"/>
  <c r="J62" i="13"/>
  <c r="C60" i="13"/>
  <c r="N59" i="13"/>
  <c r="J59" i="13"/>
  <c r="N58" i="13"/>
  <c r="J58" i="13"/>
  <c r="C56" i="13"/>
  <c r="N55" i="13"/>
  <c r="J55" i="13"/>
  <c r="J54" i="13"/>
  <c r="F51" i="13"/>
  <c r="E51" i="13"/>
  <c r="C51" i="13"/>
  <c r="M50" i="13"/>
  <c r="L50" i="13"/>
  <c r="K50" i="13"/>
  <c r="J50" i="13"/>
  <c r="I50" i="13"/>
  <c r="H50" i="13"/>
  <c r="G50" i="13"/>
  <c r="C40" i="13"/>
  <c r="M39" i="13"/>
  <c r="L39" i="13"/>
  <c r="H39" i="13"/>
  <c r="F39" i="13"/>
  <c r="C39" i="13"/>
  <c r="C38" i="13"/>
  <c r="M35" i="13"/>
  <c r="L35" i="13"/>
  <c r="J35" i="13"/>
  <c r="I35" i="13"/>
  <c r="H35" i="13"/>
  <c r="M34" i="13"/>
  <c r="L34" i="13"/>
  <c r="J34" i="13"/>
  <c r="I34" i="13"/>
  <c r="H34" i="13"/>
  <c r="M33" i="13"/>
  <c r="L33" i="13"/>
  <c r="J33" i="13"/>
  <c r="I33" i="13"/>
  <c r="H33" i="13"/>
  <c r="M32" i="13"/>
  <c r="L32" i="13"/>
  <c r="J32" i="13"/>
  <c r="I32" i="13"/>
  <c r="H32" i="13"/>
  <c r="M30" i="13"/>
  <c r="L30" i="13"/>
  <c r="J30" i="13"/>
  <c r="I30" i="13"/>
  <c r="H30" i="13"/>
  <c r="M29" i="13"/>
  <c r="L29" i="13"/>
  <c r="N29" i="13" s="1"/>
  <c r="J29" i="13"/>
  <c r="I29" i="13"/>
  <c r="H29" i="13"/>
  <c r="M28" i="13"/>
  <c r="L28" i="13"/>
  <c r="J28" i="13"/>
  <c r="I28" i="13"/>
  <c r="H28" i="13"/>
  <c r="M27" i="13"/>
  <c r="L27" i="13"/>
  <c r="J27" i="13"/>
  <c r="I27" i="13"/>
  <c r="H27" i="13"/>
  <c r="M26" i="13"/>
  <c r="L26" i="13"/>
  <c r="J26" i="13"/>
  <c r="I26" i="13"/>
  <c r="H26" i="13"/>
  <c r="M25" i="13"/>
  <c r="L25" i="13"/>
  <c r="J25" i="13"/>
  <c r="I25" i="13"/>
  <c r="H25" i="13"/>
  <c r="M24" i="13"/>
  <c r="L24" i="13"/>
  <c r="J24" i="13"/>
  <c r="I24" i="13"/>
  <c r="H24" i="13"/>
  <c r="M23" i="13"/>
  <c r="L23" i="13"/>
  <c r="J23" i="13"/>
  <c r="I23" i="13"/>
  <c r="H23" i="13"/>
  <c r="M22" i="13"/>
  <c r="L22" i="13"/>
  <c r="J22" i="13"/>
  <c r="I22" i="13"/>
  <c r="H22" i="13"/>
  <c r="M21" i="13"/>
  <c r="L21" i="13"/>
  <c r="N21" i="13" s="1"/>
  <c r="J21" i="13"/>
  <c r="I21" i="13"/>
  <c r="H21" i="13"/>
  <c r="M20" i="13"/>
  <c r="L20" i="13"/>
  <c r="J20" i="13"/>
  <c r="I20" i="13"/>
  <c r="H20" i="13"/>
  <c r="C15" i="13"/>
  <c r="AC11" i="13"/>
  <c r="M8" i="13"/>
  <c r="L8" i="13"/>
  <c r="K8" i="13"/>
  <c r="J8" i="13"/>
  <c r="I8" i="13"/>
  <c r="H8" i="13"/>
  <c r="G8" i="13"/>
  <c r="A9" i="10"/>
  <c r="K2" i="10"/>
  <c r="J2" i="10"/>
  <c r="I2" i="10"/>
  <c r="H2" i="10"/>
  <c r="G2" i="10"/>
  <c r="F2" i="10"/>
  <c r="E2" i="10"/>
  <c r="C80" i="12"/>
  <c r="J79" i="12"/>
  <c r="J78" i="12"/>
  <c r="J77" i="12"/>
  <c r="C75" i="12"/>
  <c r="I74" i="12"/>
  <c r="J74" i="12" s="1"/>
  <c r="E73" i="12"/>
  <c r="E72" i="12"/>
  <c r="I71" i="12"/>
  <c r="J71" i="12" s="1"/>
  <c r="J70" i="12"/>
  <c r="C67" i="12"/>
  <c r="J66" i="12"/>
  <c r="I66" i="12"/>
  <c r="H66" i="12"/>
  <c r="G66" i="12"/>
  <c r="N64" i="12"/>
  <c r="J64" i="12"/>
  <c r="N63" i="12"/>
  <c r="H63" i="12"/>
  <c r="G63" i="12" s="1"/>
  <c r="I63" i="12" s="1"/>
  <c r="N62" i="12"/>
  <c r="J62" i="12"/>
  <c r="C60" i="12"/>
  <c r="N59" i="12"/>
  <c r="J59" i="12"/>
  <c r="N58" i="12"/>
  <c r="J58" i="12"/>
  <c r="C56" i="12"/>
  <c r="N55" i="12"/>
  <c r="J55" i="12"/>
  <c r="J54" i="12"/>
  <c r="F51" i="12"/>
  <c r="F52" i="12" s="1"/>
  <c r="F56" i="12" s="1"/>
  <c r="F60" i="12" s="1"/>
  <c r="E51" i="12"/>
  <c r="C51" i="12"/>
  <c r="M50" i="12"/>
  <c r="L50" i="12"/>
  <c r="K50" i="12"/>
  <c r="J50" i="12"/>
  <c r="I50" i="12"/>
  <c r="H50" i="12"/>
  <c r="G50" i="12"/>
  <c r="C40" i="12"/>
  <c r="M39" i="12"/>
  <c r="L39" i="12"/>
  <c r="H39" i="12"/>
  <c r="F39" i="12"/>
  <c r="C39" i="12"/>
  <c r="C38" i="12"/>
  <c r="M35" i="12"/>
  <c r="L35" i="12"/>
  <c r="J35" i="12"/>
  <c r="I35" i="12"/>
  <c r="H35" i="12"/>
  <c r="M34" i="12"/>
  <c r="L34" i="12"/>
  <c r="J34" i="12"/>
  <c r="I34" i="12"/>
  <c r="H34" i="12"/>
  <c r="M33" i="12"/>
  <c r="L33" i="12"/>
  <c r="J33" i="12"/>
  <c r="I33" i="12"/>
  <c r="H33" i="12"/>
  <c r="M32" i="12"/>
  <c r="N32" i="12" s="1"/>
  <c r="L32" i="12"/>
  <c r="J32" i="12"/>
  <c r="I32" i="12"/>
  <c r="H32" i="12"/>
  <c r="M30" i="12"/>
  <c r="L30" i="12"/>
  <c r="J30" i="12"/>
  <c r="I30" i="12"/>
  <c r="H30" i="12"/>
  <c r="M29" i="12"/>
  <c r="L29" i="12"/>
  <c r="J29" i="12"/>
  <c r="I29" i="12"/>
  <c r="H29" i="12"/>
  <c r="M28" i="12"/>
  <c r="L28" i="12"/>
  <c r="J28" i="12"/>
  <c r="I28" i="12"/>
  <c r="H28" i="12"/>
  <c r="M27" i="12"/>
  <c r="L27" i="12"/>
  <c r="J27" i="12"/>
  <c r="I27" i="12"/>
  <c r="H27" i="12"/>
  <c r="M26" i="12"/>
  <c r="L26" i="12"/>
  <c r="J26" i="12"/>
  <c r="I26" i="12"/>
  <c r="H26" i="12"/>
  <c r="M25" i="12"/>
  <c r="L25" i="12"/>
  <c r="J25" i="12"/>
  <c r="I25" i="12"/>
  <c r="H25" i="12"/>
  <c r="M24" i="12"/>
  <c r="L24" i="12"/>
  <c r="J24" i="12"/>
  <c r="I24" i="12"/>
  <c r="H24" i="12"/>
  <c r="M23" i="12"/>
  <c r="L23" i="12"/>
  <c r="J23" i="12"/>
  <c r="I23" i="12"/>
  <c r="H23" i="12"/>
  <c r="M22" i="12"/>
  <c r="L22" i="12"/>
  <c r="J22" i="12"/>
  <c r="I22" i="12"/>
  <c r="H22" i="12"/>
  <c r="M21" i="12"/>
  <c r="L21" i="12"/>
  <c r="J21" i="12"/>
  <c r="I21" i="12"/>
  <c r="H21" i="12"/>
  <c r="M20" i="12"/>
  <c r="L20" i="12"/>
  <c r="J20" i="12"/>
  <c r="I20" i="12"/>
  <c r="H20" i="12"/>
  <c r="C15" i="12"/>
  <c r="AC11" i="12"/>
  <c r="M8" i="12"/>
  <c r="L8" i="12"/>
  <c r="K8" i="12"/>
  <c r="J8" i="12"/>
  <c r="I8" i="12"/>
  <c r="H8" i="12"/>
  <c r="G8" i="12"/>
  <c r="CN3" i="5"/>
  <c r="CN4" i="5"/>
  <c r="CN5" i="5"/>
  <c r="CN6" i="5"/>
  <c r="CN7" i="5"/>
  <c r="CN8" i="5"/>
  <c r="CN9" i="5"/>
  <c r="CN10" i="5"/>
  <c r="CN11" i="5"/>
  <c r="CN12" i="5"/>
  <c r="CN2" i="5"/>
  <c r="CM3" i="5"/>
  <c r="CM4" i="5"/>
  <c r="CM5" i="5"/>
  <c r="CM6" i="5"/>
  <c r="CM7" i="5"/>
  <c r="CM8" i="5"/>
  <c r="CM9" i="5"/>
  <c r="CM10" i="5"/>
  <c r="CM11" i="5"/>
  <c r="CM12" i="5"/>
  <c r="CM2" i="5"/>
  <c r="CL3" i="5"/>
  <c r="CL4" i="5"/>
  <c r="CL5" i="5"/>
  <c r="CL6" i="5"/>
  <c r="CL7" i="5"/>
  <c r="CL8" i="5"/>
  <c r="CL9" i="5"/>
  <c r="CL10" i="5"/>
  <c r="CL11" i="5"/>
  <c r="CL12" i="5"/>
  <c r="CL2" i="5"/>
  <c r="AW12" i="5"/>
  <c r="AW11" i="5"/>
  <c r="AW10" i="5"/>
  <c r="AW9" i="5"/>
  <c r="AW8" i="5"/>
  <c r="AW7" i="5"/>
  <c r="AW6" i="5"/>
  <c r="AW5" i="5"/>
  <c r="AW4" i="5"/>
  <c r="AW3" i="5"/>
  <c r="AW2" i="5"/>
  <c r="AS3" i="5"/>
  <c r="AX3" i="5" s="1"/>
  <c r="AS4" i="5"/>
  <c r="AX4" i="5" s="1"/>
  <c r="AS5" i="5"/>
  <c r="AX5" i="5" s="1"/>
  <c r="AS6" i="5"/>
  <c r="AT6" i="5" s="1"/>
  <c r="AS7" i="5"/>
  <c r="AT7" i="5" s="1"/>
  <c r="AS8" i="5"/>
  <c r="AT8" i="5" s="1"/>
  <c r="AS9" i="5"/>
  <c r="AT9" i="5" s="1"/>
  <c r="AS10" i="5"/>
  <c r="AX10" i="5" s="1"/>
  <c r="AS11" i="5"/>
  <c r="AX11" i="5" s="1"/>
  <c r="AS12" i="5"/>
  <c r="AX12" i="5" s="1"/>
  <c r="AS2" i="5"/>
  <c r="AX2" i="5" s="1"/>
  <c r="N22" i="13" l="1"/>
  <c r="N30" i="13"/>
  <c r="N23" i="13"/>
  <c r="N27" i="13"/>
  <c r="N32" i="13"/>
  <c r="E39" i="10"/>
  <c r="D39" i="10"/>
  <c r="F39" i="10"/>
  <c r="J39" i="10"/>
  <c r="L39" i="10" s="1"/>
  <c r="K37" i="10"/>
  <c r="L37" i="10" s="1"/>
  <c r="G37" i="10"/>
  <c r="F37" i="10"/>
  <c r="AT30" i="5"/>
  <c r="D37" i="10"/>
  <c r="E38" i="10"/>
  <c r="AX38" i="5"/>
  <c r="AV38" i="5"/>
  <c r="AU32" i="5"/>
  <c r="AU38" i="5"/>
  <c r="AT32" i="5"/>
  <c r="AT38" i="5"/>
  <c r="AU30" i="5"/>
  <c r="AY38" i="5"/>
  <c r="G39" i="10"/>
  <c r="BA38" i="5"/>
  <c r="I37" i="10"/>
  <c r="G38" i="10"/>
  <c r="N27" i="12"/>
  <c r="N25" i="13"/>
  <c r="N34" i="13"/>
  <c r="N23" i="12"/>
  <c r="N26" i="13"/>
  <c r="N35" i="13"/>
  <c r="F29" i="10"/>
  <c r="E27" i="10"/>
  <c r="E26" i="10"/>
  <c r="E28" i="10"/>
  <c r="D28" i="10"/>
  <c r="G26" i="10"/>
  <c r="K26" i="10"/>
  <c r="G27" i="10"/>
  <c r="D26" i="10"/>
  <c r="I26" i="10"/>
  <c r="G28" i="10"/>
  <c r="J26" i="10"/>
  <c r="J28" i="10"/>
  <c r="K28" i="10"/>
  <c r="N28" i="13"/>
  <c r="N24" i="13"/>
  <c r="N33" i="13"/>
  <c r="N26" i="12"/>
  <c r="N29" i="12"/>
  <c r="N20" i="13"/>
  <c r="N39" i="13"/>
  <c r="N21" i="12"/>
  <c r="N24" i="12"/>
  <c r="N20" i="12"/>
  <c r="N33" i="12"/>
  <c r="N35" i="12"/>
  <c r="F52" i="13"/>
  <c r="F56" i="13" s="1"/>
  <c r="F60" i="13" s="1"/>
  <c r="N22" i="12"/>
  <c r="N25" i="12"/>
  <c r="N28" i="12"/>
  <c r="N30" i="12"/>
  <c r="N34" i="12"/>
  <c r="CM17" i="5"/>
  <c r="CM18" i="5" s="1"/>
  <c r="AW17" i="5"/>
  <c r="AW18" i="5" s="1"/>
  <c r="CL17" i="5"/>
  <c r="CL18" i="5" s="1"/>
  <c r="N39" i="12"/>
  <c r="F67" i="12"/>
  <c r="AT12" i="5"/>
  <c r="CJ12" i="5" s="1"/>
  <c r="AT4" i="5"/>
  <c r="BU4" i="5" s="1"/>
  <c r="AW15" i="5"/>
  <c r="AW16" i="5" s="1"/>
  <c r="AT11" i="5"/>
  <c r="CK11" i="5" s="1"/>
  <c r="AT10" i="5"/>
  <c r="CI10" i="5" s="1"/>
  <c r="CM15" i="5"/>
  <c r="CM16" i="5" s="1"/>
  <c r="AT3" i="5"/>
  <c r="CK3" i="5" s="1"/>
  <c r="CL15" i="5"/>
  <c r="CL16" i="5" s="1"/>
  <c r="CA9" i="5"/>
  <c r="BT9" i="5"/>
  <c r="BK9" i="5"/>
  <c r="CF9" i="5"/>
  <c r="BQ9" i="5"/>
  <c r="BH9" i="5"/>
  <c r="AZ9" i="5"/>
  <c r="CC9" i="5"/>
  <c r="BV9" i="5"/>
  <c r="BE9" i="5"/>
  <c r="AV9" i="5"/>
  <c r="BC9" i="5" s="1"/>
  <c r="BS9" i="5"/>
  <c r="BJ9" i="5"/>
  <c r="CE9" i="5"/>
  <c r="BG9" i="5"/>
  <c r="AY9" i="5"/>
  <c r="BU9" i="5"/>
  <c r="BM9" i="5"/>
  <c r="CK9" i="5"/>
  <c r="BY9" i="5"/>
  <c r="BR9" i="5"/>
  <c r="BI9" i="5"/>
  <c r="BA9" i="5"/>
  <c r="CI9" i="5"/>
  <c r="CD9" i="5"/>
  <c r="BW9" i="5"/>
  <c r="BF9" i="5"/>
  <c r="AU9" i="5"/>
  <c r="BB9" i="5" s="1"/>
  <c r="CF8" i="5"/>
  <c r="BQ8" i="5"/>
  <c r="BH8" i="5"/>
  <c r="AZ8" i="5"/>
  <c r="AU8" i="5"/>
  <c r="BN8" i="5" s="1"/>
  <c r="CC8" i="5"/>
  <c r="BV8" i="5"/>
  <c r="BE8" i="5"/>
  <c r="BS8" i="5"/>
  <c r="BJ8" i="5"/>
  <c r="CE8" i="5"/>
  <c r="BG8" i="5"/>
  <c r="AY8" i="5"/>
  <c r="AV8" i="5"/>
  <c r="BC8" i="5" s="1"/>
  <c r="BU8" i="5"/>
  <c r="BM8" i="5"/>
  <c r="CK8" i="5"/>
  <c r="BY8" i="5"/>
  <c r="BR8" i="5"/>
  <c r="BI8" i="5"/>
  <c r="BA8" i="5"/>
  <c r="CI8" i="5"/>
  <c r="CG8" i="5"/>
  <c r="CD8" i="5"/>
  <c r="BW8" i="5"/>
  <c r="BF8" i="5"/>
  <c r="CA8" i="5"/>
  <c r="BT8" i="5"/>
  <c r="BK8" i="5"/>
  <c r="CC7" i="5"/>
  <c r="BV7" i="5"/>
  <c r="BE7" i="5"/>
  <c r="BS7" i="5"/>
  <c r="BJ7" i="5"/>
  <c r="CE7" i="5"/>
  <c r="BG7" i="5"/>
  <c r="AY7" i="5"/>
  <c r="AV7" i="5"/>
  <c r="BU7" i="5"/>
  <c r="BM7" i="5"/>
  <c r="CK7" i="5"/>
  <c r="BY7" i="5"/>
  <c r="BR7" i="5"/>
  <c r="BI7" i="5"/>
  <c r="BA7" i="5"/>
  <c r="CI7" i="5"/>
  <c r="CD7" i="5"/>
  <c r="BW7" i="5"/>
  <c r="BF7" i="5"/>
  <c r="CA7" i="5"/>
  <c r="BT7" i="5"/>
  <c r="BK7" i="5"/>
  <c r="CF7" i="5"/>
  <c r="BQ7" i="5"/>
  <c r="BH7" i="5"/>
  <c r="AZ7" i="5"/>
  <c r="AU7" i="5"/>
  <c r="BZ6" i="5"/>
  <c r="BS6" i="5"/>
  <c r="BJ6" i="5"/>
  <c r="CE6" i="5"/>
  <c r="BG6" i="5"/>
  <c r="AY6" i="5"/>
  <c r="BU6" i="5"/>
  <c r="BM6" i="5"/>
  <c r="CK6" i="5"/>
  <c r="BY6" i="5"/>
  <c r="BR6" i="5"/>
  <c r="BI6" i="5"/>
  <c r="BA6" i="5"/>
  <c r="CI6" i="5"/>
  <c r="CD6" i="5"/>
  <c r="BW6" i="5"/>
  <c r="BF6" i="5"/>
  <c r="CG6" i="5"/>
  <c r="CA6" i="5"/>
  <c r="BT6" i="5"/>
  <c r="BL6" i="5"/>
  <c r="BK6" i="5"/>
  <c r="CJ6" i="5"/>
  <c r="CF6" i="5"/>
  <c r="BX6" i="5"/>
  <c r="BQ6" i="5"/>
  <c r="BH6" i="5"/>
  <c r="AZ6" i="5"/>
  <c r="CH6" i="5"/>
  <c r="CC6" i="5"/>
  <c r="BV6" i="5"/>
  <c r="BE6" i="5"/>
  <c r="AU6" i="5"/>
  <c r="BB6" i="5" s="1"/>
  <c r="AV6" i="5"/>
  <c r="BC6" i="5" s="1"/>
  <c r="AT2" i="5"/>
  <c r="AT5" i="5"/>
  <c r="AV4" i="5"/>
  <c r="BC4" i="5" s="1"/>
  <c r="AX6" i="5"/>
  <c r="AX15" i="5" s="1"/>
  <c r="AX16" i="5" s="1"/>
  <c r="AX7" i="5"/>
  <c r="AX8" i="5"/>
  <c r="BD8" i="5" s="1"/>
  <c r="AX9" i="5"/>
  <c r="C12" i="7"/>
  <c r="C13" i="7"/>
  <c r="C14" i="7"/>
  <c r="E51" i="9"/>
  <c r="J40" i="10" l="1"/>
  <c r="L40" i="10"/>
  <c r="K40" i="10"/>
  <c r="H37" i="10"/>
  <c r="BA39" i="5"/>
  <c r="AT39" i="5"/>
  <c r="AY39" i="5"/>
  <c r="AV39" i="5"/>
  <c r="AS30" i="5"/>
  <c r="AS31" i="5" s="1"/>
  <c r="AX39" i="5"/>
  <c r="AU39" i="5"/>
  <c r="AU33" i="5"/>
  <c r="G40" i="10"/>
  <c r="F40" i="10"/>
  <c r="AT31" i="5"/>
  <c r="AT33" i="5"/>
  <c r="AS32" i="5"/>
  <c r="AS33" i="5" s="1"/>
  <c r="H38" i="10"/>
  <c r="D40" i="10"/>
  <c r="D43" i="10" s="1"/>
  <c r="E40" i="10"/>
  <c r="H39" i="10"/>
  <c r="AU31" i="5"/>
  <c r="K29" i="10"/>
  <c r="L28" i="10"/>
  <c r="E29" i="10"/>
  <c r="H28" i="10"/>
  <c r="L26" i="10"/>
  <c r="H26" i="10"/>
  <c r="H27" i="10"/>
  <c r="G29" i="10"/>
  <c r="D29" i="10"/>
  <c r="D32" i="10" s="1"/>
  <c r="J29" i="10"/>
  <c r="I11" i="13"/>
  <c r="I39" i="13" s="1"/>
  <c r="AB39" i="13" s="1"/>
  <c r="G16" i="10"/>
  <c r="G11" i="13"/>
  <c r="E16" i="10"/>
  <c r="F67" i="13"/>
  <c r="BD7" i="5"/>
  <c r="BL7" i="5" s="1"/>
  <c r="AX17" i="5"/>
  <c r="AX18" i="5" s="1"/>
  <c r="BO7" i="5"/>
  <c r="AS17" i="5"/>
  <c r="AS18" i="5" s="1"/>
  <c r="BB7" i="5"/>
  <c r="AT17" i="5"/>
  <c r="AT18" i="5" s="1"/>
  <c r="E5" i="10"/>
  <c r="G11" i="12"/>
  <c r="I11" i="12"/>
  <c r="I39" i="12" s="1"/>
  <c r="AB39" i="12" s="1"/>
  <c r="G5" i="10"/>
  <c r="F75" i="12"/>
  <c r="F80" i="12" s="1"/>
  <c r="CH11" i="5"/>
  <c r="BF11" i="5"/>
  <c r="CF10" i="5"/>
  <c r="BY11" i="5"/>
  <c r="BJ10" i="5"/>
  <c r="CD10" i="5"/>
  <c r="CK10" i="5"/>
  <c r="BE3" i="5"/>
  <c r="BA12" i="5"/>
  <c r="BP12" i="5" s="1"/>
  <c r="BY10" i="5"/>
  <c r="CI11" i="5"/>
  <c r="CF11" i="5"/>
  <c r="AY10" i="5"/>
  <c r="BT10" i="5"/>
  <c r="CC10" i="5"/>
  <c r="BH10" i="5"/>
  <c r="CE10" i="5"/>
  <c r="BW10" i="5"/>
  <c r="AZ10" i="5"/>
  <c r="BS11" i="5"/>
  <c r="BK10" i="5"/>
  <c r="BQ11" i="5"/>
  <c r="BM10" i="5"/>
  <c r="BL12" i="5"/>
  <c r="BK12" i="5"/>
  <c r="CH12" i="5"/>
  <c r="CG12" i="5"/>
  <c r="AU12" i="5"/>
  <c r="BB12" i="5" s="1"/>
  <c r="AZ12" i="5"/>
  <c r="BL4" i="5"/>
  <c r="CH4" i="5"/>
  <c r="BY4" i="5"/>
  <c r="CA3" i="5"/>
  <c r="BT4" i="5"/>
  <c r="BX12" i="5"/>
  <c r="BW3" i="5"/>
  <c r="BK3" i="5"/>
  <c r="BJ12" i="5"/>
  <c r="AV3" i="5"/>
  <c r="BC3" i="5" s="1"/>
  <c r="BF3" i="5"/>
  <c r="CH3" i="5"/>
  <c r="BS3" i="5"/>
  <c r="AU10" i="5"/>
  <c r="BB10" i="5" s="1"/>
  <c r="BS10" i="5"/>
  <c r="BA10" i="5"/>
  <c r="BP10" i="5" s="1"/>
  <c r="AZ11" i="5"/>
  <c r="BG3" i="5"/>
  <c r="BR3" i="5"/>
  <c r="BW11" i="5"/>
  <c r="BL3" i="5"/>
  <c r="BX3" i="5"/>
  <c r="BE12" i="5"/>
  <c r="BD4" i="5"/>
  <c r="BY12" i="5"/>
  <c r="CI12" i="5"/>
  <c r="CE12" i="5"/>
  <c r="BZ12" i="5"/>
  <c r="BD12" i="5"/>
  <c r="CF12" i="5"/>
  <c r="BS12" i="5"/>
  <c r="BG12" i="5"/>
  <c r="CK4" i="5"/>
  <c r="BX4" i="5"/>
  <c r="BV12" i="5"/>
  <c r="CE3" i="5"/>
  <c r="BA3" i="5"/>
  <c r="BP3" i="5" s="1"/>
  <c r="BV4" i="5"/>
  <c r="BZ4" i="5"/>
  <c r="CE4" i="5"/>
  <c r="CI3" i="5"/>
  <c r="BT3" i="5"/>
  <c r="CJ3" i="5"/>
  <c r="BH3" i="5"/>
  <c r="BO4" i="5"/>
  <c r="BP9" i="5"/>
  <c r="BX9" i="5" s="1"/>
  <c r="BZ3" i="5"/>
  <c r="BI4" i="5"/>
  <c r="CD4" i="5"/>
  <c r="BQ4" i="5"/>
  <c r="BI10" i="5"/>
  <c r="CA10" i="5"/>
  <c r="BI12" i="5"/>
  <c r="CD12" i="5"/>
  <c r="BF12" i="5"/>
  <c r="CA12" i="5"/>
  <c r="BE10" i="5"/>
  <c r="BQ12" i="5"/>
  <c r="BD10" i="5"/>
  <c r="BG4" i="5"/>
  <c r="BU12" i="5"/>
  <c r="CK12" i="5"/>
  <c r="BA4" i="5"/>
  <c r="BP4" i="5" s="1"/>
  <c r="BQ10" i="5"/>
  <c r="AU4" i="5"/>
  <c r="BB4" i="5" s="1"/>
  <c r="BT12" i="5"/>
  <c r="CF4" i="5"/>
  <c r="AZ4" i="5"/>
  <c r="BU10" i="5"/>
  <c r="CG10" i="5"/>
  <c r="AY12" i="5"/>
  <c r="BR11" i="5"/>
  <c r="BJ3" i="5"/>
  <c r="BD3" i="5"/>
  <c r="BM4" i="5"/>
  <c r="BA11" i="5"/>
  <c r="BP11" i="5" s="1"/>
  <c r="BR4" i="5"/>
  <c r="BW4" i="5"/>
  <c r="CG4" i="5"/>
  <c r="CC3" i="5"/>
  <c r="BH4" i="5"/>
  <c r="CC4" i="5"/>
  <c r="BJ11" i="5"/>
  <c r="AY3" i="5"/>
  <c r="BX11" i="5"/>
  <c r="BY3" i="5"/>
  <c r="BM12" i="5"/>
  <c r="AV11" i="5"/>
  <c r="BC11" i="5" s="1"/>
  <c r="CD3" i="5"/>
  <c r="BR12" i="5"/>
  <c r="CI4" i="5"/>
  <c r="BW12" i="5"/>
  <c r="BF4" i="5"/>
  <c r="CF3" i="5"/>
  <c r="BQ3" i="5"/>
  <c r="AZ3" i="5"/>
  <c r="CC11" i="5"/>
  <c r="BH12" i="5"/>
  <c r="CC12" i="5"/>
  <c r="BE4" i="5"/>
  <c r="BS4" i="5"/>
  <c r="AY11" i="5"/>
  <c r="BU3" i="5"/>
  <c r="AY4" i="5"/>
  <c r="BB8" i="5"/>
  <c r="BZ8" i="5" s="1"/>
  <c r="BU11" i="5"/>
  <c r="BI3" i="5"/>
  <c r="CG3" i="5"/>
  <c r="BT11" i="5"/>
  <c r="AU3" i="5"/>
  <c r="BN3" i="5" s="1"/>
  <c r="BV3" i="5"/>
  <c r="BM3" i="5"/>
  <c r="BI11" i="5"/>
  <c r="CA4" i="5"/>
  <c r="BK4" i="5"/>
  <c r="CJ4" i="5"/>
  <c r="BJ4" i="5"/>
  <c r="AV12" i="5"/>
  <c r="BO9" i="5"/>
  <c r="CG11" i="5"/>
  <c r="BP8" i="5"/>
  <c r="BX8" i="5" s="1"/>
  <c r="CD11" i="5"/>
  <c r="AV10" i="5"/>
  <c r="BC10" i="5" s="1"/>
  <c r="CA11" i="5"/>
  <c r="AU11" i="5"/>
  <c r="BN11" i="5" s="1"/>
  <c r="CE11" i="5"/>
  <c r="CJ11" i="5"/>
  <c r="BR10" i="5"/>
  <c r="BD11" i="5"/>
  <c r="BF10" i="5"/>
  <c r="BK11" i="5"/>
  <c r="BV10" i="5"/>
  <c r="BV11" i="5"/>
  <c r="BE11" i="5"/>
  <c r="BG10" i="5"/>
  <c r="BG11" i="5"/>
  <c r="BM11" i="5"/>
  <c r="BH11" i="5"/>
  <c r="BZ11" i="5"/>
  <c r="BL11" i="5"/>
  <c r="BD6" i="5"/>
  <c r="BC7" i="5"/>
  <c r="BP6" i="5"/>
  <c r="BO8" i="5"/>
  <c r="BN6" i="5"/>
  <c r="BO6" i="5"/>
  <c r="BD9" i="5"/>
  <c r="BL9" i="5" s="1"/>
  <c r="BL8" i="5"/>
  <c r="CE5" i="5"/>
  <c r="BG5" i="5"/>
  <c r="AY5" i="5"/>
  <c r="AV5" i="5"/>
  <c r="BO5" i="5" s="1"/>
  <c r="BU5" i="5"/>
  <c r="BM5" i="5"/>
  <c r="BD5" i="5"/>
  <c r="AU5" i="5"/>
  <c r="BB5" i="5" s="1"/>
  <c r="CK5" i="5"/>
  <c r="BY5" i="5"/>
  <c r="BR5" i="5"/>
  <c r="BI5" i="5"/>
  <c r="BA5" i="5"/>
  <c r="BP5" i="5" s="1"/>
  <c r="CI5" i="5"/>
  <c r="CD5" i="5"/>
  <c r="BW5" i="5"/>
  <c r="BF5" i="5"/>
  <c r="CG5" i="5"/>
  <c r="CA5" i="5"/>
  <c r="BT5" i="5"/>
  <c r="BL5" i="5"/>
  <c r="BK5" i="5"/>
  <c r="CJ5" i="5"/>
  <c r="CF5" i="5"/>
  <c r="BX5" i="5"/>
  <c r="BQ5" i="5"/>
  <c r="BH5" i="5"/>
  <c r="AZ5" i="5"/>
  <c r="CH5" i="5"/>
  <c r="CC5" i="5"/>
  <c r="BV5" i="5"/>
  <c r="BE5" i="5"/>
  <c r="BZ5" i="5"/>
  <c r="BS5" i="5"/>
  <c r="BJ5" i="5"/>
  <c r="CE2" i="5"/>
  <c r="BG2" i="5"/>
  <c r="AY2" i="5"/>
  <c r="BU2" i="5"/>
  <c r="BM2" i="5"/>
  <c r="BD2" i="5"/>
  <c r="AV2" i="5"/>
  <c r="BO2" i="5" s="1"/>
  <c r="CK2" i="5"/>
  <c r="CG2" i="5"/>
  <c r="BY2" i="5"/>
  <c r="BR2" i="5"/>
  <c r="BI2" i="5"/>
  <c r="BA2" i="5"/>
  <c r="BP2" i="5" s="1"/>
  <c r="AU2" i="5"/>
  <c r="BN2" i="5" s="1"/>
  <c r="CI2" i="5"/>
  <c r="CD2" i="5"/>
  <c r="BW2" i="5"/>
  <c r="BF2" i="5"/>
  <c r="CA2" i="5"/>
  <c r="BT2" i="5"/>
  <c r="BK2" i="5"/>
  <c r="AT15" i="5"/>
  <c r="AT16" i="5" s="1"/>
  <c r="CF2" i="5"/>
  <c r="BQ2" i="5"/>
  <c r="BH2" i="5"/>
  <c r="AZ2" i="5"/>
  <c r="AS15" i="5"/>
  <c r="AS16" i="5" s="1"/>
  <c r="CC2" i="5"/>
  <c r="BV2" i="5"/>
  <c r="BE2" i="5"/>
  <c r="BS2" i="5"/>
  <c r="BJ2" i="5"/>
  <c r="BN7" i="5"/>
  <c r="BP7" i="5"/>
  <c r="BN9" i="5"/>
  <c r="BZ9" i="5" s="1"/>
  <c r="D14" i="7"/>
  <c r="AY32" i="5" l="1"/>
  <c r="AV32" i="5"/>
  <c r="AV30" i="5"/>
  <c r="AY30" i="5"/>
  <c r="H40" i="10"/>
  <c r="F42" i="10" s="1"/>
  <c r="F43" i="10" s="1"/>
  <c r="H29" i="10"/>
  <c r="F31" i="10" s="1"/>
  <c r="F32" i="10" s="1"/>
  <c r="L29" i="10"/>
  <c r="F10" i="13"/>
  <c r="D15" i="10"/>
  <c r="H16" i="10"/>
  <c r="D17" i="10"/>
  <c r="F12" i="13"/>
  <c r="F40" i="13" s="1"/>
  <c r="AB11" i="13"/>
  <c r="AB45" i="13" s="1"/>
  <c r="AA11" i="13"/>
  <c r="J11" i="13"/>
  <c r="G39" i="13"/>
  <c r="F75" i="13"/>
  <c r="F80" i="13" s="1"/>
  <c r="BF17" i="5"/>
  <c r="BF18" i="5" s="1"/>
  <c r="BO3" i="5"/>
  <c r="BO15" i="5" s="1"/>
  <c r="BO16" i="5" s="1"/>
  <c r="BV17" i="5"/>
  <c r="BV18" i="5" s="1"/>
  <c r="BS17" i="5"/>
  <c r="BS18" i="5" s="1"/>
  <c r="BM17" i="5"/>
  <c r="BM18" i="5" s="1"/>
  <c r="CK17" i="5"/>
  <c r="CK18" i="5" s="1"/>
  <c r="BE17" i="5"/>
  <c r="BE18" i="5" s="1"/>
  <c r="BG17" i="5"/>
  <c r="BG18" i="5" s="1"/>
  <c r="BR17" i="5"/>
  <c r="BR18" i="5" s="1"/>
  <c r="AY17" i="5"/>
  <c r="AY18" i="5" s="1"/>
  <c r="BY17" i="5"/>
  <c r="BY18" i="5" s="1"/>
  <c r="BT17" i="5"/>
  <c r="BT18" i="5" s="1"/>
  <c r="BQ17" i="5"/>
  <c r="BQ18" i="5" s="1"/>
  <c r="BJ17" i="5"/>
  <c r="BJ18" i="5" s="1"/>
  <c r="CE17" i="5"/>
  <c r="CE18" i="5" s="1"/>
  <c r="AZ17" i="5"/>
  <c r="AZ18" i="5" s="1"/>
  <c r="CI17" i="5"/>
  <c r="CI18" i="5" s="1"/>
  <c r="CF17" i="5"/>
  <c r="CF18" i="5" s="1"/>
  <c r="BU17" i="5"/>
  <c r="BU18" i="5" s="1"/>
  <c r="BW17" i="5"/>
  <c r="BW18" i="5" s="1"/>
  <c r="CA17" i="5"/>
  <c r="CA18" i="5" s="1"/>
  <c r="BI17" i="5"/>
  <c r="BI18" i="5" s="1"/>
  <c r="BH17" i="5"/>
  <c r="BH18" i="5" s="1"/>
  <c r="CC17" i="5"/>
  <c r="CC18" i="5" s="1"/>
  <c r="CD17" i="5"/>
  <c r="CD18" i="5" s="1"/>
  <c r="BK17" i="5"/>
  <c r="BK18" i="5" s="1"/>
  <c r="AU17" i="5"/>
  <c r="AU18" i="5" s="1"/>
  <c r="AV17" i="5"/>
  <c r="AV18" i="5" s="1"/>
  <c r="BZ7" i="5"/>
  <c r="CB7" i="5"/>
  <c r="BP17" i="5"/>
  <c r="BP18" i="5" s="1"/>
  <c r="BA17" i="5"/>
  <c r="BA18" i="5" s="1"/>
  <c r="BD17" i="5"/>
  <c r="BD18" i="5" s="1"/>
  <c r="H5" i="10"/>
  <c r="F12" i="12"/>
  <c r="F40" i="12" s="1"/>
  <c r="D6" i="10"/>
  <c r="F10" i="12"/>
  <c r="D4" i="10"/>
  <c r="AB11" i="12"/>
  <c r="AB45" i="12" s="1"/>
  <c r="AA11" i="12"/>
  <c r="J11" i="12"/>
  <c r="G39" i="12"/>
  <c r="CB12" i="5"/>
  <c r="BN12" i="5"/>
  <c r="BN10" i="5"/>
  <c r="BZ10" i="5" s="1"/>
  <c r="CB8" i="5"/>
  <c r="CB10" i="5"/>
  <c r="CB3" i="5"/>
  <c r="CI15" i="5"/>
  <c r="CI16" i="5" s="1"/>
  <c r="BO11" i="5"/>
  <c r="BW15" i="5"/>
  <c r="BW16" i="5" s="1"/>
  <c r="BK15" i="5"/>
  <c r="BK16" i="5" s="1"/>
  <c r="CB4" i="5"/>
  <c r="CE15" i="5"/>
  <c r="CE16" i="5" s="1"/>
  <c r="BL10" i="5"/>
  <c r="BL17" i="5" s="1"/>
  <c r="BL18" i="5" s="1"/>
  <c r="BB2" i="5"/>
  <c r="CG15" i="5"/>
  <c r="CG16" i="5" s="1"/>
  <c r="BS15" i="5"/>
  <c r="BS16" i="5" s="1"/>
  <c r="CD15" i="5"/>
  <c r="CD16" i="5" s="1"/>
  <c r="CK15" i="5"/>
  <c r="CK16" i="5" s="1"/>
  <c r="BB3" i="5"/>
  <c r="BN4" i="5"/>
  <c r="BI15" i="5"/>
  <c r="BI16" i="5" s="1"/>
  <c r="BX10" i="5"/>
  <c r="BR15" i="5"/>
  <c r="BR16" i="5" s="1"/>
  <c r="CA15" i="5"/>
  <c r="CA16" i="5" s="1"/>
  <c r="AZ15" i="5"/>
  <c r="AZ16" i="5" s="1"/>
  <c r="BE15" i="5"/>
  <c r="BE16" i="5" s="1"/>
  <c r="CF15" i="5"/>
  <c r="CF16" i="5" s="1"/>
  <c r="CB6" i="5"/>
  <c r="AY15" i="5"/>
  <c r="AY16" i="5" s="1"/>
  <c r="BB11" i="5"/>
  <c r="BB17" i="5" s="1"/>
  <c r="BB18" i="5" s="1"/>
  <c r="CB11" i="5"/>
  <c r="BO12" i="5"/>
  <c r="BC12" i="5"/>
  <c r="BC17" i="5" s="1"/>
  <c r="BC18" i="5" s="1"/>
  <c r="BO10" i="5"/>
  <c r="BX7" i="5"/>
  <c r="BC2" i="5"/>
  <c r="BM15" i="5"/>
  <c r="BM16" i="5" s="1"/>
  <c r="BJ15" i="5"/>
  <c r="BJ16" i="5" s="1"/>
  <c r="BY15" i="5"/>
  <c r="BY16" i="5" s="1"/>
  <c r="BG15" i="5"/>
  <c r="BG16" i="5" s="1"/>
  <c r="BH15" i="5"/>
  <c r="BH16" i="5" s="1"/>
  <c r="BC5" i="5"/>
  <c r="BQ15" i="5"/>
  <c r="BQ16" i="5" s="1"/>
  <c r="BV15" i="5"/>
  <c r="BV16" i="5" s="1"/>
  <c r="AV15" i="5"/>
  <c r="AV16" i="5" s="1"/>
  <c r="BF15" i="5"/>
  <c r="BF16" i="5" s="1"/>
  <c r="BD15" i="5"/>
  <c r="BD16" i="5" s="1"/>
  <c r="CB5" i="5"/>
  <c r="BN5" i="5"/>
  <c r="CB2" i="5"/>
  <c r="BP15" i="5"/>
  <c r="BP16" i="5" s="1"/>
  <c r="AU15" i="5"/>
  <c r="AU16" i="5" s="1"/>
  <c r="CC15" i="5"/>
  <c r="CC16" i="5" s="1"/>
  <c r="BT15" i="5"/>
  <c r="BT16" i="5" s="1"/>
  <c r="BA15" i="5"/>
  <c r="BA16" i="5" s="1"/>
  <c r="BL2" i="5"/>
  <c r="BX2" i="5"/>
  <c r="BU15" i="5"/>
  <c r="BU16" i="5" s="1"/>
  <c r="CB9" i="5"/>
  <c r="AB10" i="9"/>
  <c r="J43" i="10" l="1"/>
  <c r="E42" i="10"/>
  <c r="G42" i="10" s="1"/>
  <c r="G43" i="10" s="1"/>
  <c r="AY31" i="5"/>
  <c r="AV31" i="5"/>
  <c r="AZ30" i="5"/>
  <c r="BX15" i="5"/>
  <c r="BX16" i="5" s="1"/>
  <c r="BA30" i="5"/>
  <c r="M8" i="11" s="1"/>
  <c r="BA32" i="5"/>
  <c r="M10" i="11" s="1"/>
  <c r="AV33" i="5"/>
  <c r="BL15" i="5"/>
  <c r="BL16" i="5" s="1"/>
  <c r="G4" i="10" s="1"/>
  <c r="AX32" i="5"/>
  <c r="J10" i="11" s="1"/>
  <c r="AX30" i="5"/>
  <c r="J8" i="11" s="1"/>
  <c r="AZ32" i="5"/>
  <c r="BZ2" i="5"/>
  <c r="BZ15" i="5" s="1"/>
  <c r="BZ16" i="5" s="1"/>
  <c r="J4" i="10" s="1"/>
  <c r="AW30" i="5"/>
  <c r="AW32" i="5"/>
  <c r="AY33" i="5"/>
  <c r="E31" i="10"/>
  <c r="E32" i="10" s="1"/>
  <c r="I10" i="13"/>
  <c r="G15" i="10"/>
  <c r="L12" i="13"/>
  <c r="J17" i="10"/>
  <c r="I12" i="13"/>
  <c r="I40" i="13" s="1"/>
  <c r="G17" i="10"/>
  <c r="H12" i="13"/>
  <c r="H40" i="13" s="1"/>
  <c r="F17" i="10"/>
  <c r="E15" i="10"/>
  <c r="G10" i="13"/>
  <c r="D18" i="10"/>
  <c r="D21" i="10" s="1"/>
  <c r="F15" i="10"/>
  <c r="H10" i="13"/>
  <c r="I15" i="10"/>
  <c r="K10" i="13"/>
  <c r="E17" i="10"/>
  <c r="G12" i="13"/>
  <c r="M12" i="13"/>
  <c r="M40" i="13" s="1"/>
  <c r="K17" i="10"/>
  <c r="AA39" i="13"/>
  <c r="J39" i="13"/>
  <c r="F38" i="13"/>
  <c r="F41" i="13" s="1"/>
  <c r="F13" i="13"/>
  <c r="F16" i="13" s="1"/>
  <c r="BO17" i="5"/>
  <c r="BO18" i="5" s="1"/>
  <c r="BN17" i="5"/>
  <c r="BN18" i="5" s="1"/>
  <c r="BX17" i="5"/>
  <c r="BX18" i="5" s="1"/>
  <c r="CB17" i="5"/>
  <c r="CB18" i="5" s="1"/>
  <c r="BZ17" i="5"/>
  <c r="BZ18" i="5" s="1"/>
  <c r="G12" i="12"/>
  <c r="E6" i="10"/>
  <c r="I4" i="10"/>
  <c r="K10" i="12"/>
  <c r="G6" i="10"/>
  <c r="I12" i="12"/>
  <c r="I40" i="12" s="1"/>
  <c r="G10" i="12"/>
  <c r="E4" i="10"/>
  <c r="D7" i="10"/>
  <c r="D10" i="10" s="1"/>
  <c r="BB15" i="5"/>
  <c r="BB16" i="5" s="1"/>
  <c r="F13" i="12"/>
  <c r="F16" i="12" s="1"/>
  <c r="F38" i="12"/>
  <c r="F41" i="12" s="1"/>
  <c r="K6" i="10"/>
  <c r="M12" i="12"/>
  <c r="M40" i="12" s="1"/>
  <c r="AA39" i="12"/>
  <c r="J39" i="12"/>
  <c r="L12" i="12"/>
  <c r="J6" i="10"/>
  <c r="BN15" i="5"/>
  <c r="BN16" i="5" s="1"/>
  <c r="BC15" i="5"/>
  <c r="BC16" i="5" s="1"/>
  <c r="CB15" i="5"/>
  <c r="CB16" i="5" s="1"/>
  <c r="AA11" i="9"/>
  <c r="AC11" i="9"/>
  <c r="AA10" i="9"/>
  <c r="E43" i="10" l="1"/>
  <c r="I10" i="12"/>
  <c r="I38" i="12" s="1"/>
  <c r="H42" i="10"/>
  <c r="H43" i="10" s="1"/>
  <c r="L10" i="12"/>
  <c r="L38" i="12" s="1"/>
  <c r="AW31" i="5"/>
  <c r="AZ33" i="5"/>
  <c r="AZ31" i="5"/>
  <c r="AW33" i="5"/>
  <c r="AX33" i="5"/>
  <c r="J11" i="11" s="1"/>
  <c r="AX31" i="5"/>
  <c r="BA31" i="5"/>
  <c r="BA33" i="5"/>
  <c r="M11" i="11" s="1"/>
  <c r="H31" i="10"/>
  <c r="H32" i="10" s="1"/>
  <c r="G31" i="10"/>
  <c r="G32" i="10" s="1"/>
  <c r="H17" i="10"/>
  <c r="F18" i="10"/>
  <c r="G18" i="10"/>
  <c r="H13" i="13"/>
  <c r="H38" i="13"/>
  <c r="H41" i="13" s="1"/>
  <c r="F43" i="13"/>
  <c r="F44" i="13"/>
  <c r="F45" i="13"/>
  <c r="AA45" i="13"/>
  <c r="AC45" i="13" s="1"/>
  <c r="AC39" i="13"/>
  <c r="L17" i="10"/>
  <c r="L40" i="13"/>
  <c r="N12" i="13"/>
  <c r="L10" i="13"/>
  <c r="J15" i="10"/>
  <c r="J10" i="13"/>
  <c r="G38" i="13"/>
  <c r="AA10" i="13"/>
  <c r="G13" i="13"/>
  <c r="G40" i="13"/>
  <c r="J40" i="13" s="1"/>
  <c r="J12" i="13"/>
  <c r="E18" i="10"/>
  <c r="H15" i="10"/>
  <c r="I38" i="13"/>
  <c r="I13" i="13"/>
  <c r="L6" i="10"/>
  <c r="F44" i="12"/>
  <c r="F43" i="12"/>
  <c r="F45" i="12"/>
  <c r="G7" i="10"/>
  <c r="E7" i="10"/>
  <c r="AA45" i="12"/>
  <c r="AC45" i="12" s="1"/>
  <c r="AC39" i="12"/>
  <c r="AA10" i="12"/>
  <c r="G38" i="12"/>
  <c r="G13" i="12"/>
  <c r="G40" i="12"/>
  <c r="N12" i="12"/>
  <c r="L40" i="12"/>
  <c r="N40" i="12" s="1"/>
  <c r="J7" i="10"/>
  <c r="H12" i="12"/>
  <c r="H40" i="12" s="1"/>
  <c r="F6" i="10"/>
  <c r="H6" i="10" s="1"/>
  <c r="H10" i="12"/>
  <c r="F4" i="10"/>
  <c r="AC10" i="9"/>
  <c r="BA35" i="5" l="1"/>
  <c r="M9" i="11"/>
  <c r="J9" i="11"/>
  <c r="AX35" i="5"/>
  <c r="J10" i="12"/>
  <c r="I13" i="12"/>
  <c r="L13" i="12"/>
  <c r="J32" i="10"/>
  <c r="G41" i="13"/>
  <c r="AA38" i="13"/>
  <c r="J38" i="13"/>
  <c r="J41" i="13" s="1"/>
  <c r="H51" i="13" s="1"/>
  <c r="I41" i="13"/>
  <c r="J13" i="13"/>
  <c r="H15" i="13" s="1"/>
  <c r="H16" i="13" s="1"/>
  <c r="J18" i="10"/>
  <c r="H18" i="10"/>
  <c r="E20" i="10" s="1"/>
  <c r="L13" i="13"/>
  <c r="L38" i="13"/>
  <c r="N40" i="13"/>
  <c r="F7" i="10"/>
  <c r="H7" i="10" s="1"/>
  <c r="J12" i="12"/>
  <c r="H4" i="10"/>
  <c r="J40" i="12"/>
  <c r="G41" i="12"/>
  <c r="AA38" i="12"/>
  <c r="L41" i="12"/>
  <c r="H13" i="12"/>
  <c r="H38" i="12"/>
  <c r="H41" i="12" s="1"/>
  <c r="I41" i="12"/>
  <c r="E73" i="9"/>
  <c r="E72" i="9"/>
  <c r="AX43" i="5" l="1"/>
  <c r="J21" i="11" s="1"/>
  <c r="J13" i="11"/>
  <c r="M13" i="11"/>
  <c r="BA43" i="5"/>
  <c r="M21" i="11" s="1"/>
  <c r="J13" i="12"/>
  <c r="H15" i="12" s="1"/>
  <c r="H16" i="12" s="1"/>
  <c r="G15" i="13"/>
  <c r="G16" i="13" s="1"/>
  <c r="I51" i="13"/>
  <c r="I52" i="13" s="1"/>
  <c r="I56" i="13" s="1"/>
  <c r="I60" i="13" s="1"/>
  <c r="F20" i="10"/>
  <c r="F21" i="10" s="1"/>
  <c r="G20" i="10"/>
  <c r="G21" i="10" s="1"/>
  <c r="E21" i="10"/>
  <c r="H52" i="13"/>
  <c r="H56" i="13" s="1"/>
  <c r="H60" i="13" s="1"/>
  <c r="H43" i="13"/>
  <c r="G51" i="13"/>
  <c r="AA44" i="13"/>
  <c r="L41" i="13"/>
  <c r="E9" i="10"/>
  <c r="E10" i="10" s="1"/>
  <c r="F9" i="10"/>
  <c r="F10" i="10" s="1"/>
  <c r="J38" i="12"/>
  <c r="J41" i="12" s="1"/>
  <c r="G51" i="12" s="1"/>
  <c r="AA44" i="12"/>
  <c r="J79" i="9"/>
  <c r="J78" i="9"/>
  <c r="J77" i="9"/>
  <c r="G15" i="12" l="1"/>
  <c r="I15" i="12" s="1"/>
  <c r="I16" i="12" s="1"/>
  <c r="I43" i="13"/>
  <c r="I15" i="13"/>
  <c r="I16" i="13" s="1"/>
  <c r="H20" i="10"/>
  <c r="H21" i="10" s="1"/>
  <c r="I44" i="13"/>
  <c r="I67" i="13"/>
  <c r="G52" i="13"/>
  <c r="G56" i="13" s="1"/>
  <c r="G60" i="13" s="1"/>
  <c r="G43" i="13"/>
  <c r="J51" i="13"/>
  <c r="J52" i="13" s="1"/>
  <c r="J56" i="13" s="1"/>
  <c r="J60" i="13" s="1"/>
  <c r="J67" i="13" s="1"/>
  <c r="H67" i="13"/>
  <c r="H44" i="13"/>
  <c r="H51" i="12"/>
  <c r="H52" i="12" s="1"/>
  <c r="H56" i="12" s="1"/>
  <c r="H60" i="12" s="1"/>
  <c r="I51" i="12"/>
  <c r="I43" i="12" s="1"/>
  <c r="G9" i="10"/>
  <c r="G10" i="10" s="1"/>
  <c r="G52" i="12"/>
  <c r="G56" i="12" s="1"/>
  <c r="G60" i="12" s="1"/>
  <c r="G43" i="12"/>
  <c r="H63" i="9"/>
  <c r="G16" i="12" l="1"/>
  <c r="J43" i="13"/>
  <c r="K43" i="13" s="1"/>
  <c r="J15" i="13"/>
  <c r="J16" i="13" s="1"/>
  <c r="L16" i="13" s="1"/>
  <c r="I45" i="13"/>
  <c r="G73" i="13"/>
  <c r="I73" i="13" s="1"/>
  <c r="J73" i="13" s="1"/>
  <c r="G72" i="13"/>
  <c r="O72" i="13"/>
  <c r="H68" i="13"/>
  <c r="J68" i="13" s="1"/>
  <c r="M72" i="13"/>
  <c r="G67" i="13"/>
  <c r="G45" i="13" s="1"/>
  <c r="G44" i="13"/>
  <c r="J44" i="13" s="1"/>
  <c r="K44" i="13" s="1"/>
  <c r="H45" i="13"/>
  <c r="H43" i="12"/>
  <c r="J43" i="12" s="1"/>
  <c r="J51" i="12"/>
  <c r="J52" i="12" s="1"/>
  <c r="J56" i="12" s="1"/>
  <c r="J60" i="12" s="1"/>
  <c r="J67" i="12" s="1"/>
  <c r="O72" i="12" s="1"/>
  <c r="J15" i="12"/>
  <c r="J16" i="12" s="1"/>
  <c r="J10" i="10" s="1"/>
  <c r="I52" i="12"/>
  <c r="I56" i="12" s="1"/>
  <c r="I60" i="12" s="1"/>
  <c r="I44" i="12" s="1"/>
  <c r="H9" i="10"/>
  <c r="H10" i="10" s="1"/>
  <c r="G44" i="12"/>
  <c r="G67" i="12"/>
  <c r="H44" i="12"/>
  <c r="H67" i="12"/>
  <c r="K8" i="9"/>
  <c r="J21" i="10" l="1"/>
  <c r="J45" i="13"/>
  <c r="K46" i="13" s="1"/>
  <c r="H75" i="13"/>
  <c r="H80" i="13" s="1"/>
  <c r="G75" i="13"/>
  <c r="G80" i="13" s="1"/>
  <c r="I72" i="13"/>
  <c r="J72" i="13" s="1"/>
  <c r="G72" i="12"/>
  <c r="I67" i="12"/>
  <c r="I45" i="12" s="1"/>
  <c r="L16" i="12"/>
  <c r="H68" i="12"/>
  <c r="J68" i="12" s="1"/>
  <c r="M72" i="12"/>
  <c r="G73" i="12"/>
  <c r="I73" i="12" s="1"/>
  <c r="J73" i="12" s="1"/>
  <c r="K43" i="12"/>
  <c r="J44" i="12"/>
  <c r="K44" i="12" s="1"/>
  <c r="H45" i="12"/>
  <c r="G45" i="12"/>
  <c r="I35" i="9"/>
  <c r="G63" i="9"/>
  <c r="I63" i="9" s="1"/>
  <c r="K45" i="13" l="1"/>
  <c r="G75" i="12"/>
  <c r="G80" i="12" s="1"/>
  <c r="I72" i="12"/>
  <c r="J72" i="12" s="1"/>
  <c r="H75" i="12"/>
  <c r="H80" i="12" s="1"/>
  <c r="J45" i="12"/>
  <c r="K50" i="9"/>
  <c r="K46" i="12" l="1"/>
  <c r="K45" i="12"/>
  <c r="G8" i="9"/>
  <c r="H8" i="9"/>
  <c r="M20" i="9"/>
  <c r="I71" i="9" l="1"/>
  <c r="F38" i="9" l="1"/>
  <c r="N64" i="9" l="1"/>
  <c r="I40" i="9" l="1"/>
  <c r="G38" i="9"/>
  <c r="AA38" i="9" s="1"/>
  <c r="M40" i="9"/>
  <c r="L40" i="9"/>
  <c r="H40" i="9"/>
  <c r="G40" i="9"/>
  <c r="G39" i="9"/>
  <c r="AA39" i="9" l="1"/>
  <c r="AA45" i="9" s="1"/>
  <c r="AA44" i="9"/>
  <c r="N63" i="9"/>
  <c r="N62" i="9"/>
  <c r="N55" i="9"/>
  <c r="N59" i="9"/>
  <c r="M8" i="9" l="1"/>
  <c r="L8" i="9"/>
  <c r="D12" i="7" l="1"/>
  <c r="M21" i="9" l="1"/>
  <c r="M22" i="9"/>
  <c r="M23" i="9"/>
  <c r="M24" i="9"/>
  <c r="M25" i="9"/>
  <c r="M26" i="9"/>
  <c r="M27" i="9"/>
  <c r="M28" i="9"/>
  <c r="M29" i="9"/>
  <c r="M30" i="9"/>
  <c r="M32" i="9"/>
  <c r="M33" i="9"/>
  <c r="M34" i="9"/>
  <c r="I21" i="9"/>
  <c r="I22" i="9"/>
  <c r="I23" i="9"/>
  <c r="I24" i="9"/>
  <c r="I25" i="9"/>
  <c r="I26" i="9"/>
  <c r="I27" i="9"/>
  <c r="I28" i="9"/>
  <c r="I29" i="9"/>
  <c r="I30" i="9"/>
  <c r="I32" i="9"/>
  <c r="I33" i="9"/>
  <c r="I34" i="9"/>
  <c r="I20" i="9"/>
  <c r="I39" i="9" l="1"/>
  <c r="AB39" i="9" s="1"/>
  <c r="AC39" i="9" s="1"/>
  <c r="I38" i="9"/>
  <c r="J21" i="9"/>
  <c r="J23" i="9"/>
  <c r="J24" i="9"/>
  <c r="J25" i="9"/>
  <c r="J26" i="9"/>
  <c r="J27" i="9"/>
  <c r="J28" i="9"/>
  <c r="J29" i="9"/>
  <c r="J30" i="9"/>
  <c r="C15" i="9" l="1"/>
  <c r="J8" i="9" l="1"/>
  <c r="I8" i="9"/>
  <c r="D13" i="7" l="1"/>
  <c r="AB11" i="9" s="1"/>
  <c r="AB45" i="9" s="1"/>
  <c r="AC45" i="9" s="1"/>
  <c r="I74" i="9"/>
  <c r="H21" i="9"/>
  <c r="H22" i="9"/>
  <c r="H23" i="9"/>
  <c r="H24" i="9"/>
  <c r="H25" i="9"/>
  <c r="H26" i="9"/>
  <c r="H27" i="9"/>
  <c r="H28" i="9"/>
  <c r="H29" i="9"/>
  <c r="H30" i="9"/>
  <c r="H32" i="9"/>
  <c r="H33" i="9"/>
  <c r="J33" i="9" s="1"/>
  <c r="H34" i="9"/>
  <c r="J34" i="9" s="1"/>
  <c r="H35" i="9"/>
  <c r="J35" i="9" s="1"/>
  <c r="L21" i="9"/>
  <c r="L22" i="9"/>
  <c r="L23" i="9"/>
  <c r="L24" i="9"/>
  <c r="L25" i="9"/>
  <c r="L26" i="9"/>
  <c r="L27" i="9"/>
  <c r="L28" i="9"/>
  <c r="L29" i="9"/>
  <c r="L30" i="9"/>
  <c r="L32" i="9"/>
  <c r="L33" i="9"/>
  <c r="L34" i="9"/>
  <c r="L35" i="9"/>
  <c r="L20" i="9"/>
  <c r="H20" i="9"/>
  <c r="L39" i="9" l="1"/>
  <c r="H39" i="9"/>
  <c r="J22" i="9"/>
  <c r="J20" i="9"/>
  <c r="H38" i="9"/>
  <c r="L38" i="9"/>
  <c r="J32" i="9"/>
  <c r="E12" i="7"/>
  <c r="M35" i="9" s="1"/>
  <c r="M13" i="9"/>
  <c r="L13" i="9"/>
  <c r="I13" i="9"/>
  <c r="H13" i="9"/>
  <c r="G13" i="9"/>
  <c r="F13" i="9"/>
  <c r="N12" i="9"/>
  <c r="J12" i="9"/>
  <c r="J11" i="9"/>
  <c r="N10" i="9"/>
  <c r="J10" i="9"/>
  <c r="L41" i="9" l="1"/>
  <c r="M38" i="9"/>
  <c r="AB38" i="9" s="1"/>
  <c r="M39" i="9"/>
  <c r="J38" i="9"/>
  <c r="H41" i="9"/>
  <c r="N13" i="9"/>
  <c r="J13" i="9"/>
  <c r="H15" i="9" s="1"/>
  <c r="E26" i="7"/>
  <c r="E25" i="7"/>
  <c r="E24" i="7"/>
  <c r="E22" i="7"/>
  <c r="E21" i="7"/>
  <c r="E20" i="7"/>
  <c r="G15" i="9" l="1"/>
  <c r="I15" i="9" s="1"/>
  <c r="M41" i="9"/>
  <c r="AB44" i="9"/>
  <c r="AC44" i="9" s="1"/>
  <c r="AC38" i="9"/>
  <c r="E16" i="7"/>
  <c r="J15" i="9" l="1"/>
  <c r="F39" i="9" l="1"/>
  <c r="D4" i="7" l="1"/>
  <c r="D19" i="7" l="1"/>
  <c r="G4" i="7"/>
  <c r="F16" i="9"/>
  <c r="N23" i="9"/>
  <c r="N24" i="9"/>
  <c r="N25" i="9"/>
  <c r="N26" i="9"/>
  <c r="N27" i="9"/>
  <c r="N28" i="9"/>
  <c r="N30" i="9"/>
  <c r="N32" i="9"/>
  <c r="N33" i="9"/>
  <c r="N35" i="9"/>
  <c r="C38" i="9"/>
  <c r="C39" i="9"/>
  <c r="C40" i="9"/>
  <c r="F40" i="9"/>
  <c r="G50" i="9"/>
  <c r="H50" i="9"/>
  <c r="I50" i="9"/>
  <c r="J50" i="9"/>
  <c r="L50" i="9"/>
  <c r="M50" i="9"/>
  <c r="C51" i="9"/>
  <c r="F51" i="9"/>
  <c r="J54" i="9"/>
  <c r="J55" i="9"/>
  <c r="C56" i="9"/>
  <c r="J58" i="9"/>
  <c r="N58" i="9"/>
  <c r="J59" i="9"/>
  <c r="C60" i="9"/>
  <c r="J62" i="9"/>
  <c r="J64" i="9"/>
  <c r="G66" i="9"/>
  <c r="H66" i="9"/>
  <c r="I66" i="9"/>
  <c r="J66" i="9"/>
  <c r="C67" i="9"/>
  <c r="J70" i="9"/>
  <c r="J71" i="9"/>
  <c r="C75" i="9"/>
  <c r="C80" i="9"/>
  <c r="G16" i="9" l="1"/>
  <c r="H16" i="9"/>
  <c r="F52" i="9"/>
  <c r="F56" i="9" s="1"/>
  <c r="F60" i="9" s="1"/>
  <c r="F41" i="9"/>
  <c r="N39" i="9"/>
  <c r="I16" i="9"/>
  <c r="J40" i="9"/>
  <c r="J39" i="9"/>
  <c r="N29" i="9"/>
  <c r="N34" i="9"/>
  <c r="N40" i="9"/>
  <c r="I41" i="9"/>
  <c r="G41" i="9"/>
  <c r="E14" i="7"/>
  <c r="E15" i="7"/>
  <c r="E11" i="7"/>
  <c r="E10" i="7"/>
  <c r="E9" i="7"/>
  <c r="E8" i="7"/>
  <c r="E7" i="7"/>
  <c r="E6" i="7"/>
  <c r="E5" i="7"/>
  <c r="C4" i="7"/>
  <c r="CH8" i="5" l="1"/>
  <c r="CJ8" i="5" s="1"/>
  <c r="CH10" i="5"/>
  <c r="CJ10" i="5" s="1"/>
  <c r="CH9" i="5"/>
  <c r="CH2" i="5"/>
  <c r="CH7" i="5"/>
  <c r="CH17" i="5" s="1"/>
  <c r="CH18" i="5" s="1"/>
  <c r="CG7" i="5"/>
  <c r="CG9" i="5"/>
  <c r="F43" i="9"/>
  <c r="F44" i="9"/>
  <c r="C19" i="7"/>
  <c r="F4" i="7"/>
  <c r="J74" i="9"/>
  <c r="J41" i="9"/>
  <c r="E13" i="7"/>
  <c r="J16" i="9"/>
  <c r="L16" i="9" s="1"/>
  <c r="F67" i="9"/>
  <c r="F75" i="9" s="1"/>
  <c r="E4" i="7"/>
  <c r="E19" i="7" s="1"/>
  <c r="CJ9" i="5" l="1"/>
  <c r="CG17" i="5"/>
  <c r="CG18" i="5" s="1"/>
  <c r="CJ2" i="5"/>
  <c r="CJ15" i="5" s="1"/>
  <c r="CJ16" i="5" s="1"/>
  <c r="CH15" i="5"/>
  <c r="CH16" i="5" s="1"/>
  <c r="CJ7" i="5"/>
  <c r="F80" i="9"/>
  <c r="F45" i="9"/>
  <c r="N22" i="9"/>
  <c r="N21" i="9"/>
  <c r="H51" i="9"/>
  <c r="I51" i="9"/>
  <c r="G51" i="9"/>
  <c r="G43" i="9" s="1"/>
  <c r="CJ17" i="5" l="1"/>
  <c r="CJ18" i="5" s="1"/>
  <c r="M10" i="13" s="1"/>
  <c r="M10" i="12"/>
  <c r="K4" i="10"/>
  <c r="H52" i="9"/>
  <c r="H56" i="9" s="1"/>
  <c r="H60" i="9" s="1"/>
  <c r="H43" i="9"/>
  <c r="N20" i="9"/>
  <c r="G52" i="9"/>
  <c r="G56" i="9" s="1"/>
  <c r="G60" i="9" s="1"/>
  <c r="G44" i="9" s="1"/>
  <c r="J51" i="9"/>
  <c r="J52" i="9" s="1"/>
  <c r="J56" i="9" s="1"/>
  <c r="J60" i="9" s="1"/>
  <c r="I43" i="9"/>
  <c r="I52" i="9"/>
  <c r="I56" i="9" s="1"/>
  <c r="I60" i="9" s="1"/>
  <c r="K15" i="10" l="1"/>
  <c r="K18" i="10" s="1"/>
  <c r="M13" i="13"/>
  <c r="M38" i="13"/>
  <c r="AB10" i="13"/>
  <c r="AC10" i="13" s="1"/>
  <c r="N10" i="13"/>
  <c r="N13" i="13" s="1"/>
  <c r="K7" i="10"/>
  <c r="L4" i="10"/>
  <c r="L7" i="10" s="1"/>
  <c r="M13" i="12"/>
  <c r="M38" i="12"/>
  <c r="N10" i="12"/>
  <c r="N13" i="12" s="1"/>
  <c r="AB10" i="12"/>
  <c r="AC10" i="12" s="1"/>
  <c r="H44" i="9"/>
  <c r="N41" i="9"/>
  <c r="N38" i="9"/>
  <c r="J43" i="9"/>
  <c r="K43" i="9" s="1"/>
  <c r="I44" i="9"/>
  <c r="I67" i="9"/>
  <c r="L15" i="10" l="1"/>
  <c r="L18" i="10" s="1"/>
  <c r="M41" i="13"/>
  <c r="AB38" i="13"/>
  <c r="N38" i="13"/>
  <c r="M41" i="12"/>
  <c r="N38" i="12"/>
  <c r="AB38" i="12"/>
  <c r="I45" i="9"/>
  <c r="J44" i="9"/>
  <c r="K44" i="9" s="1"/>
  <c r="AB44" i="13" l="1"/>
  <c r="AC44" i="13" s="1"/>
  <c r="AC38" i="13"/>
  <c r="N41" i="13"/>
  <c r="I69" i="13"/>
  <c r="AB44" i="12"/>
  <c r="AC44" i="12" s="1"/>
  <c r="AC38" i="12"/>
  <c r="N41" i="12"/>
  <c r="I69" i="12"/>
  <c r="J67" i="9"/>
  <c r="J69" i="13" l="1"/>
  <c r="J75" i="13" s="1"/>
  <c r="J80" i="13" s="1"/>
  <c r="I75" i="13"/>
  <c r="I80" i="13" s="1"/>
  <c r="J69" i="12"/>
  <c r="J75" i="12" s="1"/>
  <c r="J80" i="12" s="1"/>
  <c r="I75" i="12"/>
  <c r="I80" i="12" s="1"/>
  <c r="G73" i="9"/>
  <c r="G72" i="9"/>
  <c r="H68" i="9"/>
  <c r="J68" i="9" s="1"/>
  <c r="I69" i="9"/>
  <c r="H67" i="9"/>
  <c r="G67" i="9"/>
  <c r="H75" i="9" l="1"/>
  <c r="H80" i="9" s="1"/>
  <c r="G75" i="9"/>
  <c r="H45" i="9"/>
  <c r="G45" i="9"/>
  <c r="J69" i="9"/>
  <c r="J45" i="9" l="1"/>
  <c r="K45" i="9" s="1"/>
  <c r="I73" i="9"/>
  <c r="J73" i="9" s="1"/>
  <c r="O72" i="9"/>
  <c r="I72" i="9"/>
  <c r="M72" i="9"/>
  <c r="I75" i="9" l="1"/>
  <c r="I80" i="9" s="1"/>
  <c r="K46" i="9"/>
  <c r="G80" i="9"/>
  <c r="J72" i="9"/>
  <c r="J75" i="9" l="1"/>
  <c r="J80" i="9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86F9EB13-398E-4173-80E8-6191F558181E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5C93C948-5F98-4E4F-8953-FA0B3F13D81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CBAF1E9E-885C-4273-9C2C-8AAB28FF08B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4322EF62-FB33-4572-A0E0-2E924436A02B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21092E8E-E1C5-4B65-A336-8607D737746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3CFE66B0-5A29-4421-A7F1-F3EAF4722B5C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37C82D64-F5FE-498A-96BA-CB66083D27C6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593C45E2-DEE5-44FF-9257-89DBD9A20AB9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C85207C9-A684-4D61-95B7-C089978317F4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347ADDCD-3C5C-46E5-A36D-A22FD8BCE372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3C8DF35-94DE-4265-817E-5D7494836753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5A120AF4-DA7F-4DE5-A5CA-CDFF6940B149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26116E22-B365-47DF-B922-07C1A0CFBCC7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76FB565B-E043-412F-B2DC-5A99C659C331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52A48FC4-E21F-4C6D-A56A-2A76E7CA4C51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2A0305FE-A381-463C-8ECD-00FE6E890F65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9414226E-2F49-4384-B25E-AC904FBE0347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62F8FCE7-542B-4895-8708-2E4AE29B77EC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LSO-BPA</author>
    <author>mfreeman</author>
    <author>Jared Tatro</author>
    <author>Ray Houston</author>
  </authors>
  <commentList>
    <comment ref="A8" authorId="0" shapeId="0" xr:uid="{00000000-0006-0000-0200-000001000000}">
      <text>
        <r>
          <rPr>
            <sz val="8"/>
            <color indexed="81"/>
            <rFont val="Tahoma"/>
            <family val="2"/>
          </rPr>
          <t>Position Control Number</t>
        </r>
      </text>
    </comment>
    <comment ref="B8" authorId="1" shapeId="0" xr:uid="{00000000-0006-0000-0200-000002000000}">
      <text>
        <r>
          <rPr>
            <sz val="8"/>
            <color indexed="81"/>
            <rFont val="Tahoma"/>
            <family val="2"/>
          </rPr>
          <t>Five-digit class code associated with a position title.</t>
        </r>
      </text>
    </comment>
    <comment ref="E8" authorId="1" shapeId="0" xr:uid="{00000000-0006-0000-0200-000003000000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9" authorId="2" shapeId="0" xr:uid="{00000000-0006-0000-0200-000004000000}">
      <text>
        <r>
          <rPr>
            <sz val="10"/>
            <color indexed="81"/>
            <rFont val="Tahoma"/>
            <family val="2"/>
          </rPr>
          <t>R1 = Regular Retirement Rate (most common)
R2 = Police/Fire
R4 = Former Public Safety (1985)
R5 = Dept of Labor (rare)
R6 = Judges
R7 = Optional Retirement
R8 = Optional Retirement</t>
        </r>
      </text>
    </comment>
    <comment ref="F39" authorId="2" shapeId="0" xr:uid="{00000000-0006-0000-0200-000005000000}">
      <text>
        <r>
          <rPr>
            <sz val="9"/>
            <color indexed="81"/>
            <rFont val="Tahoma"/>
            <family val="2"/>
          </rPr>
          <t>This cell should always equal zero</t>
        </r>
      </text>
    </comment>
    <comment ref="A50" authorId="0" shapeId="0" xr:uid="{00000000-0006-0000-0200-000006000000}">
      <text>
        <r>
          <rPr>
            <sz val="8"/>
            <color indexed="81"/>
            <rFont val="Tahoma"/>
            <family val="2"/>
          </rPr>
          <t>Decision Unit Number</t>
        </r>
      </text>
    </comment>
    <comment ref="I59" authorId="3" shapeId="0" xr:uid="{00000000-0006-0000-0200-000007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  <r>
          <rPr>
            <sz val="9"/>
            <color indexed="81"/>
            <rFont val="Tahoma"/>
            <family val="2"/>
          </rPr>
          <t xml:space="preserve">
</t>
        </r>
      </text>
    </comment>
    <comment ref="I62" authorId="3" shapeId="0" xr:uid="{00000000-0006-0000-0200-000008000000}">
      <text>
        <r>
          <rPr>
            <sz val="9"/>
            <color indexed="81"/>
            <rFont val="Arial"/>
            <family val="2"/>
          </rPr>
          <t>Any benefits relating to positions transferred should be reconciled here with an upward or downward adjustment. This adjustment should net to zero agency-wide.</t>
        </r>
      </text>
    </comment>
    <comment ref="E70" authorId="2" shapeId="0" xr:uid="{A0A843D4-16DB-40DB-A22A-E9933DF2D2C0}">
      <text>
        <r>
          <rPr>
            <b/>
            <sz val="9"/>
            <color indexed="81"/>
            <rFont val="Tahoma"/>
            <family val="2"/>
          </rPr>
          <t>Jared Tatro:</t>
        </r>
        <r>
          <rPr>
            <sz val="9"/>
            <color indexed="81"/>
            <rFont val="Tahoma"/>
            <family val="2"/>
          </rPr>
          <t xml:space="preserve">
These rates should be changed on the Benefit worksheet
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mfreeman</author>
  </authors>
  <commentList>
    <comment ref="C2" authorId="0" shapeId="0" xr:uid="{E64FC92A-7E35-49C9-8C00-5A4E3D3E9D8B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13" authorId="0" shapeId="0" xr:uid="{0B54F84F-FF94-4BFE-BA35-7E1391692C7F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24" authorId="0" shapeId="0" xr:uid="{42CA6EE1-360F-418B-9ED9-ABF65989553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  <comment ref="C35" authorId="0" shapeId="0" xr:uid="{0A599F6A-D060-421A-BCD7-60C19D40A62C}">
      <text>
        <r>
          <rPr>
            <sz val="8"/>
            <color indexed="81"/>
            <rFont val="Tahoma"/>
            <family val="2"/>
          </rPr>
          <t>An Indicator of "1" refers to permanent positions, an Indicator of "2" refers to board &amp; group positions, and an Indicator of "3" refers to  elected official positions and other full time commissioners</t>
        </r>
      </text>
    </comment>
  </commentList>
</comments>
</file>

<file path=xl/sharedStrings.xml><?xml version="1.0" encoding="utf-8"?>
<sst xmlns="http://schemas.openxmlformats.org/spreadsheetml/2006/main" count="728" uniqueCount="306">
  <si>
    <t>Current Year</t>
  </si>
  <si>
    <t>Budgeted Year</t>
  </si>
  <si>
    <t>FICA SSDI Rate</t>
  </si>
  <si>
    <t>FICA SSHI Rate</t>
  </si>
  <si>
    <t>Unemployment Rate</t>
  </si>
  <si>
    <t>Workers Comp Rate</t>
  </si>
  <si>
    <t>Life Insurance Rate</t>
  </si>
  <si>
    <t>Unused sick leave rate</t>
  </si>
  <si>
    <t>DHR rate</t>
  </si>
  <si>
    <t>Total Group</t>
  </si>
  <si>
    <t>Agency Benefit Information</t>
  </si>
  <si>
    <t>Total Permanent</t>
  </si>
  <si>
    <t>Full Time Health Costs</t>
  </si>
  <si>
    <t>Agency/Department:</t>
  </si>
  <si>
    <t>Agency Number:</t>
  </si>
  <si>
    <t>Fiscal Year:</t>
  </si>
  <si>
    <t>Original Request Date:</t>
  </si>
  <si>
    <t>Fund Name:</t>
  </si>
  <si>
    <t>Revision Date:</t>
  </si>
  <si>
    <t>Revision #:</t>
  </si>
  <si>
    <t>PCN</t>
  </si>
  <si>
    <t>CLASS CODE</t>
  </si>
  <si>
    <t>DESCRIPTION</t>
  </si>
  <si>
    <t>Indicator Code</t>
  </si>
  <si>
    <t>FTP</t>
  </si>
  <si>
    <t>TOTAL BENEFIT CHANGES</t>
  </si>
  <si>
    <t>Totals from Wage and Salary Report (WSR):</t>
  </si>
  <si>
    <t>Permanent Positions</t>
  </si>
  <si>
    <t>Board &amp; Group Positions</t>
  </si>
  <si>
    <t>Elected Officials &amp; Full Time Commissioners</t>
  </si>
  <si>
    <t>TOTAL FROM WSR</t>
  </si>
  <si>
    <t>ORIGINAL APPROPRIATION</t>
  </si>
  <si>
    <t>Unadjusted Over or (Under) Funded:</t>
  </si>
  <si>
    <t>Est Difference</t>
  </si>
  <si>
    <t>Adjustments to Wage &amp; Salary:</t>
  </si>
  <si>
    <t>Add Funded / Subtract Unfunded - Vacant or Authorized - Positions:</t>
  </si>
  <si>
    <t>Other Adjustments:</t>
  </si>
  <si>
    <t>Estimated Salary Needs:</t>
  </si>
  <si>
    <t>Estimated Salary and Benefits</t>
  </si>
  <si>
    <t>Adjusted Over or (Under) Funding:</t>
  </si>
  <si>
    <t>Orig. Approp</t>
  </si>
  <si>
    <t>Est. Expend</t>
  </si>
  <si>
    <t>DU</t>
  </si>
  <si>
    <t>Original Appropriation</t>
  </si>
  <si>
    <t>Total Benefit Change</t>
  </si>
  <si>
    <t xml:space="preserve"> </t>
  </si>
  <si>
    <t>Rounded Appropriation</t>
  </si>
  <si>
    <t>Appropriation Adjustments:</t>
  </si>
  <si>
    <t>Reappropriation</t>
  </si>
  <si>
    <t>Supplemental</t>
  </si>
  <si>
    <t>TOTAL APPROPRIATION</t>
  </si>
  <si>
    <t>Expenditure Adjustments:</t>
  </si>
  <si>
    <t>FTP or Fund Adjustment</t>
  </si>
  <si>
    <t>ESTIMATED EXPENDITURES</t>
  </si>
  <si>
    <t>Base Adjustments:</t>
  </si>
  <si>
    <t>Removal of One-Time Expenditures</t>
  </si>
  <si>
    <t>Base Reduction</t>
  </si>
  <si>
    <t>BASE</t>
  </si>
  <si>
    <t>Change in Health Benefit Costs</t>
  </si>
  <si>
    <t>Change in Variable Benefits Costs</t>
  </si>
  <si>
    <t>Annualization</t>
  </si>
  <si>
    <t>CEC for Group Positions</t>
  </si>
  <si>
    <t>CEC for Elected Officials &amp; Commissioners</t>
  </si>
  <si>
    <t>PROGRAM MAINTENANCE</t>
  </si>
  <si>
    <t>Line Items:</t>
  </si>
  <si>
    <t>TOTAL REQUEST</t>
  </si>
  <si>
    <t>Transfer Between Programs</t>
  </si>
  <si>
    <t xml:space="preserve">Transfer Between Programs </t>
  </si>
  <si>
    <t>R1</t>
  </si>
  <si>
    <t>R6</t>
  </si>
  <si>
    <t>R2</t>
  </si>
  <si>
    <t>R4</t>
  </si>
  <si>
    <t>R5</t>
  </si>
  <si>
    <t>R8</t>
  </si>
  <si>
    <t>R7</t>
  </si>
  <si>
    <t>Regular Retirement</t>
  </si>
  <si>
    <t>Police/Fire Retirement</t>
  </si>
  <si>
    <t>Former Public Safety (1985)</t>
  </si>
  <si>
    <t xml:space="preserve">Dept of Labor </t>
  </si>
  <si>
    <t>Judges Retirement</t>
  </si>
  <si>
    <t>Optional Retirement</t>
  </si>
  <si>
    <t>RETIREMENT RATES</t>
  </si>
  <si>
    <t>Part Time Health Costs</t>
  </si>
  <si>
    <t>FTI</t>
  </si>
  <si>
    <t>Budget Submission Page #</t>
  </si>
  <si>
    <t>of</t>
  </si>
  <si>
    <t>Retire Cd</t>
  </si>
  <si>
    <t>Adjustment Description / Position Title</t>
  </si>
  <si>
    <t>** MESSAGE CODES:</t>
  </si>
  <si>
    <t>1 = POSITION WITH MULTIPLE DISTRIBUTIONS</t>
  </si>
  <si>
    <t>2 = DELETED POSITION WITH ACTUAL DOLLARS</t>
  </si>
  <si>
    <t>3 = INCUMBENT IS AN UNDERFILL</t>
  </si>
  <si>
    <t>5 = SHIFT DIFFERENTIAL</t>
  </si>
  <si>
    <t>6 = MULTIPLE FILL CALCULATION</t>
  </si>
  <si>
    <t>Salary</t>
  </si>
  <si>
    <t>Variable Benefits</t>
  </si>
  <si>
    <t>Total Benefits</t>
  </si>
  <si>
    <t>Totals by Fund</t>
  </si>
  <si>
    <t>Health Benefits</t>
  </si>
  <si>
    <t>Base</t>
  </si>
  <si>
    <t xml:space="preserve">Personnel Cost Reconciliation - Relation to Zero Variance  ---&gt; </t>
  </si>
  <si>
    <t>CEC for Permanent Positions</t>
  </si>
  <si>
    <t>Elected Officials</t>
  </si>
  <si>
    <t>Permanent Position CEC Rate</t>
  </si>
  <si>
    <t>Group Position CEC Rate</t>
  </si>
  <si>
    <t>Filled</t>
  </si>
  <si>
    <t>Total</t>
  </si>
  <si>
    <t>Filled and Adjustments</t>
  </si>
  <si>
    <t>Adjustments Only</t>
  </si>
  <si>
    <t>Percent of Filled Positions</t>
  </si>
  <si>
    <t>FTP = POSITION FTE = (PAY PERIOD HOURS/80) * FTE PCT OF YEAR * POSITION DISTRIBUTION %</t>
  </si>
  <si>
    <t>FTI  = EMPLOYEE FTE = (PAY PERIOD HOURS/80)  * FTE PCT OF YEAR * POSITION DISTRIBUTION %</t>
  </si>
  <si>
    <t>orig CEC</t>
  </si>
  <si>
    <t>Luma Fund Number</t>
  </si>
  <si>
    <t>Appropriation (Budget) Unit</t>
  </si>
  <si>
    <t>Historical Fund #:</t>
  </si>
  <si>
    <t>Budgeted Division:</t>
  </si>
  <si>
    <t>Budgeted Program</t>
  </si>
  <si>
    <t>FISCAL YEAR</t>
  </si>
  <si>
    <t>AGENCY CODE</t>
  </si>
  <si>
    <t>PCN TITLE</t>
  </si>
  <si>
    <t>FUND CODE</t>
  </si>
  <si>
    <t>FUND DETAIL CODE</t>
  </si>
  <si>
    <t>BUDGET UNIT</t>
  </si>
  <si>
    <t>PCA</t>
  </si>
  <si>
    <t>INDEX CODE</t>
  </si>
  <si>
    <t>PCN DIST COUNT</t>
  </si>
  <si>
    <t>PCN CLASS CODE</t>
  </si>
  <si>
    <t>PCN PAY GRADE</t>
  </si>
  <si>
    <t>PCN STATUS CODE</t>
  </si>
  <si>
    <t>PCN TYPE CODE</t>
  </si>
  <si>
    <t>INCUMBENT COUNT</t>
  </si>
  <si>
    <t>PCN DIST PCT</t>
  </si>
  <si>
    <t>PCN FTE PCT</t>
  </si>
  <si>
    <t>PCN PP HOURS</t>
  </si>
  <si>
    <t>PCN FTP</t>
  </si>
  <si>
    <t>PCN ACTUAL REGULAR</t>
  </si>
  <si>
    <t>PCN ACTUAL OT</t>
  </si>
  <si>
    <t>PCN ACTUAL BENEFITS</t>
  </si>
  <si>
    <t>PCN ESTIMATED SALARY</t>
  </si>
  <si>
    <t>PCN ESTIMATED BENEFITS</t>
  </si>
  <si>
    <t>PCN PROJECTED SALARY</t>
  </si>
  <si>
    <t>PCN PROJECTED BENEFITS</t>
  </si>
  <si>
    <t>EMPLOYEE NAME</t>
  </si>
  <si>
    <t>LAST NAME</t>
  </si>
  <si>
    <t>FIRST NAME</t>
  </si>
  <si>
    <t>MIDDLE NAME</t>
  </si>
  <si>
    <t>INCUMBENT CLASS</t>
  </si>
  <si>
    <t>INCUMBENT PAY SCHEDULE</t>
  </si>
  <si>
    <t>PAY RATE IND</t>
  </si>
  <si>
    <t>PAY RATE</t>
  </si>
  <si>
    <t>CSS HOURS</t>
  </si>
  <si>
    <t>WORK TYPE CODE</t>
  </si>
  <si>
    <t>HEALTH ELIG IND</t>
  </si>
  <si>
    <t>SICK LEAVE ELIG IND</t>
  </si>
  <si>
    <t>UI ELIG IND</t>
  </si>
  <si>
    <t>RET OPT CODE</t>
  </si>
  <si>
    <t>INCUMBENT PP HOURS</t>
  </si>
  <si>
    <t>INCUMBENT FTE</t>
  </si>
  <si>
    <t>INCUMBENT FTI</t>
  </si>
  <si>
    <t>MSGS</t>
  </si>
  <si>
    <t>2022</t>
  </si>
  <si>
    <t>322</t>
  </si>
  <si>
    <t>0023</t>
  </si>
  <si>
    <t xml:space="preserve">INVESTMENT MANAGER  </t>
  </si>
  <si>
    <t>0349</t>
  </si>
  <si>
    <t>00</t>
  </si>
  <si>
    <t>LABA</t>
  </si>
  <si>
    <t>002</t>
  </si>
  <si>
    <t>20179</t>
  </si>
  <si>
    <t>F</t>
  </si>
  <si>
    <t>NR</t>
  </si>
  <si>
    <t>ANTON, CHRISTIAN J.</t>
  </si>
  <si>
    <t>ANTON</t>
  </si>
  <si>
    <t>CHRISTIAN</t>
  </si>
  <si>
    <t>JOSEPH</t>
  </si>
  <si>
    <t>00000</t>
  </si>
  <si>
    <t>H</t>
  </si>
  <si>
    <t>FS</t>
  </si>
  <si>
    <t>E</t>
  </si>
  <si>
    <t>N</t>
  </si>
  <si>
    <t>Y</t>
  </si>
  <si>
    <t xml:space="preserve">    </t>
  </si>
  <si>
    <t>9999</t>
  </si>
  <si>
    <t xml:space="preserve">GROUP POSITION      </t>
  </si>
  <si>
    <t>90000</t>
  </si>
  <si>
    <t>V</t>
  </si>
  <si>
    <t>NG</t>
  </si>
  <si>
    <t>9998</t>
  </si>
  <si>
    <t xml:space="preserve">OFFICE SPECIALIST 2 </t>
  </si>
  <si>
    <t>01239</t>
  </si>
  <si>
    <t>G</t>
  </si>
  <si>
    <t>9995</t>
  </si>
  <si>
    <t xml:space="preserve">INVESTMENT BOARD    </t>
  </si>
  <si>
    <t>001</t>
  </si>
  <si>
    <t>50180</t>
  </si>
  <si>
    <t>9994</t>
  </si>
  <si>
    <t>0031</t>
  </si>
  <si>
    <t xml:space="preserve">ADMIN ASST 2        </t>
  </si>
  <si>
    <t>0482</t>
  </si>
  <si>
    <t>70</t>
  </si>
  <si>
    <t>01231</t>
  </si>
  <si>
    <t>I</t>
  </si>
  <si>
    <t>CR</t>
  </si>
  <si>
    <t>WIENEKE, ELIZABETH B.</t>
  </si>
  <si>
    <t>WIENEKE</t>
  </si>
  <si>
    <t>ELIZABETH</t>
  </si>
  <si>
    <t>B</t>
  </si>
  <si>
    <t xml:space="preserve">HI   </t>
  </si>
  <si>
    <t>0026</t>
  </si>
  <si>
    <t>ASST INVESTMENT MANA</t>
  </si>
  <si>
    <t>20178</t>
  </si>
  <si>
    <t>HALVORSON, CHRISTOPHER E.</t>
  </si>
  <si>
    <t>HALVORSON</t>
  </si>
  <si>
    <t>CHRISTOPHER</t>
  </si>
  <si>
    <t>0024</t>
  </si>
  <si>
    <t>FINANCIAL SPECIALIST</t>
  </si>
  <si>
    <t>04244</t>
  </si>
  <si>
    <t>M</t>
  </si>
  <si>
    <t xml:space="preserve">VAN VACTOR, KATHLEEN </t>
  </si>
  <si>
    <t>VAN VACTOR</t>
  </si>
  <si>
    <t>KATHLEEN</t>
  </si>
  <si>
    <t xml:space="preserve">              </t>
  </si>
  <si>
    <t xml:space="preserve">HM   </t>
  </si>
  <si>
    <t>INC_FTI</t>
  </si>
  <si>
    <t>INDICATOR</t>
  </si>
  <si>
    <t>TOTAL_PERM_PCN_FTI</t>
  </si>
  <si>
    <t>TOTAL_ELECT_PCN_FTI</t>
  </si>
  <si>
    <t>ROWS_PER_PCN</t>
  </si>
  <si>
    <t>FTI_SALARY_SSDI</t>
  </si>
  <si>
    <t>FTI_SALARY_PERM</t>
  </si>
  <si>
    <t>FTI_SALARY_ELECT</t>
  </si>
  <si>
    <t>SALARY_CHG</t>
  </si>
  <si>
    <t>HEALTH_PERM</t>
  </si>
  <si>
    <t>HEALTH_ELECT</t>
  </si>
  <si>
    <t>SSDI</t>
  </si>
  <si>
    <t>SSHI</t>
  </si>
  <si>
    <t>RETIREMENT</t>
  </si>
  <si>
    <t>LIFE_INS</t>
  </si>
  <si>
    <t>UNEMP_INS</t>
  </si>
  <si>
    <t>DHR</t>
  </si>
  <si>
    <t>WORKERS_COMP</t>
  </si>
  <si>
    <t>SICK</t>
  </si>
  <si>
    <t>TOT_VB_PERM</t>
  </si>
  <si>
    <t>TOT_VB_ELECT</t>
  </si>
  <si>
    <t>HEALTH_PERM_BY</t>
  </si>
  <si>
    <t>HEALTH_ELECT_BY</t>
  </si>
  <si>
    <t>SSDI_BY</t>
  </si>
  <si>
    <t>SSHI_BY</t>
  </si>
  <si>
    <t>RETIREMENT_BY</t>
  </si>
  <si>
    <t>LIFE_INS_BY</t>
  </si>
  <si>
    <t>UNEMP_INS_BY</t>
  </si>
  <si>
    <t>DHR_BY</t>
  </si>
  <si>
    <t>WORKERS_COMP_BY</t>
  </si>
  <si>
    <t>SICK_BY</t>
  </si>
  <si>
    <t>TOT_VB_PERM_BY</t>
  </si>
  <si>
    <t>TOT_VB_ELECT_BY</t>
  </si>
  <si>
    <t>HEALTH_PERM_CHG</t>
  </si>
  <si>
    <t>HEALTH_ELECT_CHG</t>
  </si>
  <si>
    <t>SSDI_CHG</t>
  </si>
  <si>
    <t>SSHI_CHG</t>
  </si>
  <si>
    <t>RETIREMENT_CHG</t>
  </si>
  <si>
    <t>LIFE_INS_CHG</t>
  </si>
  <si>
    <t>UNEMP_INS_CHG</t>
  </si>
  <si>
    <t>DHR_CHG</t>
  </si>
  <si>
    <t>WORKERS_COMP_CHG</t>
  </si>
  <si>
    <t>SICK_CHG</t>
  </si>
  <si>
    <t>TOT_VB_PERM_CHG</t>
  </si>
  <si>
    <t>TOT_VB_ELECT_CHG</t>
  </si>
  <si>
    <t>Group_Salary</t>
  </si>
  <si>
    <t>Group_Ben</t>
  </si>
  <si>
    <t>col_Fund</t>
  </si>
  <si>
    <t>LABA 0349-00</t>
  </si>
  <si>
    <t>LABA 0349</t>
  </si>
  <si>
    <t>Board of Land Commissioners</t>
  </si>
  <si>
    <t>Endowment Fund Investment Board</t>
  </si>
  <si>
    <t>Miscellaneous Revenue</t>
  </si>
  <si>
    <t>0349-00</t>
  </si>
  <si>
    <t>34900</t>
  </si>
  <si>
    <t>Endowment Fund Investment Board, Miscellaneous Revenue   LABA-0349-00</t>
  </si>
  <si>
    <t>LABA 0482-70</t>
  </si>
  <si>
    <t>LABA 0482</t>
  </si>
  <si>
    <t>Endowment Earnings Administrative</t>
  </si>
  <si>
    <t>0482-00</t>
  </si>
  <si>
    <t>48270</t>
  </si>
  <si>
    <t>Endowment Fund Investment Board, Endowment Earnings Administrative   LABA-0482-00</t>
  </si>
  <si>
    <t>LABB 0349-00</t>
  </si>
  <si>
    <t>LABB 0349</t>
  </si>
  <si>
    <t>Endowment Fund Investment Board, Miscellaneous Revenue   LABB-0349-00</t>
  </si>
  <si>
    <t>LABB 0482-70</t>
  </si>
  <si>
    <t>LABB 0482</t>
  </si>
  <si>
    <t>Endowment Fund Investment Board, Endowment Earnings Administrative   LABB-0482-00</t>
  </si>
  <si>
    <t>Totals by Budget Unit and Fund</t>
  </si>
  <si>
    <t>Est. FY22_x000D_
Salary</t>
  </si>
  <si>
    <t>Proj. FY23_x000D_
Salary</t>
  </si>
  <si>
    <t>Actual FY 2021</t>
  </si>
  <si>
    <t>Estimate FY 2022</t>
  </si>
  <si>
    <t>Projection FY 2023</t>
  </si>
  <si>
    <t>Filled Permanent/Elected</t>
  </si>
  <si>
    <t>Fund-0349</t>
  </si>
  <si>
    <t>0482-70</t>
  </si>
  <si>
    <t>Fund-0482</t>
  </si>
  <si>
    <t>Permanent Total</t>
  </si>
  <si>
    <t>Group</t>
  </si>
  <si>
    <t>Group Total</t>
  </si>
  <si>
    <t>Agency Fund Total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</si>
</sst>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24">
    <numFmt numFmtId="6" formatCode="&quot;$&quot;#,##0_);[Red]\(&quot;$&quot;#,##0\)"/>
    <numFmt numFmtId="8" formatCode="&quot;$&quot;#,##0.00_);[Red]\(&quot;$&quot;#,##0.00\)"/>
    <numFmt numFmtId="43" formatCode="_(* #,##0.00_);_(* \(#,##0.00\);_(* &quot;-&quot;??_);_(@_)"/>
    <numFmt numFmtId="164" formatCode="0.00000"/>
    <numFmt numFmtId="165" formatCode="&quot;$&quot;#,##0"/>
    <numFmt numFmtId="166" formatCode="0_)"/>
    <numFmt numFmtId="167" formatCode="0.0000"/>
    <numFmt numFmtId="168" formatCode="0000;;"/>
    <numFmt numFmtId="169" formatCode="00;;"/>
    <numFmt numFmtId="170" formatCode="00000;;00000"/>
    <numFmt numFmtId="171" formatCode="0000\-00;;"/>
    <numFmt numFmtId="172" formatCode="0.00\ ;\(0.00\);0.0\ "/>
    <numFmt numFmtId="173" formatCode="#,##0.000_);[Red]\(#,##0.000\)"/>
    <numFmt numFmtId="174" formatCode="0\ ;\(0\);0\ "/>
    <numFmt numFmtId="175" formatCode="#,##0_);[Red]\(#,##0\);0\ "/>
    <numFmt numFmtId="176" formatCode="0.0%"/>
    <numFmt numFmtId="177" formatCode="#,##0.00000000_);[Red]\(#,##0.00000000\)"/>
    <numFmt numFmtId="178" formatCode="#,##0.000000000_);[Red]\(#,##0.000000000\)"/>
    <numFmt numFmtId="179" formatCode="0.00000_);[Red]\(0.00000\)"/>
    <numFmt numFmtId="180" formatCode="0.000"/>
    <numFmt numFmtId="181" formatCode="0.000000"/>
    <numFmt numFmtId="182" formatCode="0.0000_);[Red]\(0.0000\)"/>
    <numFmt numFmtId="183" formatCode="#0"/>
    <numFmt numFmtId="184" formatCode="#0.########"/>
  </numFmts>
  <fonts count="5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Helv"/>
    </font>
    <font>
      <sz val="10"/>
      <name val="Arial"/>
      <family val="2"/>
    </font>
    <font>
      <b/>
      <sz val="15"/>
      <name val="Times New Roman"/>
      <family val="1"/>
    </font>
    <font>
      <sz val="15"/>
      <color theme="1"/>
      <name val="Times New Roman"/>
      <family val="1"/>
    </font>
    <font>
      <sz val="15"/>
      <name val="Times New Roman"/>
      <family val="1"/>
    </font>
    <font>
      <b/>
      <sz val="15"/>
      <color theme="1"/>
      <name val="Times New Roman"/>
      <family val="1"/>
    </font>
    <font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9"/>
      <color rgb="FF002060"/>
      <name val="Arial"/>
      <family val="2"/>
    </font>
    <font>
      <sz val="9"/>
      <color indexed="10"/>
      <name val="Arial"/>
      <family val="2"/>
    </font>
    <font>
      <sz val="10"/>
      <color indexed="10"/>
      <name val="Arial"/>
      <family val="2"/>
    </font>
    <font>
      <b/>
      <sz val="10"/>
      <color rgb="FF002060"/>
      <name val="Arial"/>
      <family val="2"/>
    </font>
    <font>
      <b/>
      <sz val="8"/>
      <name val="Arial"/>
      <family val="2"/>
    </font>
    <font>
      <sz val="8"/>
      <color indexed="81"/>
      <name val="Tahoma"/>
      <family val="2"/>
    </font>
    <font>
      <sz val="9"/>
      <color indexed="81"/>
      <name val="Tahoma"/>
      <family val="2"/>
    </font>
    <font>
      <sz val="9"/>
      <color indexed="81"/>
      <name val="Arial"/>
      <family val="2"/>
    </font>
    <font>
      <sz val="10"/>
      <color indexed="81"/>
      <name val="Tahoma"/>
      <family val="2"/>
    </font>
    <font>
      <sz val="12"/>
      <color theme="1"/>
      <name val="Times New Roman"/>
      <family val="1"/>
    </font>
    <font>
      <sz val="9"/>
      <color theme="1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Arial"/>
      <family val="2"/>
    </font>
    <font>
      <sz val="10"/>
      <color theme="1"/>
      <name val="Times New Roman"/>
      <family val="1"/>
    </font>
    <font>
      <sz val="10"/>
      <color theme="0"/>
      <name val="Arial"/>
      <family val="2"/>
    </font>
    <font>
      <sz val="12"/>
      <color theme="0"/>
      <name val="Arial"/>
      <family val="2"/>
    </font>
    <font>
      <sz val="12"/>
      <color theme="0"/>
      <name val="Helv"/>
    </font>
    <font>
      <sz val="12"/>
      <color theme="0"/>
      <name val="Times New Roman"/>
      <family val="1"/>
    </font>
    <font>
      <sz val="11"/>
      <color theme="0"/>
      <name val="Calibri"/>
      <family val="2"/>
      <scheme val="minor"/>
    </font>
    <font>
      <b/>
      <sz val="9"/>
      <color indexed="81"/>
      <name val="Tahoma"/>
      <family val="2"/>
    </font>
    <font>
      <sz val="8"/>
      <color theme="0"/>
      <name val="Arial"/>
      <family val="2"/>
    </font>
    <font>
      <b/>
      <sz val="10"/>
      <color theme="0"/>
      <name val="Arial"/>
      <family val="2"/>
    </font>
    <font>
      <sz val="8"/>
      <color rgb="FF333333"/>
      <name val="Arial"/>
      <family val="2"/>
    </font>
    <font>
      <sz val="8"/>
      <color rgb="FF454545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gray125">
        <bgColor theme="1"/>
      </patternFill>
    </fill>
    <fill>
      <patternFill patternType="solid">
        <fgColor theme="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E7E5E5"/>
      </patternFill>
    </fill>
    <fill>
      <patternFill patternType="solid">
        <fgColor rgb="FFB8CCE4"/>
        <bgColor indexed="64"/>
      </patternFill>
    </fill>
    <fill>
      <patternFill patternType="solid">
        <fgColor rgb="FFE6B8B8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E8AE27"/>
        <bgColor indexed="64"/>
      </patternFill>
    </fill>
    <fill>
      <patternFill patternType="solid">
        <fgColor rgb="FFC4BD97"/>
        <bgColor indexed="64"/>
      </patternFill>
    </fill>
    <fill>
      <patternFill patternType="solid">
        <fgColor rgb="FFC88700"/>
        <bgColor indexed="64"/>
      </patternFill>
    </fill>
    <fill>
      <patternFill patternType="solid">
        <fgColor rgb="FFEDDE11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92CDD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medium">
        <color rgb="FFC0C0C0"/>
      </left>
      <right style="medium">
        <color rgb="FFC0C0C0"/>
      </right>
      <top style="medium">
        <color rgb="FFC0C0C0"/>
      </top>
      <bottom style="medium">
        <color rgb="FFC0C0C0"/>
      </bottom>
      <diagonal/>
    </border>
    <border>
      <left style="medium">
        <color rgb="FFE2E2E2"/>
      </left>
      <right style="medium">
        <color rgb="FFE2E2E2"/>
      </right>
      <top style="medium">
        <color rgb="FFE2E2E2"/>
      </top>
      <bottom style="medium">
        <color rgb="FFE2E2E2"/>
      </bottom>
      <diagonal/>
    </border>
    <border>
      <left/>
      <right/>
      <top style="medium">
        <color indexed="64"/>
      </top>
      <bottom/>
      <diagonal/>
    </border>
  </borders>
  <cellStyleXfs count="8">
    <xf numFmtId="0" fontId="0" fillId="0" borderId="0"/>
    <xf numFmtId="166" fontId="2" fillId="0" borderId="0"/>
    <xf numFmtId="43" fontId="3" fillId="0" borderId="0" applyFont="0" applyFill="0" applyBorder="0" applyAlignment="0" applyProtection="0"/>
    <xf numFmtId="0" fontId="1" fillId="0" borderId="0"/>
    <xf numFmtId="9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0" borderId="0"/>
  </cellStyleXfs>
  <cellXfs count="480">
    <xf numFmtId="0" fontId="0" fillId="0" borderId="0" xfId="0"/>
    <xf numFmtId="0" fontId="5" fillId="0" borderId="0" xfId="0" applyFont="1"/>
    <xf numFmtId="0" fontId="4" fillId="2" borderId="0" xfId="0" applyNumberFormat="1" applyFont="1" applyFill="1" applyAlignment="1">
      <alignment horizontal="left" vertical="top"/>
    </xf>
    <xf numFmtId="0" fontId="6" fillId="0" borderId="0" xfId="0" applyNumberFormat="1" applyFont="1"/>
    <xf numFmtId="0" fontId="6" fillId="0" borderId="0" xfId="0" applyNumberFormat="1" applyFont="1" applyAlignment="1">
      <alignment horizontal="center"/>
    </xf>
    <xf numFmtId="0" fontId="4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"/>
    </xf>
    <xf numFmtId="0" fontId="4" fillId="0" borderId="2" xfId="0" applyNumberFormat="1" applyFont="1" applyBorder="1" applyAlignment="1">
      <alignment horizontal="center" wrapText="1"/>
    </xf>
    <xf numFmtId="164" fontId="5" fillId="0" borderId="0" xfId="0" applyNumberFormat="1" applyFont="1"/>
    <xf numFmtId="167" fontId="5" fillId="0" borderId="0" xfId="0" applyNumberFormat="1" applyFont="1"/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center" wrapText="1"/>
    </xf>
    <xf numFmtId="166" fontId="8" fillId="4" borderId="6" xfId="1" applyFont="1" applyFill="1" applyBorder="1" applyAlignment="1">
      <alignment horizontal="left" vertical="center"/>
    </xf>
    <xf numFmtId="166" fontId="8" fillId="4" borderId="7" xfId="1" applyFont="1" applyFill="1" applyBorder="1" applyAlignment="1">
      <alignment horizontal="left" vertical="center"/>
    </xf>
    <xf numFmtId="168" fontId="9" fillId="4" borderId="5" xfId="7" applyNumberFormat="1" applyFont="1" applyFill="1" applyBorder="1" applyAlignment="1" applyProtection="1">
      <alignment horizontal="left" vertical="center"/>
    </xf>
    <xf numFmtId="168" fontId="10" fillId="4" borderId="7" xfId="7" applyNumberFormat="1" applyFont="1" applyFill="1" applyBorder="1" applyAlignment="1" applyProtection="1">
      <alignment horizontal="center" vertical="center"/>
    </xf>
    <xf numFmtId="166" fontId="8" fillId="4" borderId="7" xfId="1" applyFont="1" applyFill="1" applyBorder="1" applyAlignment="1">
      <alignment horizontal="right" vertical="center"/>
    </xf>
    <xf numFmtId="166" fontId="2" fillId="0" borderId="0" xfId="1" applyFont="1" applyBorder="1"/>
    <xf numFmtId="166" fontId="2" fillId="0" borderId="0" xfId="1" applyFont="1"/>
    <xf numFmtId="166" fontId="8" fillId="4" borderId="9" xfId="1" applyFont="1" applyFill="1" applyBorder="1" applyAlignment="1">
      <alignment vertical="center"/>
    </xf>
    <xf numFmtId="166" fontId="8" fillId="4" borderId="0" xfId="1" applyFont="1" applyFill="1" applyBorder="1" applyAlignment="1">
      <alignment vertical="center"/>
    </xf>
    <xf numFmtId="168" fontId="10" fillId="4" borderId="0" xfId="7" applyNumberFormat="1" applyFont="1" applyFill="1" applyBorder="1" applyAlignment="1" applyProtection="1">
      <alignment horizontal="center" vertical="center"/>
    </xf>
    <xf numFmtId="166" fontId="8" fillId="4" borderId="0" xfId="1" applyFont="1" applyFill="1" applyBorder="1" applyAlignment="1">
      <alignment horizontal="right" vertical="center"/>
    </xf>
    <xf numFmtId="0" fontId="9" fillId="4" borderId="5" xfId="7" applyFont="1" applyFill="1" applyBorder="1" applyAlignment="1" applyProtection="1">
      <alignment horizontal="left" vertical="center"/>
    </xf>
    <xf numFmtId="0" fontId="12" fillId="4" borderId="0" xfId="7" applyFont="1" applyFill="1" applyBorder="1" applyAlignment="1" applyProtection="1">
      <alignment horizontal="center" vertical="center"/>
    </xf>
    <xf numFmtId="0" fontId="12" fillId="4" borderId="0" xfId="7" applyFont="1" applyFill="1" applyBorder="1" applyAlignment="1" applyProtection="1">
      <alignment horizontal="right" vertical="center"/>
    </xf>
    <xf numFmtId="0" fontId="12" fillId="4" borderId="0" xfId="7" applyFont="1" applyFill="1" applyBorder="1" applyAlignment="1" applyProtection="1">
      <alignment vertical="center"/>
    </xf>
    <xf numFmtId="0" fontId="8" fillId="4" borderId="0" xfId="7" applyFont="1" applyFill="1" applyBorder="1" applyAlignment="1" applyProtection="1">
      <alignment vertical="center"/>
    </xf>
    <xf numFmtId="2" fontId="12" fillId="4" borderId="0" xfId="7" applyNumberFormat="1" applyFont="1" applyFill="1" applyBorder="1" applyAlignment="1" applyProtection="1">
      <alignment vertical="center"/>
    </xf>
    <xf numFmtId="14" fontId="11" fillId="4" borderId="1" xfId="7" applyNumberFormat="1" applyFont="1" applyFill="1" applyBorder="1" applyAlignment="1" applyProtection="1">
      <alignment horizontal="left" vertical="center"/>
    </xf>
    <xf numFmtId="0" fontId="8" fillId="4" borderId="0" xfId="7" applyFont="1" applyFill="1" applyBorder="1" applyAlignment="1" applyProtection="1">
      <alignment horizontal="right" vertical="center"/>
    </xf>
    <xf numFmtId="2" fontId="8" fillId="4" borderId="0" xfId="7" applyNumberFormat="1" applyFont="1" applyFill="1" applyBorder="1" applyAlignment="1" applyProtection="1">
      <alignment horizontal="right" vertical="center"/>
    </xf>
    <xf numFmtId="49" fontId="13" fillId="5" borderId="2" xfId="1" applyNumberFormat="1" applyFont="1" applyFill="1" applyBorder="1" applyAlignment="1">
      <alignment horizontal="center" vertical="center" shrinkToFit="1"/>
    </xf>
    <xf numFmtId="166" fontId="2" fillId="0" borderId="0" xfId="1" applyFont="1" applyBorder="1" applyAlignment="1"/>
    <xf numFmtId="166" fontId="2" fillId="0" borderId="0" xfId="1" applyFont="1" applyAlignment="1"/>
    <xf numFmtId="0" fontId="8" fillId="4" borderId="0" xfId="7" applyFont="1" applyFill="1" applyBorder="1" applyAlignment="1" applyProtection="1">
      <alignment horizontal="left" vertical="center"/>
    </xf>
    <xf numFmtId="0" fontId="11" fillId="4" borderId="1" xfId="7" applyNumberFormat="1" applyFont="1" applyFill="1" applyBorder="1" applyAlignment="1" applyProtection="1">
      <alignment horizontal="left" vertical="center"/>
    </xf>
    <xf numFmtId="38" fontId="12" fillId="4" borderId="0" xfId="7" applyNumberFormat="1" applyFont="1" applyFill="1" applyBorder="1" applyAlignment="1" applyProtection="1">
      <alignment vertical="center"/>
    </xf>
    <xf numFmtId="169" fontId="14" fillId="0" borderId="9" xfId="7" applyNumberFormat="1" applyFont="1" applyBorder="1" applyProtection="1"/>
    <xf numFmtId="0" fontId="14" fillId="0" borderId="1" xfId="7" applyFont="1" applyBorder="1" applyAlignment="1" applyProtection="1">
      <alignment horizontal="center"/>
    </xf>
    <xf numFmtId="0" fontId="14" fillId="0" borderId="0" xfId="7" applyFont="1" applyBorder="1" applyAlignment="1" applyProtection="1">
      <alignment horizontal="center"/>
    </xf>
    <xf numFmtId="0" fontId="14" fillId="0" borderId="0" xfId="7" applyFont="1" applyBorder="1" applyProtection="1"/>
    <xf numFmtId="170" fontId="14" fillId="0" borderId="1" xfId="7" applyNumberFormat="1" applyFont="1" applyBorder="1" applyAlignment="1" applyProtection="1">
      <alignment horizontal="center"/>
    </xf>
    <xf numFmtId="0" fontId="14" fillId="0" borderId="1" xfId="7" applyFont="1" applyBorder="1" applyAlignment="1" applyProtection="1">
      <alignment horizontal="right"/>
    </xf>
    <xf numFmtId="0" fontId="14" fillId="0" borderId="0" xfId="7" applyFont="1" applyBorder="1" applyAlignment="1" applyProtection="1">
      <alignment horizontal="right"/>
    </xf>
    <xf numFmtId="171" fontId="14" fillId="0" borderId="0" xfId="7" applyNumberFormat="1" applyFont="1" applyBorder="1" applyProtection="1"/>
    <xf numFmtId="38" fontId="14" fillId="0" borderId="0" xfId="7" applyNumberFormat="1" applyFont="1" applyBorder="1" applyProtection="1"/>
    <xf numFmtId="172" fontId="14" fillId="0" borderId="10" xfId="7" applyNumberFormat="1" applyFont="1" applyBorder="1" applyProtection="1"/>
    <xf numFmtId="168" fontId="15" fillId="0" borderId="2" xfId="7" applyNumberFormat="1" applyFont="1" applyBorder="1" applyAlignment="1" applyProtection="1">
      <alignment horizontal="center" wrapText="1"/>
    </xf>
    <xf numFmtId="172" fontId="15" fillId="0" borderId="2" xfId="7" applyNumberFormat="1" applyFont="1" applyBorder="1" applyAlignment="1" applyProtection="1">
      <alignment horizontal="center" wrapText="1"/>
    </xf>
    <xf numFmtId="38" fontId="15" fillId="0" borderId="2" xfId="7" applyNumberFormat="1" applyFont="1" applyBorder="1" applyAlignment="1" applyProtection="1">
      <alignment horizontal="center" wrapText="1"/>
    </xf>
    <xf numFmtId="166" fontId="2" fillId="0" borderId="0" xfId="1" applyFont="1" applyBorder="1" applyAlignment="1">
      <alignment wrapText="1"/>
    </xf>
    <xf numFmtId="166" fontId="2" fillId="0" borderId="0" xfId="1" applyFont="1" applyAlignment="1">
      <alignment wrapText="1"/>
    </xf>
    <xf numFmtId="0" fontId="14" fillId="0" borderId="0" xfId="7" applyFont="1" applyProtection="1"/>
    <xf numFmtId="168" fontId="15" fillId="0" borderId="6" xfId="7" applyNumberFormat="1" applyFont="1" applyBorder="1" applyAlignment="1" applyProtection="1"/>
    <xf numFmtId="40" fontId="15" fillId="3" borderId="2" xfId="7" applyNumberFormat="1" applyFont="1" applyFill="1" applyBorder="1" applyAlignment="1" applyProtection="1">
      <alignment horizontal="center"/>
    </xf>
    <xf numFmtId="168" fontId="16" fillId="3" borderId="4" xfId="7" applyNumberFormat="1" applyFont="1" applyFill="1" applyBorder="1" applyAlignment="1" applyProtection="1">
      <alignment vertical="center"/>
      <protection locked="0"/>
    </xf>
    <xf numFmtId="49" fontId="3" fillId="6" borderId="2" xfId="7" applyNumberFormat="1" applyFont="1" applyFill="1" applyBorder="1" applyAlignment="1" applyProtection="1">
      <alignment horizontal="center"/>
    </xf>
    <xf numFmtId="40" fontId="3" fillId="6" borderId="2" xfId="7" applyNumberFormat="1" applyFont="1" applyFill="1" applyBorder="1" applyAlignment="1" applyProtection="1">
      <alignment horizontal="center"/>
    </xf>
    <xf numFmtId="40" fontId="3" fillId="0" borderId="3" xfId="7" applyNumberFormat="1" applyFont="1" applyFill="1" applyBorder="1" applyAlignment="1" applyProtection="1">
      <alignment horizontal="center"/>
    </xf>
    <xf numFmtId="38" fontId="3" fillId="0" borderId="10" xfId="7" applyNumberFormat="1" applyFont="1" applyFill="1" applyBorder="1" applyProtection="1"/>
    <xf numFmtId="38" fontId="3" fillId="0" borderId="3" xfId="7" applyNumberFormat="1" applyFont="1" applyFill="1" applyBorder="1" applyProtection="1"/>
    <xf numFmtId="38" fontId="3" fillId="0" borderId="0" xfId="7" applyNumberFormat="1" applyFont="1" applyFill="1" applyBorder="1" applyProtection="1"/>
    <xf numFmtId="49" fontId="3" fillId="7" borderId="11" xfId="7" applyNumberFormat="1" applyFont="1" applyFill="1" applyBorder="1" applyAlignment="1" applyProtection="1">
      <alignment horizontal="center"/>
    </xf>
    <xf numFmtId="49" fontId="3" fillId="7" borderId="0" xfId="7" applyNumberFormat="1" applyFont="1" applyFill="1" applyBorder="1" applyAlignment="1" applyProtection="1">
      <alignment horizontal="center"/>
    </xf>
    <xf numFmtId="49" fontId="3" fillId="7" borderId="1" xfId="7" applyNumberFormat="1" applyFont="1" applyFill="1" applyBorder="1" applyAlignment="1" applyProtection="1">
      <alignment horizontal="center"/>
    </xf>
    <xf numFmtId="49" fontId="3" fillId="7" borderId="14" xfId="7" applyNumberFormat="1" applyFont="1" applyFill="1" applyBorder="1" applyAlignment="1" applyProtection="1">
      <alignment horizontal="center"/>
    </xf>
    <xf numFmtId="49" fontId="3" fillId="7" borderId="10" xfId="7" applyNumberFormat="1" applyFont="1" applyFill="1" applyBorder="1" applyAlignment="1" applyProtection="1">
      <alignment horizontal="center"/>
    </xf>
    <xf numFmtId="40" fontId="3" fillId="7" borderId="10" xfId="7" applyNumberFormat="1" applyFont="1" applyFill="1" applyBorder="1" applyAlignment="1" applyProtection="1"/>
    <xf numFmtId="168" fontId="18" fillId="8" borderId="0" xfId="7" applyNumberFormat="1" applyFont="1" applyFill="1" applyBorder="1" applyAlignment="1" applyProtection="1">
      <alignment horizontal="left" vertical="top" wrapText="1"/>
      <protection locked="0"/>
    </xf>
    <xf numFmtId="168" fontId="18" fillId="8" borderId="10" xfId="7" applyNumberFormat="1" applyFont="1" applyFill="1" applyBorder="1" applyAlignment="1" applyProtection="1">
      <alignment horizontal="left" vertical="top" wrapText="1"/>
      <protection locked="0"/>
    </xf>
    <xf numFmtId="0" fontId="14" fillId="0" borderId="2" xfId="7" applyFont="1" applyBorder="1" applyProtection="1"/>
    <xf numFmtId="0" fontId="20" fillId="0" borderId="2" xfId="7" applyFont="1" applyBorder="1" applyAlignment="1" applyProtection="1">
      <alignment horizontal="center" wrapText="1"/>
    </xf>
    <xf numFmtId="40" fontId="20" fillId="0" borderId="2" xfId="7" applyNumberFormat="1" applyFont="1" applyBorder="1" applyAlignment="1" applyProtection="1">
      <alignment horizontal="center" wrapText="1"/>
    </xf>
    <xf numFmtId="3" fontId="20" fillId="0" borderId="2" xfId="7" applyNumberFormat="1" applyFont="1" applyBorder="1" applyAlignment="1" applyProtection="1">
      <alignment horizontal="center" wrapText="1"/>
    </xf>
    <xf numFmtId="2" fontId="15" fillId="0" borderId="13" xfId="7" applyNumberFormat="1" applyFont="1" applyBorder="1" applyProtection="1"/>
    <xf numFmtId="49" fontId="3" fillId="0" borderId="15" xfId="7" applyNumberFormat="1" applyFont="1" applyBorder="1" applyAlignment="1" applyProtection="1">
      <alignment horizontal="center"/>
    </xf>
    <xf numFmtId="168" fontId="15" fillId="0" borderId="15" xfId="7" applyNumberFormat="1" applyFont="1" applyBorder="1" applyAlignment="1" applyProtection="1"/>
    <xf numFmtId="175" fontId="15" fillId="3" borderId="14" xfId="7" applyNumberFormat="1" applyFont="1" applyFill="1" applyBorder="1" applyAlignment="1" applyProtection="1">
      <alignment horizontal="center"/>
    </xf>
    <xf numFmtId="38" fontId="15" fillId="3" borderId="8" xfId="7" applyNumberFormat="1" applyFont="1" applyFill="1" applyBorder="1" applyProtection="1"/>
    <xf numFmtId="38" fontId="15" fillId="3" borderId="2" xfId="7" applyNumberFormat="1" applyFont="1" applyFill="1" applyBorder="1" applyProtection="1"/>
    <xf numFmtId="38" fontId="3" fillId="0" borderId="3" xfId="7" applyNumberFormat="1" applyFont="1" applyBorder="1" applyProtection="1"/>
    <xf numFmtId="2" fontId="15" fillId="0" borderId="3" xfId="7" applyNumberFormat="1" applyFont="1" applyBorder="1" applyProtection="1"/>
    <xf numFmtId="49" fontId="3" fillId="0" borderId="10" xfId="7" applyNumberFormat="1" applyFont="1" applyBorder="1" applyAlignment="1" applyProtection="1">
      <alignment horizontal="center"/>
    </xf>
    <xf numFmtId="168" fontId="15" fillId="0" borderId="9" xfId="7" applyNumberFormat="1" applyFont="1" applyBorder="1" applyAlignment="1" applyProtection="1"/>
    <xf numFmtId="2" fontId="3" fillId="0" borderId="3" xfId="7" applyNumberFormat="1" applyFont="1" applyBorder="1" applyProtection="1"/>
    <xf numFmtId="38" fontId="14" fillId="0" borderId="3" xfId="7" applyNumberFormat="1" applyFont="1" applyBorder="1" applyProtection="1"/>
    <xf numFmtId="0" fontId="3" fillId="6" borderId="2" xfId="7" applyFont="1" applyFill="1" applyBorder="1" applyAlignment="1" applyProtection="1">
      <alignment horizontal="center"/>
    </xf>
    <xf numFmtId="38" fontId="3" fillId="6" borderId="2" xfId="7" applyNumberFormat="1" applyFont="1" applyFill="1" applyBorder="1" applyProtection="1"/>
    <xf numFmtId="38" fontId="3" fillId="3" borderId="2" xfId="7" applyNumberFormat="1" applyFont="1" applyFill="1" applyBorder="1" applyProtection="1"/>
    <xf numFmtId="38" fontId="15" fillId="3" borderId="13" xfId="7" applyNumberFormat="1" applyFont="1" applyFill="1" applyBorder="1" applyProtection="1"/>
    <xf numFmtId="38" fontId="3" fillId="6" borderId="13" xfId="7" applyNumberFormat="1" applyFont="1" applyFill="1" applyBorder="1" applyProtection="1"/>
    <xf numFmtId="38" fontId="3" fillId="6" borderId="3" xfId="7" applyNumberFormat="1" applyFont="1" applyFill="1" applyBorder="1" applyProtection="1"/>
    <xf numFmtId="0" fontId="3" fillId="0" borderId="16" xfId="7" applyFont="1" applyBorder="1" applyProtection="1"/>
    <xf numFmtId="0" fontId="3" fillId="8" borderId="3" xfId="7" applyFont="1" applyFill="1" applyBorder="1" applyProtection="1"/>
    <xf numFmtId="0" fontId="3" fillId="8" borderId="10" xfId="7" applyFont="1" applyFill="1" applyBorder="1" applyProtection="1"/>
    <xf numFmtId="0" fontId="3" fillId="8" borderId="3" xfId="7" applyFont="1" applyFill="1" applyBorder="1" applyAlignment="1" applyProtection="1">
      <alignment horizontal="center"/>
    </xf>
    <xf numFmtId="40" fontId="3" fillId="8" borderId="3" xfId="7" applyNumberFormat="1" applyFont="1" applyFill="1" applyBorder="1" applyAlignment="1" applyProtection="1">
      <alignment horizontal="center"/>
    </xf>
    <xf numFmtId="38" fontId="15" fillId="8" borderId="3" xfId="7" applyNumberFormat="1" applyFont="1" applyFill="1" applyBorder="1" applyProtection="1"/>
    <xf numFmtId="0" fontId="3" fillId="8" borderId="9" xfId="7" applyFont="1" applyFill="1" applyBorder="1" applyProtection="1"/>
    <xf numFmtId="0" fontId="3" fillId="0" borderId="3" xfId="7" applyFont="1" applyFill="1" applyBorder="1" applyProtection="1"/>
    <xf numFmtId="0" fontId="3" fillId="0" borderId="10" xfId="7" applyFont="1" applyFill="1" applyBorder="1" applyProtection="1"/>
    <xf numFmtId="0" fontId="3" fillId="0" borderId="3" xfId="7" applyFont="1" applyFill="1" applyBorder="1" applyAlignment="1" applyProtection="1">
      <alignment horizontal="center"/>
    </xf>
    <xf numFmtId="40" fontId="20" fillId="0" borderId="13" xfId="7" applyNumberFormat="1" applyFont="1" applyBorder="1" applyAlignment="1" applyProtection="1">
      <alignment horizontal="center"/>
    </xf>
    <xf numFmtId="0" fontId="20" fillId="0" borderId="0" xfId="7" applyFont="1" applyBorder="1" applyAlignment="1" applyProtection="1">
      <alignment horizontal="center"/>
    </xf>
    <xf numFmtId="0" fontId="3" fillId="0" borderId="0" xfId="7" applyFont="1" applyFill="1" applyBorder="1" applyProtection="1"/>
    <xf numFmtId="0" fontId="14" fillId="0" borderId="0" xfId="7" applyFont="1" applyFill="1" applyBorder="1" applyProtection="1"/>
    <xf numFmtId="0" fontId="14" fillId="0" borderId="0" xfId="7" applyFont="1" applyFill="1" applyProtection="1"/>
    <xf numFmtId="168" fontId="15" fillId="0" borderId="10" xfId="7" applyNumberFormat="1" applyFont="1" applyBorder="1" applyAlignment="1" applyProtection="1"/>
    <xf numFmtId="0" fontId="3" fillId="0" borderId="3" xfId="7" applyFont="1" applyBorder="1" applyAlignment="1" applyProtection="1">
      <alignment horizontal="center"/>
    </xf>
    <xf numFmtId="0" fontId="3" fillId="0" borderId="0" xfId="7" applyFont="1" applyBorder="1" applyProtection="1"/>
    <xf numFmtId="0" fontId="3" fillId="0" borderId="10" xfId="7" applyFont="1" applyBorder="1" applyProtection="1"/>
    <xf numFmtId="0" fontId="3" fillId="0" borderId="9" xfId="7" applyFont="1" applyBorder="1" applyAlignment="1" applyProtection="1">
      <alignment horizontal="center"/>
    </xf>
    <xf numFmtId="38" fontId="15" fillId="3" borderId="3" xfId="7" applyNumberFormat="1" applyFont="1" applyFill="1" applyBorder="1" applyProtection="1"/>
    <xf numFmtId="168" fontId="3" fillId="0" borderId="9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2" fontId="3" fillId="6" borderId="2" xfId="7" applyNumberFormat="1" applyFont="1" applyFill="1" applyBorder="1" applyProtection="1"/>
    <xf numFmtId="2" fontId="15" fillId="0" borderId="2" xfId="7" applyNumberFormat="1" applyFont="1" applyBorder="1" applyProtection="1"/>
    <xf numFmtId="49" fontId="3" fillId="0" borderId="8" xfId="7" applyNumberFormat="1" applyFont="1" applyBorder="1" applyAlignment="1" applyProtection="1">
      <alignment horizontal="center"/>
    </xf>
    <xf numFmtId="168" fontId="15" fillId="0" borderId="4" xfId="7" applyNumberFormat="1" applyFont="1" applyBorder="1" applyAlignment="1" applyProtection="1"/>
    <xf numFmtId="168" fontId="15" fillId="0" borderId="8" xfId="7" applyNumberFormat="1" applyFont="1" applyBorder="1" applyAlignment="1" applyProtection="1"/>
    <xf numFmtId="0" fontId="3" fillId="0" borderId="11" xfId="7" applyFont="1" applyBorder="1" applyAlignment="1" applyProtection="1">
      <alignment horizontal="center"/>
    </xf>
    <xf numFmtId="0" fontId="3" fillId="0" borderId="1" xfId="7" applyFont="1" applyBorder="1" applyProtection="1"/>
    <xf numFmtId="0" fontId="3" fillId="0" borderId="14" xfId="7" applyFont="1" applyBorder="1" applyProtection="1"/>
    <xf numFmtId="2" fontId="14" fillId="0" borderId="0" xfId="7" applyNumberFormat="1" applyFont="1" applyProtection="1"/>
    <xf numFmtId="168" fontId="14" fillId="0" borderId="0" xfId="7" applyNumberFormat="1" applyFont="1" applyAlignment="1" applyProtection="1">
      <alignment horizontal="center"/>
    </xf>
    <xf numFmtId="170" fontId="14" fillId="0" borderId="0" xfId="7" applyNumberFormat="1" applyFont="1" applyAlignment="1" applyProtection="1">
      <alignment horizontal="center"/>
    </xf>
    <xf numFmtId="0" fontId="14" fillId="0" borderId="0" xfId="7" applyFont="1" applyAlignment="1" applyProtection="1">
      <alignment horizontal="center"/>
    </xf>
    <xf numFmtId="172" fontId="14" fillId="0" borderId="0" xfId="7" applyNumberFormat="1" applyFont="1" applyProtection="1"/>
    <xf numFmtId="38" fontId="14" fillId="0" borderId="0" xfId="7" applyNumberFormat="1" applyFont="1" applyProtection="1"/>
    <xf numFmtId="0" fontId="6" fillId="0" borderId="0" xfId="0" applyNumberFormat="1" applyFont="1" applyFill="1" applyBorder="1"/>
    <xf numFmtId="168" fontId="15" fillId="0" borderId="7" xfId="7" applyNumberFormat="1" applyFont="1" applyBorder="1" applyAlignment="1" applyProtection="1"/>
    <xf numFmtId="168" fontId="15" fillId="0" borderId="0" xfId="7" applyNumberFormat="1" applyFont="1" applyBorder="1" applyAlignment="1" applyProtection="1">
      <alignment horizontal="right"/>
    </xf>
    <xf numFmtId="175" fontId="15" fillId="0" borderId="13" xfId="7" applyNumberFormat="1" applyFont="1" applyFill="1" applyBorder="1" applyProtection="1"/>
    <xf numFmtId="0" fontId="3" fillId="0" borderId="12" xfId="7" applyFont="1" applyFill="1" applyBorder="1" applyAlignment="1" applyProtection="1">
      <alignment horizontal="center"/>
    </xf>
    <xf numFmtId="0" fontId="3" fillId="0" borderId="13" xfId="7" applyFont="1" applyFill="1" applyBorder="1" applyAlignment="1" applyProtection="1">
      <alignment horizontal="center"/>
    </xf>
    <xf numFmtId="168" fontId="15" fillId="0" borderId="1" xfId="7" applyNumberFormat="1" applyFont="1" applyFill="1" applyBorder="1" applyAlignment="1" applyProtection="1">
      <alignment horizontal="center" vertical="center" wrapText="1"/>
    </xf>
    <xf numFmtId="38" fontId="19" fillId="0" borderId="0" xfId="7" applyNumberFormat="1" applyFont="1" applyFill="1" applyBorder="1" applyAlignment="1" applyProtection="1">
      <alignment horizontal="center" vertical="center"/>
      <protection locked="0"/>
    </xf>
    <xf numFmtId="38" fontId="19" fillId="0" borderId="0" xfId="7" applyNumberFormat="1" applyFont="1" applyFill="1" applyBorder="1" applyAlignment="1" applyProtection="1">
      <alignment horizontal="center" vertical="center"/>
    </xf>
    <xf numFmtId="49" fontId="3" fillId="1" borderId="9" xfId="7" applyNumberFormat="1" applyFont="1" applyFill="1" applyBorder="1" applyAlignment="1" applyProtection="1">
      <alignment horizontal="center" vertical="center"/>
    </xf>
    <xf numFmtId="49" fontId="3" fillId="1" borderId="6" xfId="7" applyNumberFormat="1" applyFont="1" applyFill="1" applyBorder="1" applyAlignment="1" applyProtection="1">
      <alignment horizontal="center" vertical="center"/>
    </xf>
    <xf numFmtId="1" fontId="3" fillId="0" borderId="13" xfId="7" applyNumberFormat="1" applyFont="1" applyBorder="1" applyAlignment="1" applyProtection="1">
      <alignment horizontal="center" vertical="center"/>
    </xf>
    <xf numFmtId="172" fontId="3" fillId="0" borderId="13" xfId="7" applyNumberFormat="1" applyFont="1" applyBorder="1" applyAlignment="1" applyProtection="1">
      <alignment horizontal="center" vertical="center"/>
    </xf>
    <xf numFmtId="173" fontId="3" fillId="0" borderId="13" xfId="7" applyNumberFormat="1" applyFont="1" applyBorder="1" applyAlignment="1" applyProtection="1">
      <alignment horizontal="right" vertical="center"/>
    </xf>
    <xf numFmtId="38" fontId="3" fillId="0" borderId="13" xfId="7" applyNumberFormat="1" applyFont="1" applyBorder="1" applyAlignment="1" applyProtection="1">
      <alignment horizontal="right" vertical="center"/>
    </xf>
    <xf numFmtId="172" fontId="3" fillId="0" borderId="13" xfId="7" applyNumberFormat="1" applyFont="1" applyBorder="1" applyAlignment="1" applyProtection="1">
      <alignment horizontal="right" vertical="center"/>
    </xf>
    <xf numFmtId="174" fontId="3" fillId="0" borderId="13" xfId="7" applyNumberFormat="1" applyFont="1" applyBorder="1" applyAlignment="1" applyProtection="1">
      <alignment horizontal="right" vertical="center"/>
    </xf>
    <xf numFmtId="0" fontId="14" fillId="0" borderId="0" xfId="7" applyFont="1" applyBorder="1" applyAlignment="1" applyProtection="1">
      <alignment vertical="center"/>
    </xf>
    <xf numFmtId="166" fontId="2" fillId="0" borderId="0" xfId="1" applyFont="1" applyBorder="1" applyAlignment="1">
      <alignment vertical="center"/>
    </xf>
    <xf numFmtId="166" fontId="2" fillId="0" borderId="0" xfId="1" applyFont="1" applyAlignment="1">
      <alignment vertical="center"/>
    </xf>
    <xf numFmtId="1" fontId="15" fillId="0" borderId="3" xfId="7" applyNumberFormat="1" applyFont="1" applyBorder="1" applyAlignment="1" applyProtection="1">
      <alignment horizontal="center" vertical="center"/>
    </xf>
    <xf numFmtId="40" fontId="3" fillId="3" borderId="3" xfId="7" applyNumberFormat="1" applyFont="1" applyFill="1" applyBorder="1" applyAlignment="1" applyProtection="1">
      <alignment horizontal="center" vertical="center"/>
    </xf>
    <xf numFmtId="38" fontId="3" fillId="3" borderId="3" xfId="7" applyNumberFormat="1" applyFont="1" applyFill="1" applyBorder="1" applyAlignment="1" applyProtection="1">
      <alignment horizontal="right" vertical="center"/>
    </xf>
    <xf numFmtId="0" fontId="14" fillId="0" borderId="0" xfId="7" applyFont="1" applyAlignment="1" applyProtection="1">
      <alignment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49" fontId="3" fillId="1" borderId="3" xfId="7" applyNumberFormat="1" applyFont="1" applyFill="1" applyBorder="1" applyAlignment="1" applyProtection="1">
      <alignment horizontal="center" vertical="center"/>
    </xf>
    <xf numFmtId="168" fontId="15" fillId="0" borderId="6" xfId="7" applyNumberFormat="1" applyFont="1" applyBorder="1" applyAlignment="1" applyProtection="1">
      <alignment vertical="center"/>
    </xf>
    <xf numFmtId="168" fontId="15" fillId="0" borderId="5" xfId="7" applyNumberFormat="1" applyFont="1" applyBorder="1" applyAlignment="1" applyProtection="1">
      <alignment vertical="center"/>
    </xf>
    <xf numFmtId="38" fontId="15" fillId="3" borderId="2" xfId="7" applyNumberFormat="1" applyFont="1" applyFill="1" applyBorder="1" applyAlignment="1" applyProtection="1">
      <alignment horizontal="right" vertical="center"/>
    </xf>
    <xf numFmtId="1" fontId="12" fillId="0" borderId="12" xfId="7" applyNumberFormat="1" applyFont="1" applyBorder="1" applyAlignment="1" applyProtection="1">
      <alignment horizontal="right" vertical="center"/>
    </xf>
    <xf numFmtId="40" fontId="15" fillId="3" borderId="12" xfId="7" applyNumberFormat="1" applyFont="1" applyFill="1" applyBorder="1" applyAlignment="1" applyProtection="1">
      <alignment horizontal="center" vertical="center"/>
    </xf>
    <xf numFmtId="38" fontId="15" fillId="3" borderId="12" xfId="7" applyNumberFormat="1" applyFont="1" applyFill="1" applyBorder="1" applyAlignment="1" applyProtection="1">
      <alignment horizontal="right" vertical="center"/>
    </xf>
    <xf numFmtId="168" fontId="17" fillId="3" borderId="5" xfId="7" applyNumberFormat="1" applyFont="1" applyFill="1" applyBorder="1" applyAlignment="1" applyProtection="1">
      <alignment vertical="center" wrapText="1"/>
      <protection locked="0"/>
    </xf>
    <xf numFmtId="168" fontId="17" fillId="3" borderId="8" xfId="7" applyNumberFormat="1" applyFont="1" applyFill="1" applyBorder="1" applyAlignment="1" applyProtection="1">
      <alignment vertical="center" wrapText="1"/>
      <protection locked="0"/>
    </xf>
    <xf numFmtId="40" fontId="3" fillId="0" borderId="3" xfId="7" applyNumberFormat="1" applyFont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right" vertical="center"/>
    </xf>
    <xf numFmtId="176" fontId="3" fillId="0" borderId="3" xfId="6" applyNumberFormat="1" applyFont="1" applyBorder="1" applyAlignment="1" applyProtection="1">
      <alignment horizontal="right" vertical="center"/>
    </xf>
    <xf numFmtId="49" fontId="3" fillId="1" borderId="11" xfId="7" applyNumberFormat="1" applyFont="1" applyFill="1" applyBorder="1" applyAlignment="1" applyProtection="1">
      <alignment horizontal="center" vertical="center"/>
    </xf>
    <xf numFmtId="38" fontId="3" fillId="0" borderId="3" xfId="7" applyNumberFormat="1" applyFont="1" applyBorder="1" applyAlignment="1" applyProtection="1">
      <alignment horizontal="left" vertical="center"/>
    </xf>
    <xf numFmtId="177" fontId="3" fillId="0" borderId="3" xfId="7" applyNumberFormat="1" applyFont="1" applyBorder="1" applyAlignment="1" applyProtection="1">
      <alignment horizontal="left" vertical="center"/>
    </xf>
    <xf numFmtId="49" fontId="3" fillId="6" borderId="2" xfId="7" applyNumberFormat="1" applyFont="1" applyFill="1" applyBorder="1" applyAlignment="1" applyProtection="1">
      <alignment vertical="center"/>
    </xf>
    <xf numFmtId="49" fontId="3" fillId="6" borderId="2" xfId="7" applyNumberFormat="1" applyFont="1" applyFill="1" applyBorder="1" applyAlignment="1" applyProtection="1">
      <alignment horizontal="center" vertical="center"/>
    </xf>
    <xf numFmtId="1" fontId="15" fillId="6" borderId="2" xfId="7" applyNumberFormat="1" applyFont="1" applyFill="1" applyBorder="1" applyAlignment="1" applyProtection="1">
      <alignment horizontal="center" vertical="center"/>
    </xf>
    <xf numFmtId="40" fontId="3" fillId="6" borderId="2" xfId="7" applyNumberFormat="1" applyFont="1" applyFill="1" applyBorder="1" applyAlignment="1" applyProtection="1">
      <alignment horizontal="center" vertical="center"/>
    </xf>
    <xf numFmtId="38" fontId="3" fillId="6" borderId="2" xfId="7" applyNumberFormat="1" applyFont="1" applyFill="1" applyBorder="1" applyAlignment="1" applyProtection="1">
      <alignment horizontal="right" vertical="center"/>
    </xf>
    <xf numFmtId="38" fontId="3" fillId="3" borderId="2" xfId="7" applyNumberFormat="1" applyFont="1" applyFill="1" applyBorder="1" applyAlignment="1" applyProtection="1">
      <alignment horizontal="right" vertical="center"/>
    </xf>
    <xf numFmtId="0" fontId="14" fillId="0" borderId="1" xfId="7" applyFont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vertical="center"/>
    </xf>
    <xf numFmtId="49" fontId="3" fillId="6" borderId="12" xfId="7" applyNumberFormat="1" applyFont="1" applyFill="1" applyBorder="1" applyAlignment="1" applyProtection="1">
      <alignment horizontal="center" vertical="center"/>
    </xf>
    <xf numFmtId="1" fontId="15" fillId="6" borderId="12" xfId="7" applyNumberFormat="1" applyFont="1" applyFill="1" applyBorder="1" applyAlignment="1" applyProtection="1">
      <alignment horizontal="center" vertical="center"/>
    </xf>
    <xf numFmtId="40" fontId="3" fillId="6" borderId="12" xfId="7" applyNumberFormat="1" applyFont="1" applyFill="1" applyBorder="1" applyAlignment="1" applyProtection="1">
      <alignment horizontal="center" vertical="center"/>
    </xf>
    <xf numFmtId="38" fontId="3" fillId="6" borderId="12" xfId="7" applyNumberFormat="1" applyFont="1" applyFill="1" applyBorder="1" applyAlignment="1" applyProtection="1">
      <alignment horizontal="right" vertical="center"/>
    </xf>
    <xf numFmtId="38" fontId="3" fillId="3" borderId="12" xfId="7" applyNumberFormat="1" applyFont="1" applyFill="1" applyBorder="1" applyAlignment="1" applyProtection="1">
      <alignment horizontal="right" vertical="center"/>
    </xf>
    <xf numFmtId="49" fontId="3" fillId="6" borderId="1" xfId="7" applyNumberFormat="1" applyFont="1" applyFill="1" applyBorder="1" applyAlignment="1" applyProtection="1">
      <alignment horizontal="center" vertical="center"/>
    </xf>
    <xf numFmtId="49" fontId="3" fillId="6" borderId="2" xfId="7" applyNumberFormat="1" applyFont="1" applyFill="1" applyBorder="1" applyAlignment="1" applyProtection="1">
      <alignment horizontal="left" vertical="center"/>
    </xf>
    <xf numFmtId="49" fontId="3" fillId="6" borderId="12" xfId="7" applyNumberFormat="1" applyFont="1" applyFill="1" applyBorder="1" applyAlignment="1" applyProtection="1">
      <alignment horizontal="left" vertical="center"/>
    </xf>
    <xf numFmtId="49" fontId="3" fillId="6" borderId="14" xfId="7" applyNumberFormat="1" applyFont="1" applyFill="1" applyBorder="1" applyAlignment="1" applyProtection="1">
      <alignment horizontal="left" vertical="center"/>
    </xf>
    <xf numFmtId="49" fontId="3" fillId="1" borderId="10" xfId="7" applyNumberFormat="1" applyFont="1" applyFill="1" applyBorder="1" applyAlignment="1" applyProtection="1">
      <alignment horizontal="center" vertical="center"/>
    </xf>
    <xf numFmtId="1" fontId="15" fillId="0" borderId="9" xfId="7" applyNumberFormat="1" applyFont="1" applyBorder="1" applyAlignment="1" applyProtection="1">
      <alignment horizontal="center" vertical="center"/>
    </xf>
    <xf numFmtId="40" fontId="3" fillId="3" borderId="13" xfId="7" applyNumberFormat="1" applyFont="1" applyFill="1" applyBorder="1" applyAlignment="1" applyProtection="1">
      <alignment horizontal="center" vertical="center"/>
    </xf>
    <xf numFmtId="38" fontId="3" fillId="3" borderId="15" xfId="7" applyNumberFormat="1" applyFont="1" applyFill="1" applyBorder="1" applyAlignment="1" applyProtection="1">
      <alignment horizontal="right" vertical="center"/>
    </xf>
    <xf numFmtId="38" fontId="3" fillId="3" borderId="13" xfId="7" applyNumberFormat="1" applyFont="1" applyFill="1" applyBorder="1" applyAlignment="1" applyProtection="1">
      <alignment horizontal="right" vertical="center"/>
    </xf>
    <xf numFmtId="38" fontId="3" fillId="3" borderId="10" xfId="7" applyNumberFormat="1" applyFont="1" applyFill="1" applyBorder="1" applyAlignment="1" applyProtection="1">
      <alignment horizontal="right" vertical="center"/>
    </xf>
    <xf numFmtId="168" fontId="3" fillId="0" borderId="10" xfId="7" applyNumberFormat="1" applyFont="1" applyBorder="1" applyAlignment="1" applyProtection="1">
      <alignment horizontal="left" vertical="center"/>
    </xf>
    <xf numFmtId="38" fontId="15" fillId="3" borderId="14" xfId="7" applyNumberFormat="1" applyFont="1" applyFill="1" applyBorder="1" applyAlignment="1" applyProtection="1">
      <alignment horizontal="right" vertical="center"/>
    </xf>
    <xf numFmtId="1" fontId="3" fillId="0" borderId="9" xfId="7" applyNumberFormat="1" applyFont="1" applyBorder="1" applyAlignment="1" applyProtection="1">
      <alignment horizontal="center" vertical="center"/>
    </xf>
    <xf numFmtId="40" fontId="3" fillId="0" borderId="3" xfId="7" applyNumberFormat="1" applyFont="1" applyFill="1" applyBorder="1" applyAlignment="1" applyProtection="1">
      <alignment horizontal="center" vertical="center"/>
    </xf>
    <xf numFmtId="38" fontId="3" fillId="0" borderId="10" xfId="7" applyNumberFormat="1" applyFont="1" applyFill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vertical="center"/>
    </xf>
    <xf numFmtId="38" fontId="3" fillId="0" borderId="9" xfId="7" applyNumberFormat="1" applyFont="1" applyFill="1" applyBorder="1" applyAlignment="1" applyProtection="1">
      <alignment vertical="center"/>
    </xf>
    <xf numFmtId="38" fontId="3" fillId="0" borderId="10" xfId="7" applyNumberFormat="1" applyFont="1" applyBorder="1" applyAlignment="1" applyProtection="1">
      <alignment vertical="center"/>
    </xf>
    <xf numFmtId="49" fontId="3" fillId="1" borderId="0" xfId="7" applyNumberFormat="1" applyFont="1" applyFill="1" applyBorder="1" applyAlignment="1" applyProtection="1">
      <alignment horizontal="center" vertical="center"/>
    </xf>
    <xf numFmtId="1" fontId="12" fillId="0" borderId="4" xfId="7" applyNumberFormat="1" applyFont="1" applyFill="1" applyBorder="1" applyAlignment="1" applyProtection="1">
      <alignment horizontal="right" vertical="center"/>
    </xf>
    <xf numFmtId="1" fontId="12" fillId="0" borderId="11" xfId="7" applyNumberFormat="1" applyFont="1" applyFill="1" applyBorder="1" applyAlignment="1" applyProtection="1">
      <alignment horizontal="right" vertical="center"/>
    </xf>
    <xf numFmtId="40" fontId="3" fillId="3" borderId="2" xfId="7" applyNumberFormat="1" applyFont="1" applyFill="1" applyBorder="1" applyAlignment="1" applyProtection="1">
      <alignment horizontal="center" vertical="center"/>
    </xf>
    <xf numFmtId="38" fontId="15" fillId="3" borderId="8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center" vertical="center"/>
    </xf>
    <xf numFmtId="49" fontId="3" fillId="0" borderId="0" xfId="7" applyNumberFormat="1" applyFont="1" applyFill="1" applyBorder="1" applyAlignment="1" applyProtection="1">
      <alignment horizontal="center" vertical="center"/>
    </xf>
    <xf numFmtId="1" fontId="12" fillId="0" borderId="0" xfId="7" applyNumberFormat="1" applyFont="1" applyFill="1" applyBorder="1" applyAlignment="1" applyProtection="1">
      <alignment horizontal="center" vertical="center"/>
    </xf>
    <xf numFmtId="1" fontId="12" fillId="0" borderId="10" xfId="7" applyNumberFormat="1" applyFont="1" applyFill="1" applyBorder="1" applyAlignment="1" applyProtection="1">
      <alignment horizontal="center" vertical="center"/>
    </xf>
    <xf numFmtId="38" fontId="15" fillId="0" borderId="0" xfId="7" applyNumberFormat="1" applyFont="1" applyFill="1" applyBorder="1" applyAlignment="1" applyProtection="1">
      <alignment horizontal="right" vertical="center"/>
    </xf>
    <xf numFmtId="38" fontId="19" fillId="0" borderId="10" xfId="7" applyNumberFormat="1" applyFont="1" applyFill="1" applyBorder="1" applyAlignment="1" applyProtection="1">
      <alignment vertical="center" wrapText="1"/>
      <protection locked="0"/>
    </xf>
    <xf numFmtId="0" fontId="14" fillId="0" borderId="0" xfId="7" applyFont="1" applyFill="1" applyBorder="1" applyAlignment="1" applyProtection="1">
      <alignment vertical="center"/>
    </xf>
    <xf numFmtId="0" fontId="14" fillId="0" borderId="0" xfId="7" applyFont="1" applyFill="1" applyAlignment="1" applyProtection="1">
      <alignment vertical="center"/>
    </xf>
    <xf numFmtId="168" fontId="15" fillId="0" borderId="0" xfId="7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>
      <alignment horizontal="left"/>
    </xf>
    <xf numFmtId="1" fontId="15" fillId="0" borderId="3" xfId="7" applyNumberFormat="1" applyFont="1" applyBorder="1" applyAlignment="1" applyProtection="1">
      <alignment horizontal="center"/>
    </xf>
    <xf numFmtId="38" fontId="3" fillId="3" borderId="3" xfId="7" applyNumberFormat="1" applyFont="1" applyFill="1" applyBorder="1" applyAlignment="1" applyProtection="1">
      <alignment horizontal="right"/>
    </xf>
    <xf numFmtId="38" fontId="15" fillId="3" borderId="3" xfId="7" applyNumberFormat="1" applyFont="1" applyFill="1" applyBorder="1" applyAlignment="1" applyProtection="1">
      <alignment horizontal="right"/>
    </xf>
    <xf numFmtId="40" fontId="15" fillId="3" borderId="3" xfId="7" applyNumberFormat="1" applyFont="1" applyFill="1" applyBorder="1" applyAlignment="1" applyProtection="1">
      <alignment horizontal="center"/>
    </xf>
    <xf numFmtId="38" fontId="15" fillId="3" borderId="3" xfId="7" applyNumberFormat="1" applyFont="1" applyFill="1" applyBorder="1" applyAlignment="1" applyProtection="1"/>
    <xf numFmtId="38" fontId="15" fillId="3" borderId="10" xfId="7" applyNumberFormat="1" applyFont="1" applyFill="1" applyBorder="1" applyAlignment="1" applyProtection="1">
      <alignment horizontal="right"/>
    </xf>
    <xf numFmtId="38" fontId="15" fillId="3" borderId="2" xfId="7" applyNumberFormat="1" applyFont="1" applyFill="1" applyBorder="1" applyAlignment="1" applyProtection="1">
      <alignment horizontal="right"/>
    </xf>
    <xf numFmtId="3" fontId="3" fillId="3" borderId="3" xfId="7" applyNumberFormat="1" applyFont="1" applyFill="1" applyBorder="1" applyProtection="1"/>
    <xf numFmtId="0" fontId="6" fillId="0" borderId="1" xfId="0" applyNumberFormat="1" applyFont="1" applyBorder="1"/>
    <xf numFmtId="164" fontId="6" fillId="3" borderId="0" xfId="0" applyNumberFormat="1" applyFont="1" applyFill="1" applyBorder="1" applyAlignment="1">
      <alignment horizontal="right" indent="4"/>
    </xf>
    <xf numFmtId="0" fontId="7" fillId="0" borderId="1" xfId="0" applyFont="1" applyBorder="1" applyAlignment="1">
      <alignment horizontal="center"/>
    </xf>
    <xf numFmtId="165" fontId="6" fillId="3" borderId="0" xfId="0" applyNumberFormat="1" applyFont="1" applyFill="1" applyBorder="1" applyAlignment="1">
      <alignment horizontal="right" indent="4"/>
    </xf>
    <xf numFmtId="165" fontId="5" fillId="3" borderId="0" xfId="0" applyNumberFormat="1" applyFont="1" applyFill="1" applyBorder="1" applyAlignment="1">
      <alignment horizontal="right" indent="4"/>
    </xf>
    <xf numFmtId="0" fontId="6" fillId="0" borderId="0" xfId="0" applyFont="1" applyFill="1"/>
    <xf numFmtId="0" fontId="6" fillId="0" borderId="0" xfId="0" applyNumberFormat="1" applyFont="1" applyFill="1" applyBorder="1" applyAlignment="1">
      <alignment horizontal="left" indent="4"/>
    </xf>
    <xf numFmtId="0" fontId="6" fillId="0" borderId="0" xfId="0" applyFont="1" applyFill="1" applyBorder="1" applyAlignment="1">
      <alignment horizontal="left" indent="4"/>
    </xf>
    <xf numFmtId="0" fontId="6" fillId="0" borderId="5" xfId="0" applyNumberFormat="1" applyFont="1" applyFill="1" applyBorder="1" applyAlignment="1">
      <alignment horizontal="left" indent="4"/>
    </xf>
    <xf numFmtId="164" fontId="6" fillId="3" borderId="5" xfId="0" applyNumberFormat="1" applyFont="1" applyFill="1" applyBorder="1" applyAlignment="1">
      <alignment horizontal="right" indent="4"/>
    </xf>
    <xf numFmtId="164" fontId="6" fillId="3" borderId="4" xfId="0" applyNumberFormat="1" applyFont="1" applyFill="1" applyBorder="1" applyAlignment="1">
      <alignment horizontal="right" indent="4"/>
    </xf>
    <xf numFmtId="0" fontId="3" fillId="9" borderId="13" xfId="7" applyFont="1" applyFill="1" applyBorder="1" applyAlignment="1" applyProtection="1">
      <alignment horizontal="center"/>
    </xf>
    <xf numFmtId="0" fontId="3" fillId="6" borderId="12" xfId="7" applyFont="1" applyFill="1" applyBorder="1" applyAlignment="1" applyProtection="1">
      <alignment horizontal="center"/>
    </xf>
    <xf numFmtId="49" fontId="3" fillId="1" borderId="12" xfId="7" applyNumberFormat="1" applyFont="1" applyFill="1" applyBorder="1" applyAlignment="1" applyProtection="1">
      <alignment horizontal="center" vertical="center"/>
    </xf>
    <xf numFmtId="168" fontId="15" fillId="11" borderId="2" xfId="7" applyNumberFormat="1" applyFont="1" applyFill="1" applyBorder="1" applyAlignment="1" applyProtection="1">
      <alignment horizontal="left" vertical="center" wrapText="1"/>
    </xf>
    <xf numFmtId="168" fontId="15" fillId="0" borderId="2" xfId="7" applyNumberFormat="1" applyFont="1" applyFill="1" applyBorder="1" applyAlignment="1" applyProtection="1">
      <alignment horizontal="left" vertical="center" wrapText="1" indent="1"/>
    </xf>
    <xf numFmtId="1" fontId="15" fillId="0" borderId="10" xfId="7" applyNumberFormat="1" applyFont="1" applyBorder="1" applyAlignment="1" applyProtection="1">
      <alignment horizontal="center" vertical="center"/>
    </xf>
    <xf numFmtId="168" fontId="3" fillId="6" borderId="8" xfId="7" applyNumberFormat="1" applyFont="1" applyFill="1" applyBorder="1" applyAlignment="1" applyProtection="1">
      <alignment vertical="center"/>
    </xf>
    <xf numFmtId="49" fontId="3" fillId="6" borderId="8" xfId="7" applyNumberFormat="1" applyFont="1" applyFill="1" applyBorder="1" applyAlignment="1" applyProtection="1">
      <alignment vertical="center"/>
    </xf>
    <xf numFmtId="168" fontId="3" fillId="6" borderId="2" xfId="7" applyNumberFormat="1" applyFont="1" applyFill="1" applyBorder="1" applyAlignment="1" applyProtection="1">
      <alignment vertical="center"/>
    </xf>
    <xf numFmtId="168" fontId="3" fillId="0" borderId="5" xfId="7" applyNumberFormat="1" applyFont="1" applyFill="1" applyBorder="1" applyAlignment="1" applyProtection="1">
      <alignment vertical="center"/>
    </xf>
    <xf numFmtId="168" fontId="15" fillId="0" borderId="5" xfId="7" applyNumberFormat="1" applyFont="1" applyFill="1" applyBorder="1" applyAlignment="1" applyProtection="1">
      <alignment horizontal="left" vertical="center" indent="1"/>
    </xf>
    <xf numFmtId="0" fontId="25" fillId="0" borderId="0" xfId="0" applyFont="1"/>
    <xf numFmtId="165" fontId="5" fillId="0" borderId="0" xfId="0" applyNumberFormat="1" applyFont="1"/>
    <xf numFmtId="0" fontId="0" fillId="0" borderId="0" xfId="0" applyFont="1"/>
    <xf numFmtId="0" fontId="26" fillId="0" borderId="0" xfId="0" applyFont="1"/>
    <xf numFmtId="0" fontId="27" fillId="0" borderId="0" xfId="0" applyFont="1"/>
    <xf numFmtId="0" fontId="28" fillId="0" borderId="0" xfId="0" applyFont="1"/>
    <xf numFmtId="0" fontId="29" fillId="0" borderId="0" xfId="0" applyFont="1" applyAlignment="1">
      <alignment horizont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15" fillId="0" borderId="4" xfId="7" applyFont="1" applyBorder="1" applyAlignment="1" applyProtection="1">
      <alignment horizontal="center" wrapText="1"/>
    </xf>
    <xf numFmtId="2" fontId="3" fillId="0" borderId="2" xfId="7" applyNumberFormat="1" applyFont="1" applyBorder="1" applyAlignment="1" applyProtection="1">
      <alignment horizontal="center" wrapText="1"/>
    </xf>
    <xf numFmtId="0" fontId="14" fillId="0" borderId="13" xfId="7" applyFont="1" applyBorder="1" applyAlignment="1" applyProtection="1">
      <alignment vertical="center"/>
    </xf>
    <xf numFmtId="38" fontId="3" fillId="0" borderId="3" xfId="7" applyNumberFormat="1" applyFont="1" applyFill="1" applyBorder="1" applyAlignment="1" applyProtection="1">
      <alignment horizontal="right" vertical="center"/>
    </xf>
    <xf numFmtId="38" fontId="15" fillId="3" borderId="4" xfId="7" applyNumberFormat="1" applyFont="1" applyFill="1" applyBorder="1" applyProtection="1"/>
    <xf numFmtId="38" fontId="3" fillId="6" borderId="8" xfId="7" applyNumberFormat="1" applyFont="1" applyFill="1" applyBorder="1" applyProtection="1"/>
    <xf numFmtId="38" fontId="3" fillId="6" borderId="15" xfId="7" applyNumberFormat="1" applyFont="1" applyFill="1" applyBorder="1" applyProtection="1"/>
    <xf numFmtId="38" fontId="15" fillId="0" borderId="0" xfId="7" applyNumberFormat="1" applyFont="1" applyFill="1" applyBorder="1" applyProtection="1"/>
    <xf numFmtId="38" fontId="3" fillId="6" borderId="9" xfId="7" applyNumberFormat="1" applyFont="1" applyFill="1" applyBorder="1" applyProtection="1"/>
    <xf numFmtId="38" fontId="3" fillId="6" borderId="4" xfId="7" applyNumberFormat="1" applyFont="1" applyFill="1" applyBorder="1" applyProtection="1"/>
    <xf numFmtId="38" fontId="15" fillId="3" borderId="5" xfId="7" applyNumberFormat="1" applyFont="1" applyFill="1" applyBorder="1" applyProtection="1"/>
    <xf numFmtId="38" fontId="3" fillId="3" borderId="13" xfId="7" applyNumberFormat="1" applyFont="1" applyFill="1" applyBorder="1" applyProtection="1"/>
    <xf numFmtId="38" fontId="15" fillId="0" borderId="3" xfId="7" applyNumberFormat="1" applyFont="1" applyFill="1" applyBorder="1" applyAlignment="1" applyProtection="1">
      <alignment horizontal="right"/>
    </xf>
    <xf numFmtId="38" fontId="15" fillId="0" borderId="11" xfId="7" applyNumberFormat="1" applyFont="1" applyFill="1" applyBorder="1" applyAlignment="1" applyProtection="1">
      <alignment horizontal="right" vertical="center"/>
    </xf>
    <xf numFmtId="38" fontId="15" fillId="0" borderId="1" xfId="7" applyNumberFormat="1" applyFont="1" applyFill="1" applyBorder="1" applyProtection="1"/>
    <xf numFmtId="40" fontId="3" fillId="0" borderId="9" xfId="7" applyNumberFormat="1" applyFont="1" applyFill="1" applyBorder="1" applyAlignment="1" applyProtection="1">
      <alignment horizontal="center"/>
    </xf>
    <xf numFmtId="40" fontId="15" fillId="3" borderId="10" xfId="7" applyNumberFormat="1" applyFont="1" applyFill="1" applyBorder="1" applyAlignment="1" applyProtection="1">
      <alignment horizontal="center"/>
    </xf>
    <xf numFmtId="40" fontId="3" fillId="0" borderId="0" xfId="7" applyNumberFormat="1" applyFont="1" applyFill="1" applyBorder="1" applyAlignment="1" applyProtection="1">
      <alignment horizontal="center"/>
    </xf>
    <xf numFmtId="38" fontId="15" fillId="3" borderId="15" xfId="7" applyNumberFormat="1" applyFont="1" applyFill="1" applyBorder="1" applyProtection="1"/>
    <xf numFmtId="38" fontId="15" fillId="3" borderId="7" xfId="7" applyNumberFormat="1" applyFont="1" applyFill="1" applyBorder="1" applyProtection="1"/>
    <xf numFmtId="38" fontId="3" fillId="6" borderId="6" xfId="7" applyNumberFormat="1" applyFont="1" applyFill="1" applyBorder="1" applyProtection="1"/>
    <xf numFmtId="40" fontId="3" fillId="6" borderId="10" xfId="7" applyNumberFormat="1" applyFont="1" applyFill="1" applyBorder="1" applyAlignment="1" applyProtection="1">
      <alignment horizontal="center"/>
    </xf>
    <xf numFmtId="0" fontId="29" fillId="0" borderId="0" xfId="0" applyFont="1" applyAlignment="1">
      <alignment horizontal="center"/>
    </xf>
    <xf numFmtId="38" fontId="15" fillId="3" borderId="4" xfId="7" applyNumberFormat="1" applyFont="1" applyFill="1" applyBorder="1" applyAlignment="1" applyProtection="1">
      <alignment horizontal="right" vertical="center"/>
    </xf>
    <xf numFmtId="38" fontId="15" fillId="0" borderId="3" xfId="7" applyNumberFormat="1" applyFont="1" applyFill="1" applyBorder="1" applyAlignment="1" applyProtection="1">
      <alignment horizontal="right" vertical="center"/>
    </xf>
    <xf numFmtId="49" fontId="3" fillId="0" borderId="9" xfId="7" applyNumberFormat="1" applyFont="1" applyFill="1" applyBorder="1" applyAlignment="1" applyProtection="1">
      <alignment horizontal="left" vertical="center"/>
    </xf>
    <xf numFmtId="49" fontId="3" fillId="0" borderId="10" xfId="7" applyNumberFormat="1" applyFont="1" applyFill="1" applyBorder="1" applyAlignment="1" applyProtection="1">
      <alignment horizontal="left" vertical="center"/>
    </xf>
    <xf numFmtId="168" fontId="3" fillId="0" borderId="9" xfId="7" applyNumberFormat="1" applyFont="1" applyFill="1" applyBorder="1" applyAlignment="1" applyProtection="1">
      <alignment vertical="center"/>
    </xf>
    <xf numFmtId="168" fontId="3" fillId="0" borderId="10" xfId="7" applyNumberFormat="1" applyFont="1" applyFill="1" applyBorder="1" applyAlignment="1" applyProtection="1">
      <alignment vertical="center"/>
    </xf>
    <xf numFmtId="1" fontId="15" fillId="0" borderId="3" xfId="7" applyNumberFormat="1" applyFont="1" applyFill="1" applyBorder="1" applyAlignment="1" applyProtection="1">
      <alignment horizontal="center" vertical="center"/>
    </xf>
    <xf numFmtId="38" fontId="15" fillId="0" borderId="9" xfId="7" applyNumberFormat="1" applyFont="1" applyFill="1" applyBorder="1" applyAlignment="1" applyProtection="1">
      <alignment horizontal="right" vertical="center"/>
    </xf>
    <xf numFmtId="38" fontId="3" fillId="3" borderId="3" xfId="7" applyNumberFormat="1" applyFont="1" applyFill="1" applyBorder="1" applyProtection="1"/>
    <xf numFmtId="40" fontId="3" fillId="3" borderId="3" xfId="7" applyNumberFormat="1" applyFont="1" applyFill="1" applyBorder="1" applyAlignment="1" applyProtection="1">
      <alignment horizontal="center"/>
    </xf>
    <xf numFmtId="10" fontId="3" fillId="9" borderId="2" xfId="6" applyNumberFormat="1" applyFont="1" applyFill="1" applyBorder="1" applyAlignment="1" applyProtection="1">
      <alignment horizontal="center"/>
    </xf>
    <xf numFmtId="10" fontId="3" fillId="9" borderId="13" xfId="6" applyNumberFormat="1" applyFont="1" applyFill="1" applyBorder="1" applyAlignment="1" applyProtection="1">
      <alignment horizontal="center" vertical="center"/>
    </xf>
    <xf numFmtId="38" fontId="31" fillId="0" borderId="0" xfId="7" applyNumberFormat="1" applyFont="1" applyFill="1" applyBorder="1" applyProtection="1"/>
    <xf numFmtId="0" fontId="31" fillId="0" borderId="0" xfId="7" applyFont="1" applyBorder="1" applyProtection="1"/>
    <xf numFmtId="0" fontId="31" fillId="0" borderId="10" xfId="7" applyFont="1" applyBorder="1" applyProtection="1"/>
    <xf numFmtId="0" fontId="32" fillId="0" borderId="0" xfId="7" applyFont="1" applyBorder="1" applyProtection="1"/>
    <xf numFmtId="0" fontId="32" fillId="0" borderId="10" xfId="7" applyFont="1" applyBorder="1" applyProtection="1"/>
    <xf numFmtId="38" fontId="33" fillId="0" borderId="0" xfId="7" applyNumberFormat="1" applyFont="1" applyFill="1" applyBorder="1" applyProtection="1"/>
    <xf numFmtId="38" fontId="32" fillId="0" borderId="0" xfId="7" applyNumberFormat="1" applyFont="1" applyBorder="1" applyProtection="1"/>
    <xf numFmtId="38" fontId="32" fillId="0" borderId="0" xfId="7" applyNumberFormat="1" applyFont="1" applyFill="1" applyBorder="1" applyProtection="1"/>
    <xf numFmtId="0" fontId="32" fillId="0" borderId="0" xfId="7" applyFont="1" applyFill="1" applyBorder="1" applyProtection="1"/>
    <xf numFmtId="0" fontId="32" fillId="0" borderId="10" xfId="7" applyFont="1" applyFill="1" applyBorder="1" applyProtection="1"/>
    <xf numFmtId="38" fontId="33" fillId="0" borderId="0" xfId="7" applyNumberFormat="1" applyFont="1" applyFill="1" applyBorder="1" applyAlignment="1" applyProtection="1">
      <alignment vertical="center"/>
    </xf>
    <xf numFmtId="38" fontId="31" fillId="0" borderId="0" xfId="7" applyNumberFormat="1" applyFont="1" applyFill="1" applyBorder="1" applyAlignment="1" applyProtection="1">
      <alignment horizontal="right" indent="4"/>
    </xf>
    <xf numFmtId="38" fontId="31" fillId="0" borderId="0" xfId="7" applyNumberFormat="1" applyFont="1" applyFill="1" applyBorder="1" applyAlignment="1" applyProtection="1">
      <alignment horizontal="right" indent="3"/>
    </xf>
    <xf numFmtId="38" fontId="33" fillId="0" borderId="10" xfId="7" applyNumberFormat="1" applyFont="1" applyFill="1" applyBorder="1" applyAlignment="1" applyProtection="1">
      <alignment horizontal="right" indent="3"/>
    </xf>
    <xf numFmtId="175" fontId="31" fillId="0" borderId="0" xfId="7" applyNumberFormat="1" applyFont="1" applyBorder="1" applyProtection="1"/>
    <xf numFmtId="0" fontId="3" fillId="10" borderId="8" xfId="7" applyFont="1" applyFill="1" applyBorder="1" applyAlignment="1" applyProtection="1">
      <alignment horizontal="center" vertical="center"/>
    </xf>
    <xf numFmtId="0" fontId="34" fillId="0" borderId="2" xfId="7" applyFont="1" applyBorder="1" applyAlignment="1" applyProtection="1">
      <alignment horizontal="center" wrapText="1"/>
    </xf>
    <xf numFmtId="9" fontId="3" fillId="0" borderId="0" xfId="6" applyFont="1" applyFill="1" applyBorder="1" applyProtection="1"/>
    <xf numFmtId="9" fontId="15" fillId="0" borderId="12" xfId="6" applyFont="1" applyFill="1" applyBorder="1" applyAlignment="1" applyProtection="1">
      <alignment horizontal="right" vertical="center"/>
    </xf>
    <xf numFmtId="38" fontId="3" fillId="3" borderId="4" xfId="7" applyNumberFormat="1" applyFont="1" applyFill="1" applyBorder="1" applyProtection="1"/>
    <xf numFmtId="6" fontId="6" fillId="3" borderId="0" xfId="0" applyNumberFormat="1" applyFont="1" applyFill="1" applyBorder="1" applyAlignment="1">
      <alignment horizontal="right" indent="4"/>
    </xf>
    <xf numFmtId="6" fontId="5" fillId="3" borderId="0" xfId="0" applyNumberFormat="1" applyFont="1" applyFill="1" applyBorder="1" applyAlignment="1">
      <alignment horizontal="right" indent="4"/>
    </xf>
    <xf numFmtId="179" fontId="6" fillId="3" borderId="0" xfId="0" applyNumberFormat="1" applyFont="1" applyFill="1" applyBorder="1" applyAlignment="1">
      <alignment horizontal="right" indent="3"/>
    </xf>
    <xf numFmtId="179" fontId="6" fillId="3" borderId="8" xfId="0" applyNumberFormat="1" applyFont="1" applyFill="1" applyBorder="1" applyAlignment="1">
      <alignment horizontal="right" indent="3"/>
    </xf>
    <xf numFmtId="179" fontId="6" fillId="3" borderId="5" xfId="0" applyNumberFormat="1" applyFont="1" applyFill="1" applyBorder="1" applyAlignment="1">
      <alignment horizontal="right" indent="3"/>
    </xf>
    <xf numFmtId="0" fontId="35" fillId="0" borderId="0" xfId="0" applyFont="1"/>
    <xf numFmtId="0" fontId="25" fillId="0" borderId="6" xfId="0" applyFont="1" applyBorder="1"/>
    <xf numFmtId="9" fontId="25" fillId="5" borderId="15" xfId="0" applyNumberFormat="1" applyFont="1" applyFill="1" applyBorder="1" applyAlignment="1">
      <alignment horizontal="center"/>
    </xf>
    <xf numFmtId="180" fontId="5" fillId="0" borderId="0" xfId="0" applyNumberFormat="1" applyFont="1"/>
    <xf numFmtId="1" fontId="5" fillId="0" borderId="0" xfId="0" applyNumberFormat="1" applyFont="1"/>
    <xf numFmtId="38" fontId="3" fillId="0" borderId="13" xfId="7" applyNumberFormat="1" applyFont="1" applyFill="1" applyBorder="1" applyAlignment="1" applyProtection="1">
      <alignment horizontal="right" vertical="center"/>
    </xf>
    <xf numFmtId="38" fontId="3" fillId="0" borderId="9" xfId="7" applyNumberFormat="1" applyFont="1" applyBorder="1" applyAlignment="1" applyProtection="1">
      <alignment horizontal="right" vertical="center"/>
    </xf>
    <xf numFmtId="38" fontId="3" fillId="0" borderId="8" xfId="7" applyNumberFormat="1" applyFont="1" applyFill="1" applyBorder="1" applyAlignment="1" applyProtection="1">
      <alignment vertical="center"/>
    </xf>
    <xf numFmtId="38" fontId="3" fillId="0" borderId="2" xfId="7" applyNumberFormat="1" applyFont="1" applyFill="1" applyBorder="1" applyAlignment="1" applyProtection="1">
      <alignment vertical="center"/>
    </xf>
    <xf numFmtId="166" fontId="3" fillId="0" borderId="0" xfId="1" applyFont="1" applyBorder="1"/>
    <xf numFmtId="166" fontId="3" fillId="0" borderId="0" xfId="1" applyFont="1" applyBorder="1" applyAlignment="1"/>
    <xf numFmtId="166" fontId="3" fillId="0" borderId="0" xfId="1" applyFont="1" applyBorder="1" applyAlignment="1">
      <alignment wrapText="1"/>
    </xf>
    <xf numFmtId="166" fontId="3" fillId="0" borderId="0" xfId="1" applyFont="1" applyBorder="1" applyAlignment="1">
      <alignment vertical="center"/>
    </xf>
    <xf numFmtId="0" fontId="3" fillId="0" borderId="0" xfId="7" applyFont="1" applyBorder="1" applyAlignment="1" applyProtection="1">
      <alignment vertical="center"/>
    </xf>
    <xf numFmtId="0" fontId="3" fillId="0" borderId="0" xfId="7" applyFont="1" applyFill="1" applyBorder="1" applyAlignment="1" applyProtection="1">
      <alignment vertical="center"/>
    </xf>
    <xf numFmtId="0" fontId="3" fillId="0" borderId="9" xfId="7" applyFont="1" applyFill="1" applyBorder="1" applyAlignment="1" applyProtection="1">
      <alignment horizontal="center"/>
    </xf>
    <xf numFmtId="0" fontId="15" fillId="0" borderId="4" xfId="7" applyFont="1" applyBorder="1" applyAlignment="1" applyProtection="1">
      <alignment horizontal="center" wrapText="1"/>
    </xf>
    <xf numFmtId="166" fontId="36" fillId="0" borderId="0" xfId="1" applyFont="1" applyBorder="1" applyAlignment="1">
      <alignment horizontal="center" vertical="center"/>
    </xf>
    <xf numFmtId="38" fontId="36" fillId="0" borderId="0" xfId="7" applyNumberFormat="1" applyFont="1" applyBorder="1" applyAlignment="1" applyProtection="1">
      <alignment horizontal="center" vertical="center"/>
    </xf>
    <xf numFmtId="6" fontId="36" fillId="0" borderId="0" xfId="1" applyNumberFormat="1" applyFont="1" applyBorder="1" applyAlignment="1">
      <alignment horizontal="center" vertical="center"/>
    </xf>
    <xf numFmtId="166" fontId="38" fillId="0" borderId="0" xfId="1" applyFont="1" applyBorder="1" applyAlignment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6" fontId="36" fillId="0" borderId="0" xfId="7" applyNumberFormat="1" applyFont="1" applyBorder="1" applyAlignment="1" applyProtection="1">
      <alignment horizontal="center" vertical="center"/>
    </xf>
    <xf numFmtId="0" fontId="36" fillId="0" borderId="0" xfId="7" applyFont="1" applyFill="1" applyBorder="1" applyAlignment="1" applyProtection="1">
      <alignment horizontal="center" vertical="center"/>
    </xf>
    <xf numFmtId="9" fontId="25" fillId="13" borderId="10" xfId="0" applyNumberFormat="1" applyFont="1" applyFill="1" applyBorder="1" applyAlignment="1">
      <alignment horizontal="center"/>
    </xf>
    <xf numFmtId="0" fontId="25" fillId="0" borderId="9" xfId="0" applyFont="1" applyBorder="1"/>
    <xf numFmtId="0" fontId="39" fillId="0" borderId="7" xfId="0" applyFont="1" applyBorder="1"/>
    <xf numFmtId="9" fontId="39" fillId="0" borderId="7" xfId="0" applyNumberFormat="1" applyFont="1" applyFill="1" applyBorder="1" applyAlignment="1">
      <alignment horizontal="center"/>
    </xf>
    <xf numFmtId="0" fontId="0" fillId="0" borderId="0" xfId="0" applyBorder="1"/>
    <xf numFmtId="178" fontId="36" fillId="0" borderId="0" xfId="7" applyNumberFormat="1" applyFont="1" applyBorder="1" applyAlignment="1" applyProtection="1">
      <alignment horizontal="center" vertical="center"/>
    </xf>
    <xf numFmtId="43" fontId="36" fillId="0" borderId="0" xfId="5" applyFont="1" applyBorder="1" applyAlignment="1" applyProtection="1">
      <alignment horizontal="center" vertical="center"/>
    </xf>
    <xf numFmtId="43" fontId="36" fillId="0" borderId="0" xfId="7" applyNumberFormat="1" applyFont="1" applyBorder="1" applyAlignment="1" applyProtection="1">
      <alignment horizontal="center" vertical="center"/>
    </xf>
    <xf numFmtId="181" fontId="6" fillId="3" borderId="0" xfId="0" applyNumberFormat="1" applyFont="1" applyFill="1" applyBorder="1" applyAlignment="1">
      <alignment horizontal="right" indent="4"/>
    </xf>
    <xf numFmtId="0" fontId="42" fillId="0" borderId="0" xfId="7" applyFont="1" applyBorder="1" applyProtection="1"/>
    <xf numFmtId="0" fontId="42" fillId="0" borderId="0" xfId="7" applyFont="1" applyFill="1" applyBorder="1" applyProtection="1"/>
    <xf numFmtId="14" fontId="11" fillId="4" borderId="1" xfId="7" applyNumberFormat="1" applyFont="1" applyFill="1" applyBorder="1" applyAlignment="1" applyProtection="1">
      <alignment horizontal="center" vertical="center"/>
    </xf>
    <xf numFmtId="166" fontId="3" fillId="4" borderId="2" xfId="1" applyFont="1" applyFill="1" applyBorder="1" applyAlignment="1">
      <alignment horizontal="center" vertical="center"/>
    </xf>
    <xf numFmtId="0" fontId="3" fillId="10" borderId="4" xfId="7" applyFont="1" applyFill="1" applyBorder="1" applyAlignment="1" applyProtection="1">
      <alignment horizontal="center" vertical="center"/>
    </xf>
    <xf numFmtId="0" fontId="8" fillId="4" borderId="5" xfId="7" applyFont="1" applyFill="1" applyBorder="1" applyAlignment="1" applyProtection="1">
      <alignment horizontal="center" vertical="center"/>
    </xf>
    <xf numFmtId="175" fontId="15" fillId="3" borderId="2" xfId="7" applyNumberFormat="1" applyFont="1" applyFill="1" applyBorder="1" applyAlignment="1">
      <alignment horizontal="center" vertical="center"/>
    </xf>
    <xf numFmtId="38" fontId="3" fillId="3" borderId="3" xfId="7" quotePrefix="1" applyNumberFormat="1" applyFont="1" applyFill="1" applyBorder="1" applyProtection="1"/>
    <xf numFmtId="0" fontId="42" fillId="0" borderId="10" xfId="7" applyFont="1" applyBorder="1" applyProtection="1"/>
    <xf numFmtId="0" fontId="40" fillId="0" borderId="0" xfId="0" applyFont="1"/>
    <xf numFmtId="0" fontId="42" fillId="0" borderId="10" xfId="7" applyFont="1" applyFill="1" applyBorder="1" applyProtection="1"/>
    <xf numFmtId="38" fontId="36" fillId="0" borderId="0" xfId="7" applyNumberFormat="1" applyFont="1" applyFill="1" applyBorder="1" applyAlignment="1" applyProtection="1">
      <alignment horizontal="right" indent="3"/>
    </xf>
    <xf numFmtId="38" fontId="43" fillId="0" borderId="10" xfId="7" applyNumberFormat="1" applyFont="1" applyFill="1" applyBorder="1" applyAlignment="1" applyProtection="1">
      <alignment horizontal="right" indent="3"/>
    </xf>
    <xf numFmtId="182" fontId="5" fillId="0" borderId="0" xfId="0" applyNumberFormat="1" applyFont="1" applyAlignment="1">
      <alignment horizontal="right" indent="4"/>
    </xf>
    <xf numFmtId="182" fontId="5" fillId="0" borderId="0" xfId="0" applyNumberFormat="1" applyFont="1" applyAlignment="1">
      <alignment horizontal="right" indent="3"/>
    </xf>
    <xf numFmtId="0" fontId="36" fillId="0" borderId="0" xfId="7" applyFont="1" applyBorder="1" applyAlignment="1" applyProtection="1">
      <alignment horizontal="center" vertical="center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168" fontId="3" fillId="0" borderId="9" xfId="7" applyNumberFormat="1" applyFont="1" applyBorder="1" applyAlignment="1" applyProtection="1">
      <alignment horizontal="left" indent="2"/>
    </xf>
    <xf numFmtId="0" fontId="3" fillId="0" borderId="9" xfId="7" applyFont="1" applyFill="1" applyBorder="1" applyAlignment="1" applyProtection="1">
      <alignment horizontal="center"/>
    </xf>
    <xf numFmtId="168" fontId="3" fillId="0" borderId="10" xfId="7" applyNumberFormat="1" applyFont="1" applyBorder="1" applyAlignment="1" applyProtection="1">
      <alignment horizontal="left" indent="2"/>
    </xf>
    <xf numFmtId="0" fontId="15" fillId="0" borderId="4" xfId="7" applyFont="1" applyBorder="1" applyAlignment="1" applyProtection="1">
      <alignment horizontal="center" wrapText="1"/>
    </xf>
    <xf numFmtId="168" fontId="3" fillId="0" borderId="0" xfId="7" applyNumberFormat="1" applyFont="1" applyBorder="1" applyAlignment="1" applyProtection="1">
      <alignment horizontal="left" vertical="center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/>
    </xf>
    <xf numFmtId="0" fontId="44" fillId="14" borderId="17" xfId="0" applyFont="1" applyFill="1" applyBorder="1" applyAlignment="1">
      <alignment horizontal="center" vertical="top"/>
    </xf>
    <xf numFmtId="49" fontId="44" fillId="14" borderId="17" xfId="0" applyNumberFormat="1" applyFont="1" applyFill="1" applyBorder="1" applyAlignment="1">
      <alignment horizontal="center" vertical="top"/>
    </xf>
    <xf numFmtId="0" fontId="45" fillId="0" borderId="18" xfId="0" applyFont="1" applyBorder="1" applyAlignment="1">
      <alignment vertical="top"/>
    </xf>
    <xf numFmtId="49" fontId="0" fillId="0" borderId="18" xfId="0" applyNumberFormat="1" applyBorder="1"/>
    <xf numFmtId="0" fontId="0" fillId="0" borderId="18" xfId="0" applyBorder="1"/>
    <xf numFmtId="183" fontId="45" fillId="0" borderId="18" xfId="0" applyNumberFormat="1" applyFont="1" applyBorder="1" applyAlignment="1">
      <alignment vertical="top"/>
    </xf>
    <xf numFmtId="4" fontId="45" fillId="0" borderId="18" xfId="0" applyNumberFormat="1" applyFont="1" applyBorder="1" applyAlignment="1">
      <alignment vertical="top"/>
    </xf>
    <xf numFmtId="184" fontId="45" fillId="0" borderId="18" xfId="0" applyNumberFormat="1" applyFont="1" applyBorder="1" applyAlignment="1">
      <alignment vertical="top"/>
    </xf>
    <xf numFmtId="49" fontId="45" fillId="0" borderId="18" xfId="0" applyNumberFormat="1" applyFont="1" applyBorder="1" applyAlignment="1">
      <alignment vertical="top"/>
    </xf>
    <xf numFmtId="0" fontId="45" fillId="0" borderId="18" xfId="0" applyNumberFormat="1" applyFont="1" applyBorder="1" applyAlignment="1">
      <alignment vertical="top"/>
    </xf>
    <xf numFmtId="0" fontId="0" fillId="0" borderId="18" xfId="0" applyNumberFormat="1" applyBorder="1"/>
    <xf numFmtId="40" fontId="45" fillId="0" borderId="18" xfId="0" applyNumberFormat="1" applyFont="1" applyBorder="1" applyAlignment="1">
      <alignment vertical="top"/>
    </xf>
    <xf numFmtId="0" fontId="0" fillId="15" borderId="0" xfId="0" applyFill="1" applyAlignment="1">
      <alignment horizontal="center"/>
    </xf>
    <xf numFmtId="40" fontId="0" fillId="0" borderId="0" xfId="0" applyNumberFormat="1"/>
    <xf numFmtId="0" fontId="0" fillId="16" borderId="0" xfId="0" applyFill="1" applyAlignment="1">
      <alignment horizontal="center"/>
    </xf>
    <xf numFmtId="0" fontId="0" fillId="17" borderId="0" xfId="0" applyFill="1" applyAlignment="1">
      <alignment horizontal="center"/>
    </xf>
    <xf numFmtId="0" fontId="0" fillId="18" borderId="0" xfId="0" applyFill="1" applyAlignment="1">
      <alignment horizontal="center"/>
    </xf>
    <xf numFmtId="0" fontId="0" fillId="19" borderId="0" xfId="0" applyFill="1" applyAlignment="1">
      <alignment horizontal="center"/>
    </xf>
    <xf numFmtId="0" fontId="46" fillId="0" borderId="0" xfId="0" applyFont="1"/>
    <xf numFmtId="0" fontId="47" fillId="0" borderId="0" xfId="0" applyFont="1"/>
    <xf numFmtId="40" fontId="29" fillId="20" borderId="19" xfId="0" applyNumberFormat="1" applyFont="1" applyFill="1" applyBorder="1"/>
    <xf numFmtId="0" fontId="46" fillId="21" borderId="0" xfId="0" applyFont="1" applyFill="1"/>
    <xf numFmtId="0" fontId="48" fillId="0" borderId="0" xfId="0" applyFont="1"/>
    <xf numFmtId="0" fontId="49" fillId="0" borderId="0" xfId="0" applyFont="1"/>
    <xf numFmtId="40" fontId="0" fillId="22" borderId="0" xfId="0" applyNumberFormat="1" applyFill="1"/>
    <xf numFmtId="40" fontId="0" fillId="23" borderId="0" xfId="0" applyNumberFormat="1" applyFill="1"/>
    <xf numFmtId="40" fontId="46" fillId="24" borderId="0" xfId="0" applyNumberFormat="1" applyFont="1" applyFill="1"/>
    <xf numFmtId="8" fontId="46" fillId="24" borderId="0" xfId="0" applyNumberFormat="1" applyFont="1" applyFill="1"/>
    <xf numFmtId="43" fontId="0" fillId="0" borderId="0" xfId="0" applyNumberFormat="1"/>
    <xf numFmtId="43" fontId="0" fillId="22" borderId="0" xfId="0" applyNumberFormat="1" applyFill="1"/>
    <xf numFmtId="43" fontId="0" fillId="23" borderId="0" xfId="0" applyNumberFormat="1" applyFill="1"/>
    <xf numFmtId="49" fontId="3" fillId="6" borderId="4" xfId="7" applyNumberFormat="1" applyFont="1" applyFill="1" applyBorder="1" applyAlignment="1" applyProtection="1">
      <alignment horizontal="left"/>
    </xf>
    <xf numFmtId="49" fontId="3" fillId="6" borderId="8" xfId="7" applyNumberFormat="1" applyFont="1" applyFill="1" applyBorder="1" applyAlignment="1" applyProtection="1">
      <alignment horizontal="left"/>
    </xf>
    <xf numFmtId="49" fontId="3" fillId="0" borderId="9" xfId="7" applyNumberFormat="1" applyFont="1" applyBorder="1" applyAlignment="1" applyProtection="1">
      <alignment horizontal="left"/>
    </xf>
    <xf numFmtId="49" fontId="3" fillId="0" borderId="10" xfId="7" applyNumberFormat="1" applyFont="1" applyBorder="1" applyAlignment="1" applyProtection="1">
      <alignment horizontal="left"/>
    </xf>
    <xf numFmtId="168" fontId="3" fillId="0" borderId="9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2"/>
    </xf>
    <xf numFmtId="168" fontId="3" fillId="0" borderId="10" xfId="7" applyNumberFormat="1" applyFont="1" applyBorder="1" applyAlignment="1" applyProtection="1">
      <alignment horizontal="left" indent="2"/>
    </xf>
    <xf numFmtId="168" fontId="3" fillId="0" borderId="11" xfId="7" applyNumberFormat="1" applyFont="1" applyBorder="1" applyAlignment="1" applyProtection="1">
      <alignment horizontal="left" indent="1"/>
    </xf>
    <xf numFmtId="168" fontId="3" fillId="0" borderId="14" xfId="7" applyNumberFormat="1" applyFont="1" applyBorder="1" applyAlignment="1" applyProtection="1">
      <alignment horizontal="left" indent="1"/>
    </xf>
    <xf numFmtId="0" fontId="3" fillId="0" borderId="11" xfId="7" applyFont="1" applyBorder="1" applyAlignment="1" applyProtection="1">
      <alignment horizontal="left" indent="2"/>
    </xf>
    <xf numFmtId="0" fontId="3" fillId="0" borderId="1" xfId="7" applyFont="1" applyBorder="1" applyAlignment="1" applyProtection="1">
      <alignment horizontal="left" indent="2"/>
    </xf>
    <xf numFmtId="0" fontId="3" fillId="8" borderId="9" xfId="7" applyFont="1" applyFill="1" applyBorder="1" applyAlignment="1" applyProtection="1">
      <alignment horizontal="center"/>
    </xf>
    <xf numFmtId="0" fontId="3" fillId="8" borderId="10" xfId="7" applyFont="1" applyFill="1" applyBorder="1" applyAlignment="1" applyProtection="1">
      <alignment horizontal="center"/>
    </xf>
    <xf numFmtId="0" fontId="3" fillId="0" borderId="9" xfId="7" applyFont="1" applyFill="1" applyBorder="1" applyAlignment="1" applyProtection="1">
      <alignment horizontal="center"/>
    </xf>
    <xf numFmtId="0" fontId="3" fillId="0" borderId="10" xfId="7" applyFont="1" applyFill="1" applyBorder="1" applyAlignment="1" applyProtection="1">
      <alignment horizontal="center"/>
    </xf>
    <xf numFmtId="168" fontId="3" fillId="0" borderId="9" xfId="7" applyNumberFormat="1" applyFont="1" applyBorder="1" applyAlignment="1" applyProtection="1">
      <alignment horizontal="left" indent="1"/>
    </xf>
    <xf numFmtId="168" fontId="3" fillId="0" borderId="10" xfId="7" applyNumberFormat="1" applyFont="1" applyBorder="1" applyAlignment="1" applyProtection="1">
      <alignment horizontal="left" indent="1"/>
    </xf>
    <xf numFmtId="168" fontId="3" fillId="0" borderId="11" xfId="7" applyNumberFormat="1" applyFont="1" applyBorder="1" applyAlignment="1" applyProtection="1">
      <alignment horizontal="left" indent="2"/>
    </xf>
    <xf numFmtId="168" fontId="3" fillId="0" borderId="1" xfId="7" applyNumberFormat="1" applyFont="1" applyBorder="1" applyAlignment="1" applyProtection="1">
      <alignment horizontal="left" indent="2"/>
    </xf>
    <xf numFmtId="168" fontId="3" fillId="0" borderId="0" xfId="7" applyNumberFormat="1" applyFont="1" applyBorder="1" applyAlignment="1" applyProtection="1">
      <alignment horizontal="left" indent="1"/>
    </xf>
    <xf numFmtId="168" fontId="16" fillId="3" borderId="4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5" xfId="7" applyNumberFormat="1" applyFont="1" applyFill="1" applyBorder="1" applyAlignment="1" applyProtection="1">
      <alignment horizontal="left" vertical="center" indent="1"/>
      <protection locked="0"/>
    </xf>
    <xf numFmtId="168" fontId="16" fillId="3" borderId="8" xfId="7" applyNumberFormat="1" applyFont="1" applyFill="1" applyBorder="1" applyAlignment="1" applyProtection="1">
      <alignment horizontal="left" vertical="center" indent="1"/>
      <protection locked="0"/>
    </xf>
    <xf numFmtId="0" fontId="30" fillId="0" borderId="6" xfId="7" applyFont="1" applyBorder="1" applyAlignment="1" applyProtection="1">
      <alignment horizontal="center" vertical="center"/>
    </xf>
    <xf numFmtId="0" fontId="30" fillId="0" borderId="7" xfId="7" applyFont="1" applyBorder="1" applyAlignment="1" applyProtection="1">
      <alignment horizontal="center" vertical="center"/>
    </xf>
    <xf numFmtId="0" fontId="30" fillId="0" borderId="15" xfId="7" applyFont="1" applyBorder="1" applyAlignment="1" applyProtection="1">
      <alignment horizontal="center" vertical="center"/>
    </xf>
    <xf numFmtId="0" fontId="30" fillId="0" borderId="11" xfId="7" applyFont="1" applyBorder="1" applyAlignment="1" applyProtection="1">
      <alignment horizontal="center" vertical="center"/>
    </xf>
    <xf numFmtId="0" fontId="30" fillId="0" borderId="1" xfId="7" applyFont="1" applyBorder="1" applyAlignment="1" applyProtection="1">
      <alignment horizontal="center" vertical="center"/>
    </xf>
    <xf numFmtId="0" fontId="30" fillId="0" borderId="14" xfId="7" applyFont="1" applyBorder="1" applyAlignment="1" applyProtection="1">
      <alignment horizontal="center" vertical="center"/>
    </xf>
    <xf numFmtId="38" fontId="15" fillId="12" borderId="6" xfId="7" applyNumberFormat="1" applyFont="1" applyFill="1" applyBorder="1" applyAlignment="1" applyProtection="1">
      <alignment horizontal="center" vertical="center" wrapText="1"/>
    </xf>
    <xf numFmtId="38" fontId="15" fillId="12" borderId="7" xfId="7" applyNumberFormat="1" applyFont="1" applyFill="1" applyBorder="1" applyAlignment="1" applyProtection="1">
      <alignment horizontal="center" vertical="center" wrapText="1"/>
    </xf>
    <xf numFmtId="38" fontId="15" fillId="12" borderId="15" xfId="7" applyNumberFormat="1" applyFont="1" applyFill="1" applyBorder="1" applyAlignment="1" applyProtection="1">
      <alignment horizontal="center" vertical="center" wrapText="1"/>
    </xf>
    <xf numFmtId="38" fontId="15" fillId="12" borderId="11" xfId="7" applyNumberFormat="1" applyFont="1" applyFill="1" applyBorder="1" applyAlignment="1" applyProtection="1">
      <alignment horizontal="center" vertical="center" wrapText="1"/>
    </xf>
    <xf numFmtId="38" fontId="15" fillId="12" borderId="1" xfId="7" applyNumberFormat="1" applyFont="1" applyFill="1" applyBorder="1" applyAlignment="1" applyProtection="1">
      <alignment horizontal="center" vertical="center" wrapText="1"/>
    </xf>
    <xf numFmtId="38" fontId="15" fillId="12" borderId="14" xfId="7" applyNumberFormat="1" applyFont="1" applyFill="1" applyBorder="1" applyAlignment="1" applyProtection="1">
      <alignment horizontal="center" vertical="center" wrapText="1"/>
    </xf>
    <xf numFmtId="0" fontId="14" fillId="0" borderId="7" xfId="7" applyFont="1" applyBorder="1" applyAlignment="1" applyProtection="1">
      <alignment horizontal="center"/>
    </xf>
    <xf numFmtId="0" fontId="14" fillId="0" borderId="15" xfId="7" applyFont="1" applyBorder="1" applyAlignment="1" applyProtection="1">
      <alignment horizontal="center"/>
    </xf>
    <xf numFmtId="0" fontId="3" fillId="0" borderId="9" xfId="7" applyFont="1" applyBorder="1" applyAlignment="1" applyProtection="1">
      <alignment horizontal="left" indent="1"/>
    </xf>
    <xf numFmtId="0" fontId="3" fillId="0" borderId="0" xfId="7" applyFont="1" applyBorder="1" applyAlignment="1" applyProtection="1">
      <alignment horizontal="left" indent="1"/>
    </xf>
    <xf numFmtId="168" fontId="3" fillId="0" borderId="9" xfId="7" applyNumberFormat="1" applyFont="1" applyBorder="1" applyAlignment="1" applyProtection="1">
      <alignment horizontal="left" vertical="center"/>
    </xf>
    <xf numFmtId="168" fontId="3" fillId="0" borderId="10" xfId="7" applyNumberFormat="1" applyFont="1" applyBorder="1" applyAlignment="1" applyProtection="1">
      <alignment horizontal="left" vertical="center"/>
    </xf>
    <xf numFmtId="49" fontId="3" fillId="0" borderId="9" xfId="7" applyNumberFormat="1" applyFont="1" applyBorder="1" applyAlignment="1" applyProtection="1">
      <alignment horizontal="left" vertical="center"/>
    </xf>
    <xf numFmtId="49" fontId="3" fillId="0" borderId="10" xfId="7" applyNumberFormat="1" applyFont="1" applyBorder="1" applyAlignment="1" applyProtection="1">
      <alignment horizontal="left" vertical="center"/>
    </xf>
    <xf numFmtId="168" fontId="15" fillId="0" borderId="6" xfId="7" applyNumberFormat="1" applyFont="1" applyBorder="1" applyAlignment="1" applyProtection="1">
      <alignment horizontal="center" vertical="center" wrapText="1"/>
    </xf>
    <xf numFmtId="168" fontId="15" fillId="0" borderId="15" xfId="7" applyNumberFormat="1" applyFont="1" applyBorder="1" applyAlignment="1" applyProtection="1">
      <alignment horizontal="center" vertical="center" wrapText="1"/>
    </xf>
    <xf numFmtId="168" fontId="15" fillId="0" borderId="11" xfId="7" applyNumberFormat="1" applyFont="1" applyBorder="1" applyAlignment="1" applyProtection="1">
      <alignment horizontal="center" vertical="center" wrapText="1"/>
    </xf>
    <xf numFmtId="168" fontId="15" fillId="0" borderId="14" xfId="7" applyNumberFormat="1" applyFont="1" applyBorder="1" applyAlignment="1" applyProtection="1">
      <alignment horizontal="center" vertical="center" wrapText="1"/>
    </xf>
    <xf numFmtId="0" fontId="36" fillId="0" borderId="9" xfId="7" applyFont="1" applyBorder="1" applyAlignment="1" applyProtection="1">
      <alignment horizontal="center" vertical="center"/>
    </xf>
    <xf numFmtId="0" fontId="36" fillId="0" borderId="0" xfId="7" applyFont="1" applyBorder="1" applyAlignment="1" applyProtection="1">
      <alignment horizontal="center" vertical="center"/>
    </xf>
    <xf numFmtId="168" fontId="15" fillId="0" borderId="4" xfId="7" applyNumberFormat="1" applyFont="1" applyBorder="1" applyAlignment="1" applyProtection="1">
      <alignment horizontal="center" vertical="center" wrapText="1"/>
    </xf>
    <xf numFmtId="168" fontId="15" fillId="0" borderId="1" xfId="7" applyNumberFormat="1" applyFont="1" applyBorder="1" applyAlignment="1" applyProtection="1">
      <alignment horizontal="center" vertical="center" wrapText="1"/>
    </xf>
    <xf numFmtId="168" fontId="15" fillId="0" borderId="9" xfId="7" applyNumberFormat="1" applyFont="1" applyBorder="1" applyAlignment="1" applyProtection="1">
      <alignment horizontal="left" vertical="center"/>
    </xf>
    <xf numFmtId="168" fontId="15" fillId="0" borderId="10" xfId="7" applyNumberFormat="1" applyFont="1" applyBorder="1" applyAlignment="1" applyProtection="1">
      <alignment horizontal="left" vertical="center"/>
    </xf>
    <xf numFmtId="168" fontId="3" fillId="0" borderId="1" xfId="7" applyNumberFormat="1" applyFont="1" applyFill="1" applyBorder="1" applyAlignment="1" applyProtection="1">
      <alignment horizontal="left" vertical="center" wrapText="1"/>
    </xf>
    <xf numFmtId="168" fontId="3" fillId="0" borderId="14" xfId="7" applyNumberFormat="1" applyFont="1" applyFill="1" applyBorder="1" applyAlignment="1" applyProtection="1">
      <alignment horizontal="left" vertical="center" wrapText="1"/>
    </xf>
    <xf numFmtId="0" fontId="15" fillId="0" borderId="9" xfId="7" applyFont="1" applyBorder="1" applyAlignment="1" applyProtection="1">
      <alignment horizontal="left" vertical="center"/>
    </xf>
    <xf numFmtId="0" fontId="15" fillId="0" borderId="10" xfId="7" applyFont="1" applyBorder="1" applyAlignment="1" applyProtection="1">
      <alignment horizontal="left" vertical="center"/>
    </xf>
    <xf numFmtId="0" fontId="37" fillId="0" borderId="9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/>
    </xf>
    <xf numFmtId="0" fontId="37" fillId="0" borderId="0" xfId="7" applyFont="1" applyBorder="1" applyAlignment="1" applyProtection="1">
      <alignment horizontal="center" vertical="center" wrapText="1"/>
    </xf>
    <xf numFmtId="168" fontId="15" fillId="0" borderId="6" xfId="7" applyNumberFormat="1" applyFont="1" applyBorder="1" applyAlignment="1" applyProtection="1">
      <alignment horizontal="left" vertical="center"/>
    </xf>
    <xf numFmtId="168" fontId="15" fillId="0" borderId="7" xfId="7" applyNumberFormat="1" applyFont="1" applyBorder="1" applyAlignment="1" applyProtection="1">
      <alignment horizontal="left" vertical="center"/>
    </xf>
    <xf numFmtId="168" fontId="3" fillId="0" borderId="0" xfId="7" applyNumberFormat="1" applyFont="1" applyBorder="1" applyAlignment="1" applyProtection="1">
      <alignment horizontal="left" vertical="center"/>
    </xf>
    <xf numFmtId="0" fontId="11" fillId="4" borderId="4" xfId="7" applyNumberFormat="1" applyFont="1" applyFill="1" applyBorder="1" applyAlignment="1" applyProtection="1">
      <alignment horizontal="left" vertical="center" indent="2"/>
    </xf>
    <xf numFmtId="0" fontId="11" fillId="4" borderId="8" xfId="7" applyNumberFormat="1" applyFont="1" applyFill="1" applyBorder="1" applyAlignment="1" applyProtection="1">
      <alignment horizontal="left" vertical="center" indent="2"/>
    </xf>
    <xf numFmtId="49" fontId="13" fillId="5" borderId="4" xfId="1" applyNumberFormat="1" applyFont="1" applyFill="1" applyBorder="1" applyAlignment="1">
      <alignment horizontal="center" vertical="center" shrinkToFit="1"/>
    </xf>
    <xf numFmtId="49" fontId="13" fillId="5" borderId="8" xfId="1" applyNumberFormat="1" applyFont="1" applyFill="1" applyBorder="1" applyAlignment="1">
      <alignment horizontal="center" vertical="center" shrinkToFit="1"/>
    </xf>
    <xf numFmtId="49" fontId="13" fillId="5" borderId="5" xfId="1" applyNumberFormat="1" applyFont="1" applyFill="1" applyBorder="1" applyAlignment="1">
      <alignment horizontal="center" vertical="center" shrinkToFit="1"/>
    </xf>
    <xf numFmtId="0" fontId="15" fillId="0" borderId="4" xfId="7" applyFont="1" applyBorder="1" applyAlignment="1" applyProtection="1">
      <alignment horizontal="center" wrapText="1"/>
    </xf>
    <xf numFmtId="0" fontId="15" fillId="0" borderId="8" xfId="7" applyFont="1" applyBorder="1" applyAlignment="1" applyProtection="1">
      <alignment horizontal="center" wrapText="1"/>
    </xf>
    <xf numFmtId="40" fontId="29" fillId="0" borderId="0" xfId="0" applyNumberFormat="1" applyFont="1" applyFill="1" applyAlignment="1">
      <alignment horizontal="center"/>
    </xf>
    <xf numFmtId="0" fontId="29" fillId="0" borderId="0" xfId="0" applyFont="1" applyAlignment="1">
      <alignment horizontal="center" wrapText="1"/>
    </xf>
    <xf numFmtId="0" fontId="29" fillId="0" borderId="0" xfId="0" applyFont="1" applyAlignment="1">
      <alignment horizontal="center"/>
    </xf>
    <xf numFmtId="0" fontId="4" fillId="2" borderId="0" xfId="0" applyNumberFormat="1" applyFont="1" applyFill="1" applyAlignment="1">
      <alignment horizontal="left" vertical="top" wrapText="1"/>
    </xf>
    <xf numFmtId="0" fontId="25" fillId="0" borderId="0" xfId="0" applyFont="1" applyAlignment="1">
      <alignment horizontal="left" indent="1"/>
    </xf>
  </cellXfs>
  <cellStyles count="8">
    <cellStyle name="Comma" xfId="5" builtinId="3"/>
    <cellStyle name="Comma 2" xfId="2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Normal_Revised B-6" xfId="7" xr:uid="{00000000-0005-0000-0000-000005000000}"/>
    <cellStyle name="Percent" xfId="6" builtinId="5"/>
    <cellStyle name="Percent 2" xfId="4" xr:uid="{00000000-0005-0000-0000-000007000000}"/>
  </cellStyles>
  <dxfs count="21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 xr9:uid="{00000000-0011-0000-FFFF-FFFF00000000}">
      <tableStyleElement type="wholeTable" dxfId="20"/>
      <tableStyleElement type="headerRow" dxfId="19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FA6437-5F4A-48B4-A0D1-56F75AED1376}">
  <sheetPr>
    <pageSetUpPr fitToPage="1"/>
  </sheetPr>
  <dimension ref="A1:CP80"/>
  <sheetViews>
    <sheetView showGridLines="0" tabSelected="1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274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322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275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278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275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276</v>
      </c>
      <c r="J5" s="472"/>
      <c r="K5" s="472"/>
      <c r="L5" s="471"/>
      <c r="M5" s="352" t="s">
        <v>115</v>
      </c>
      <c r="N5" s="32" t="s">
        <v>277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"&amp;'LABA|0349-00'!FiscalYear-1&amp;" SALARY"</f>
        <v>FY 2022 SALARY</v>
      </c>
      <c r="H8" s="50" t="str">
        <f>"FY "&amp;'LABA|0349-00'!FiscalYear-1&amp;" HEALTH BENEFITS"</f>
        <v>FY 2022 HEALTH BENEFITS</v>
      </c>
      <c r="I8" s="50" t="str">
        <f>"FY "&amp;'LABA|0349-00'!FiscalYear-1&amp;" VAR BENEFITS"</f>
        <v>FY 2022 VAR BENEFITS</v>
      </c>
      <c r="J8" s="50" t="str">
        <f>"FY "&amp;'LABA|0349-00'!FiscalYear-1&amp;" TOTAL"</f>
        <v>FY 2022 TOTAL</v>
      </c>
      <c r="K8" s="50" t="str">
        <f>"FY "&amp;'LABA|0349-00'!FiscalYear&amp;" SALARY CHANGE"</f>
        <v>FY 2023 SALARY CHANGE</v>
      </c>
      <c r="L8" s="50" t="str">
        <f>"FY "&amp;'LABA|0349-00'!FiscalYear&amp;" CHG HEALTH BENEFITS"</f>
        <v>FY 2023 CHG HEALTH BENEFITS</v>
      </c>
      <c r="M8" s="50" t="str">
        <f>"FY "&amp;'LABA|0349-00'!FiscalYear&amp;"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[0]!LABA034900col_INC_FTI</f>
        <v>0.23</v>
      </c>
      <c r="G10" s="218">
        <f>[0]!LABA034900col_FTI_SALARY_PERM</f>
        <v>49069.48</v>
      </c>
      <c r="H10" s="218">
        <f>[0]!LABA034900col_HEALTH_PERM</f>
        <v>2679.5</v>
      </c>
      <c r="I10" s="218">
        <f>[0]!LABA034900col_TOT_VB_PERM</f>
        <v>9314.7007988000023</v>
      </c>
      <c r="J10" s="219">
        <f>SUM(G10:I10)</f>
        <v>61063.680798800007</v>
      </c>
      <c r="K10" s="219">
        <f>[0]!LABA034900col_1_27TH_PP</f>
        <v>0</v>
      </c>
      <c r="L10" s="218">
        <f>[0]!LABA034900col_HEALTH_PERM_CHG</f>
        <v>0</v>
      </c>
      <c r="M10" s="218">
        <f>[0]!LABA034900col_TOT_VB_PERM_CHG</f>
        <v>-177.52834799999991</v>
      </c>
      <c r="N10" s="218">
        <f>SUM(L10:M10)</f>
        <v>-177.52834799999991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500</v>
      </c>
      <c r="AB10" s="335">
        <f>ROUND(PermVarBen*CECPerm+(CECPerm*PermVarBenChg),-2)</f>
        <v>100</v>
      </c>
      <c r="AC10" s="335">
        <f>SUM(AA10:AB10)</f>
        <v>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[0]!LABA034900col_Group_Salary</f>
        <v>4400</v>
      </c>
      <c r="H11" s="218">
        <v>0</v>
      </c>
      <c r="I11" s="218">
        <f>[0]!LABA034900col_Group_Ben</f>
        <v>338.2</v>
      </c>
      <c r="J11" s="219">
        <f>SUM(G11:I11)</f>
        <v>4738.2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[0]!LABA034900col_TOTAL_ELECT_PCN_FTI</f>
        <v>0</v>
      </c>
      <c r="G12" s="218">
        <f>[0]!LABA034900col_FTI_SALARY_ELECT</f>
        <v>0</v>
      </c>
      <c r="H12" s="218">
        <f>[0]!LABA034900col_HEALTH_ELECT</f>
        <v>0</v>
      </c>
      <c r="I12" s="218">
        <f>[0]!LABA034900col_TOT_VB_ELECT</f>
        <v>0</v>
      </c>
      <c r="J12" s="219">
        <f>SUM(G12:I12)</f>
        <v>0</v>
      </c>
      <c r="K12" s="268"/>
      <c r="L12" s="218">
        <f>[0]!LABA034900col_HEALTH_ELECT_CHG</f>
        <v>0</v>
      </c>
      <c r="M12" s="218">
        <f>[0]!LABA034900col_TOT_VB_ELECT_CHG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0.23</v>
      </c>
      <c r="G13" s="221">
        <f>SUM(G10:G12)</f>
        <v>53469.48</v>
      </c>
      <c r="H13" s="221">
        <f>SUM(H10:H12)</f>
        <v>2679.5</v>
      </c>
      <c r="I13" s="221">
        <f>SUM(I10:I12)</f>
        <v>9652.900798800003</v>
      </c>
      <c r="J13" s="219">
        <f>SUM(G13:I13)</f>
        <v>65801.880798800004</v>
      </c>
      <c r="K13" s="268"/>
      <c r="L13" s="219">
        <f>SUM(L10:L12)</f>
        <v>0</v>
      </c>
      <c r="M13" s="219">
        <f>SUM(M10:M12)</f>
        <v>-177.52834799999991</v>
      </c>
      <c r="N13" s="219">
        <f>SUM(N10:N12)</f>
        <v>-177.52834799999991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"&amp;'LABA|0349-00'!FiscalYear-1</f>
        <v>FY 2022</v>
      </c>
      <c r="D15" s="158" t="s">
        <v>31</v>
      </c>
      <c r="E15" s="355">
        <v>70000</v>
      </c>
      <c r="F15" s="55">
        <v>0.85</v>
      </c>
      <c r="G15" s="223">
        <f>IF(OrigApprop=0,0,(G13/$J$13)*OrigApprop)</f>
        <v>56880.79967568734</v>
      </c>
      <c r="H15" s="223">
        <f>IF(OrigApprop=0,0,(H13/$J$13)*OrigApprop)</f>
        <v>2850.4504388485584</v>
      </c>
      <c r="I15" s="223">
        <f>IF(G15=0,0,(I13/$J$13)*OrigApprop)</f>
        <v>10268.749885464103</v>
      </c>
      <c r="J15" s="223">
        <f>SUM(G15:I15)</f>
        <v>70000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0.62</v>
      </c>
      <c r="G16" s="162">
        <f>G15-G13</f>
        <v>3411.3196756873367</v>
      </c>
      <c r="H16" s="162">
        <f>H15-H13</f>
        <v>170.95043884855841</v>
      </c>
      <c r="I16" s="162">
        <f>I15-I13</f>
        <v>615.84908666410047</v>
      </c>
      <c r="J16" s="162">
        <f>J15-J13</f>
        <v>4198.1192011999956</v>
      </c>
      <c r="K16" s="269"/>
      <c r="L16" s="56" t="str">
        <f>IF('LABA|0349-00'!OrigApprop=0,"ERROR! Enter Original Appropriation amount in DU 3.00!","Calculated "&amp;IF('LABA|0349-00'!AdjustedTotal&gt;0,"overfunding ","underfunding ")&amp;"is "&amp;TEXT('LABA|0349-00'!AdjustedTotal/'LABA|0349-00'!AppropTotal,"#.0%;(#.0% );0% ;")&amp;" of Original Appropriation")</f>
        <v>Calculated overfunding is 6.0%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0.23</v>
      </c>
      <c r="G38" s="191">
        <f>SUMIF($E10:$E35,$E38,$G10:$G35)</f>
        <v>49069.48</v>
      </c>
      <c r="H38" s="192">
        <f>SUMIF($E10:$E35,$E38,$H10:$H35)</f>
        <v>2679.5</v>
      </c>
      <c r="I38" s="192">
        <f>SUMIF($E10:$E35,$E38,$I10:$I35)</f>
        <v>9314.7007988000023</v>
      </c>
      <c r="J38" s="192">
        <f>SUM(G38:I38)</f>
        <v>61063.680798800007</v>
      </c>
      <c r="K38" s="166"/>
      <c r="L38" s="191">
        <f>SUMIF($E10:$E35,$E38,$L10:$L35)</f>
        <v>0</v>
      </c>
      <c r="M38" s="192">
        <f>SUMIF($E10:$E35,$E38,$M10:$M35)</f>
        <v>-177.52834799999991</v>
      </c>
      <c r="N38" s="192">
        <f>SUM(L38:M38)</f>
        <v>-177.52834799999991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500</v>
      </c>
      <c r="AB38" s="338">
        <f>ROUND((AdjPermVB*CECPerm+AdjPermVBBY*CECPerm),-2)</f>
        <v>100</v>
      </c>
      <c r="AC38" s="338">
        <f>SUM(AA38:AB38)</f>
        <v>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4400</v>
      </c>
      <c r="H39" s="152">
        <f>SUMIF($E10:$E35,$E39,$H10:$H35)</f>
        <v>0</v>
      </c>
      <c r="I39" s="152">
        <f>SUMIF($E10:$E35,$E39,$I10:$I35)</f>
        <v>338.2</v>
      </c>
      <c r="J39" s="152">
        <f>SUM(G39:I39)</f>
        <v>4738.2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0.23</v>
      </c>
      <c r="G41" s="195">
        <f>SUM($G$38:$G$40)</f>
        <v>53469.48</v>
      </c>
      <c r="H41" s="162">
        <f>SUM($H$38:$H$40)</f>
        <v>2679.5</v>
      </c>
      <c r="I41" s="162">
        <f>SUM($I$38:$I$40)</f>
        <v>9652.900798800003</v>
      </c>
      <c r="J41" s="162">
        <f>SUM($J$38:$J$40)</f>
        <v>65801.880798800004</v>
      </c>
      <c r="K41" s="259"/>
      <c r="L41" s="195">
        <f>SUM($L$38:$L$40)</f>
        <v>0</v>
      </c>
      <c r="M41" s="162">
        <f>SUM($M$38:$M$40)</f>
        <v>-177.52834799999991</v>
      </c>
      <c r="N41" s="162">
        <f>SUM(L41:M41)</f>
        <v>-177.52834799999991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0.62</v>
      </c>
      <c r="G43" s="206">
        <f>ROUND(G51-G41,-2)</f>
        <v>3400</v>
      </c>
      <c r="H43" s="159">
        <f>ROUND(H51-H41,-2)</f>
        <v>200</v>
      </c>
      <c r="I43" s="159">
        <f>ROUND(I51-I41,-2)</f>
        <v>600</v>
      </c>
      <c r="J43" s="159">
        <f>SUM(G43:I43)</f>
        <v>4200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6.0%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0.62</v>
      </c>
      <c r="G44" s="206">
        <f>ROUND(G60-G41,-2)</f>
        <v>3400</v>
      </c>
      <c r="H44" s="159">
        <f>ROUND(H60-H41,-2)</f>
        <v>200</v>
      </c>
      <c r="I44" s="159">
        <f>ROUND(I60-I41,-2)</f>
        <v>600</v>
      </c>
      <c r="J44" s="159">
        <f>SUM(G44:I44)</f>
        <v>4200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6.0%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0.62</v>
      </c>
      <c r="G45" s="206">
        <f>ROUND(G67-G41-G63,-2)</f>
        <v>3400</v>
      </c>
      <c r="H45" s="206">
        <f>ROUND(H67-H41-H63,-2)</f>
        <v>200</v>
      </c>
      <c r="I45" s="206">
        <f>ROUND(I67-I41-I63,-2)</f>
        <v>600</v>
      </c>
      <c r="J45" s="159">
        <f>SUM(G45:I45)</f>
        <v>4200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6.0%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70000</v>
      </c>
      <c r="F51" s="272">
        <f>AppropFTP</f>
        <v>0.85</v>
      </c>
      <c r="G51" s="274">
        <f>IF(E51=0,0,(G41/$J$41)*$E$51)</f>
        <v>56880.79967568734</v>
      </c>
      <c r="H51" s="274">
        <f>IF(E51=0,0,(H41/$J$41)*$E$51)</f>
        <v>2850.4504388485584</v>
      </c>
      <c r="I51" s="275">
        <f>IF(E51=0,0,(I41/$J$41)*$E$51)</f>
        <v>10268.749885464103</v>
      </c>
      <c r="J51" s="90">
        <f>SUM(G51:I51)</f>
        <v>70000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0.85</v>
      </c>
      <c r="G52" s="79">
        <f>ROUND(G51,-2)</f>
        <v>56900</v>
      </c>
      <c r="H52" s="79">
        <f>ROUND(H51,-2)</f>
        <v>2900</v>
      </c>
      <c r="I52" s="266">
        <f>ROUND(I51,-2)</f>
        <v>10300</v>
      </c>
      <c r="J52" s="80">
        <f>ROUND(J51,-2)</f>
        <v>70000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0.85</v>
      </c>
      <c r="G56" s="80">
        <f>SUM(G52:G55)</f>
        <v>56900</v>
      </c>
      <c r="H56" s="80">
        <f>SUM(H52:H55)</f>
        <v>2900</v>
      </c>
      <c r="I56" s="260">
        <f>SUM(I52:I55)</f>
        <v>10300</v>
      </c>
      <c r="J56" s="80">
        <f>SUM(J52:J55)</f>
        <v>70000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0.85</v>
      </c>
      <c r="G60" s="80">
        <f>SUM(G56:G59)</f>
        <v>56900</v>
      </c>
      <c r="H60" s="80">
        <f>SUM(H56:H59)</f>
        <v>2900</v>
      </c>
      <c r="I60" s="260">
        <f>SUM(I56:I59)</f>
        <v>10300</v>
      </c>
      <c r="J60" s="80">
        <f>SUM(J56:J59)</f>
        <v>70000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0.85</v>
      </c>
      <c r="G67" s="80">
        <f>SUM(G60:G64)</f>
        <v>56900</v>
      </c>
      <c r="H67" s="80">
        <f>SUM(H60:H64)</f>
        <v>2900</v>
      </c>
      <c r="I67" s="80">
        <f>SUM(I60:I64)</f>
        <v>10300</v>
      </c>
      <c r="J67" s="80">
        <f>SUM(J60:J64)</f>
        <v>70000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-200</v>
      </c>
      <c r="J69" s="287">
        <f>SUM(G69:I69)</f>
        <v>-200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500</v>
      </c>
      <c r="H72" s="287"/>
      <c r="I72" s="287">
        <f>ROUND(($G72*PermVBBY+$G72*Retire1BY),-2)</f>
        <v>100</v>
      </c>
      <c r="J72" s="113">
        <f>SUM(G72:I72)</f>
        <v>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0.85</v>
      </c>
      <c r="G75" s="80">
        <f>SUM(G67:G74)</f>
        <v>57400</v>
      </c>
      <c r="H75" s="80">
        <f>SUM(H67:H74)</f>
        <v>2900</v>
      </c>
      <c r="I75" s="80">
        <f>SUM(I67:I74)</f>
        <v>10200</v>
      </c>
      <c r="J75" s="80">
        <f>SUM(J67:K74)</f>
        <v>70400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0.85</v>
      </c>
      <c r="G80" s="80">
        <f>SUM(G75:G79)</f>
        <v>57400</v>
      </c>
      <c r="H80" s="80">
        <f>SUM(H75:H79)</f>
        <v>2900</v>
      </c>
      <c r="I80" s="80">
        <f>SUM(I75:I79)</f>
        <v>10200</v>
      </c>
      <c r="J80" s="80">
        <f>SUM(J75:J79)</f>
        <v>70400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8" priority="5">
      <formula>$J$44&lt;0</formula>
    </cfRule>
  </conditionalFormatting>
  <conditionalFormatting sqref="K43">
    <cfRule type="expression" dxfId="17" priority="4">
      <formula>$J$43&lt;0</formula>
    </cfRule>
  </conditionalFormatting>
  <conditionalFormatting sqref="L16">
    <cfRule type="expression" dxfId="16" priority="3">
      <formula>$J$16&lt;0</formula>
    </cfRule>
  </conditionalFormatting>
  <conditionalFormatting sqref="K45">
    <cfRule type="expression" dxfId="15" priority="2">
      <formula>$J$44&lt;0</formula>
    </cfRule>
  </conditionalFormatting>
  <conditionalFormatting sqref="K43:N45">
    <cfRule type="containsText" dxfId="1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738689D-0E91-442A-8371-F8677BB0666A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DAD62-A5FA-43BB-AF17-839E6730668F}">
  <sheetPr>
    <pageSetUpPr fitToPage="1"/>
  </sheetPr>
  <dimension ref="A1:CP80"/>
  <sheetViews>
    <sheetView showGridLines="0" zoomScaleNormal="100" workbookViewId="0">
      <selection activeCell="C8" sqref="C8:N1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 t="s">
        <v>274</v>
      </c>
      <c r="E1" s="15"/>
      <c r="F1" s="15"/>
      <c r="G1" s="15"/>
      <c r="H1" s="15"/>
      <c r="I1" s="15"/>
      <c r="J1" s="15"/>
      <c r="K1" s="15"/>
      <c r="L1" s="16" t="s">
        <v>14</v>
      </c>
      <c r="M1" s="468">
        <v>322</v>
      </c>
      <c r="N1" s="469"/>
      <c r="AA1" s="364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 t="s">
        <v>275</v>
      </c>
      <c r="E2" s="21"/>
      <c r="F2" s="21"/>
      <c r="G2" s="21"/>
      <c r="H2" s="21"/>
      <c r="I2" s="21"/>
      <c r="J2" s="20"/>
      <c r="K2" s="20"/>
      <c r="L2" s="22" t="s">
        <v>113</v>
      </c>
      <c r="M2" s="470" t="s">
        <v>284</v>
      </c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 t="s">
        <v>275</v>
      </c>
      <c r="E3" s="24"/>
      <c r="F3" s="25"/>
      <c r="G3" s="25"/>
      <c r="H3" s="25"/>
      <c r="I3" s="26"/>
      <c r="J3" s="20"/>
      <c r="K3" s="20"/>
      <c r="L3" s="22" t="s">
        <v>114</v>
      </c>
      <c r="M3" s="468" t="s">
        <v>167</v>
      </c>
      <c r="N3" s="469"/>
      <c r="AA3" s="364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64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 t="s">
        <v>282</v>
      </c>
      <c r="J5" s="472"/>
      <c r="K5" s="472"/>
      <c r="L5" s="471"/>
      <c r="M5" s="352" t="s">
        <v>115</v>
      </c>
      <c r="N5" s="32" t="s">
        <v>283</v>
      </c>
      <c r="O5"/>
      <c r="P5"/>
      <c r="Q5"/>
      <c r="R5"/>
      <c r="S5"/>
      <c r="T5"/>
      <c r="U5"/>
      <c r="V5"/>
      <c r="W5"/>
      <c r="X5"/>
      <c r="Y5"/>
      <c r="Z5" s="344"/>
      <c r="AA5" s="364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64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370" t="s">
        <v>21</v>
      </c>
      <c r="C8" s="473" t="s">
        <v>22</v>
      </c>
      <c r="D8" s="474"/>
      <c r="E8" s="370" t="s">
        <v>23</v>
      </c>
      <c r="F8" s="49" t="s">
        <v>24</v>
      </c>
      <c r="G8" s="50" t="str">
        <f>"FY "&amp;'LABA|0482-00'!FiscalYear-1&amp;" SALARY"</f>
        <v>FY 2022 SALARY</v>
      </c>
      <c r="H8" s="50" t="str">
        <f>"FY "&amp;'LABA|0482-00'!FiscalYear-1&amp;" HEALTH BENEFITS"</f>
        <v>FY 2022 HEALTH BENEFITS</v>
      </c>
      <c r="I8" s="50" t="str">
        <f>"FY "&amp;'LABA|0482-00'!FiscalYear-1&amp;" VAR BENEFITS"</f>
        <v>FY 2022 VAR BENEFITS</v>
      </c>
      <c r="J8" s="50" t="str">
        <f>"FY "&amp;'LABA|0482-00'!FiscalYear-1&amp;" TOTAL"</f>
        <v>FY 2022 TOTAL</v>
      </c>
      <c r="K8" s="50" t="str">
        <f>"FY "&amp;'LABA|0482-00'!FiscalYear&amp;" SALARY CHANGE"</f>
        <v>FY 2023 SALARY CHANGE</v>
      </c>
      <c r="L8" s="50" t="str">
        <f>"FY "&amp;'LABA|0482-00'!FiscalYear&amp;" CHG HEALTH BENEFITS"</f>
        <v>FY 2023 CHG HEALTH BENEFITS</v>
      </c>
      <c r="M8" s="50" t="str">
        <f>"FY "&amp;'LABA|0482-00'!FiscalYear&amp;"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64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f>[0]!LABA048270col_INC_FTI</f>
        <v>3.77</v>
      </c>
      <c r="G10" s="218">
        <f>[0]!LABA048270col_FTI_SALARY_PERM</f>
        <v>384173.70999999996</v>
      </c>
      <c r="H10" s="218">
        <f>[0]!LABA048270col_HEALTH_PERM</f>
        <v>43920.5</v>
      </c>
      <c r="I10" s="218">
        <f>[0]!LABA048270col_TOT_VB_PERM</f>
        <v>78436.233143099991</v>
      </c>
      <c r="J10" s="219">
        <f>SUM(G10:I10)</f>
        <v>506530.44314309995</v>
      </c>
      <c r="K10" s="219">
        <f>[0]!LABA048270col_1_27TH_PP</f>
        <v>0</v>
      </c>
      <c r="L10" s="218">
        <f>[0]!LABA048270col_HEALTH_PERM_CHG</f>
        <v>0</v>
      </c>
      <c r="M10" s="218">
        <f>[0]!LABA048270col_TOT_VB_PERM_CHG</f>
        <v>-1715.8119209999988</v>
      </c>
      <c r="N10" s="218">
        <f>SUM(L10:M10)</f>
        <v>-1715.8119209999988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3800</v>
      </c>
      <c r="AB10" s="335">
        <f>ROUND(PermVarBen*CECPerm+(CECPerm*PermVarBenChg),-2)</f>
        <v>800</v>
      </c>
      <c r="AC10" s="335">
        <f>SUM(AA10:AB10)</f>
        <v>4600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f>[0]!LABA048270col_Group_Salary</f>
        <v>0</v>
      </c>
      <c r="H11" s="218">
        <v>0</v>
      </c>
      <c r="I11" s="218">
        <f>[0]!LABA048270col_Group_Ben</f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f>[0]!LABA048270col_TOTAL_ELECT_PCN_FTI</f>
        <v>0</v>
      </c>
      <c r="G12" s="218">
        <f>[0]!LABA048270col_FTI_SALARY_ELECT</f>
        <v>0</v>
      </c>
      <c r="H12" s="218">
        <f>[0]!LABA048270col_HEALTH_ELECT</f>
        <v>0</v>
      </c>
      <c r="I12" s="218">
        <f>[0]!LABA048270col_TOT_VB_ELECT</f>
        <v>0</v>
      </c>
      <c r="J12" s="219">
        <f>SUM(G12:I12)</f>
        <v>0</v>
      </c>
      <c r="K12" s="268"/>
      <c r="L12" s="218">
        <f>[0]!LABA048270col_HEALTH_ELECT_CHG</f>
        <v>0</v>
      </c>
      <c r="M12" s="218">
        <f>[0]!LABA048270col_TOT_VB_ELECT_CHG</f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3.77</v>
      </c>
      <c r="G13" s="221">
        <f>SUM(G10:G12)</f>
        <v>384173.70999999996</v>
      </c>
      <c r="H13" s="221">
        <f>SUM(H10:H12)</f>
        <v>43920.5</v>
      </c>
      <c r="I13" s="221">
        <f>SUM(I10:I12)</f>
        <v>78436.233143099991</v>
      </c>
      <c r="J13" s="219">
        <f>SUM(G13:I13)</f>
        <v>506530.44314309995</v>
      </c>
      <c r="K13" s="268"/>
      <c r="L13" s="219">
        <f>SUM(L10:L12)</f>
        <v>0</v>
      </c>
      <c r="M13" s="219">
        <f>SUM(M10:M12)</f>
        <v>-1715.8119209999988</v>
      </c>
      <c r="N13" s="219">
        <f>SUM(N10:N12)</f>
        <v>-1715.8119209999988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365"/>
      <c r="D14" s="371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"&amp;'LABA|0482-00'!FiscalYear-1</f>
        <v>FY 2022</v>
      </c>
      <c r="D15" s="158" t="s">
        <v>31</v>
      </c>
      <c r="E15" s="355">
        <v>537900</v>
      </c>
      <c r="F15" s="55">
        <v>3.15</v>
      </c>
      <c r="G15" s="223">
        <f>IF(OrigApprop=0,0,(G13/$J$13)*OrigApprop)</f>
        <v>407965.68381304597</v>
      </c>
      <c r="H15" s="223">
        <f>IF(OrigApprop=0,0,(H13/$J$13)*OrigApprop)</f>
        <v>46640.507534757882</v>
      </c>
      <c r="I15" s="223">
        <f>IF(G15=0,0,(I13/$J$13)*OrigApprop)</f>
        <v>83293.808652196152</v>
      </c>
      <c r="J15" s="223">
        <f>SUM(G15:I15)</f>
        <v>537900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-0.62000000000000011</v>
      </c>
      <c r="G16" s="162">
        <f>G15-G13</f>
        <v>23791.973813046003</v>
      </c>
      <c r="H16" s="162">
        <f>H15-H13</f>
        <v>2720.0075347578822</v>
      </c>
      <c r="I16" s="162">
        <f>I15-I13</f>
        <v>4857.5755090961611</v>
      </c>
      <c r="J16" s="162">
        <f>J15-J13</f>
        <v>31369.556856900046</v>
      </c>
      <c r="K16" s="269"/>
      <c r="L16" s="56" t="str">
        <f>IF('LABA|0482-00'!OrigApprop=0,"ERROR! Enter Original Appropriation amount in DU 3.00!","Calculated "&amp;IF('LABA|0482-00'!AdjustedTotal&gt;0,"overfunding ","underfunding ")&amp;"is "&amp;TEXT('LABA|0482-00'!AdjustedTotal/'LABA|0482-00'!AppropTotal,"#.0%;(#.0% );0% ;")&amp;" of Original Appropriation")</f>
        <v>Calculated overfunding is 5.8% of Original Appropriation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64"/>
      <c r="AB19" s="364"/>
      <c r="AC19" s="364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64"/>
      <c r="AB20" s="364"/>
      <c r="AC20" s="364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64"/>
      <c r="AB21" s="364"/>
      <c r="AC21" s="364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64"/>
      <c r="AB22" s="364"/>
      <c r="AC22" s="364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64"/>
      <c r="AB23" s="364"/>
      <c r="AC23" s="364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64"/>
      <c r="AC24" s="364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64"/>
      <c r="AC25" s="364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64"/>
      <c r="AC26" s="364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64"/>
      <c r="AB27" s="364"/>
      <c r="AC27" s="364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64"/>
      <c r="AB28" s="364"/>
      <c r="AC28" s="364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64"/>
      <c r="AB29" s="364"/>
      <c r="AC29" s="364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64"/>
      <c r="AB30" s="364"/>
      <c r="AC30" s="364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64"/>
      <c r="AB31" s="364"/>
      <c r="AC31" s="364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64"/>
      <c r="AB32" s="364"/>
      <c r="AC32" s="364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64"/>
      <c r="AB33" s="364"/>
      <c r="AC33" s="364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64"/>
      <c r="AB34" s="364"/>
      <c r="AC34" s="364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64"/>
      <c r="AB35" s="364"/>
      <c r="AC35" s="364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64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3.77</v>
      </c>
      <c r="G38" s="191">
        <f>SUMIF($E10:$E35,$E38,$G10:$G35)</f>
        <v>384173.70999999996</v>
      </c>
      <c r="H38" s="192">
        <f>SUMIF($E10:$E35,$E38,$H10:$H35)</f>
        <v>43920.5</v>
      </c>
      <c r="I38" s="192">
        <f>SUMIF($E10:$E35,$E38,$I10:$I35)</f>
        <v>78436.233143099991</v>
      </c>
      <c r="J38" s="192">
        <f>SUM(G38:I38)</f>
        <v>506530.44314309995</v>
      </c>
      <c r="K38" s="166"/>
      <c r="L38" s="191">
        <f>SUMIF($E10:$E35,$E38,$L10:$L35)</f>
        <v>0</v>
      </c>
      <c r="M38" s="192">
        <f>SUMIF($E10:$E35,$E38,$M10:$M35)</f>
        <v>-1715.8119209999988</v>
      </c>
      <c r="N38" s="192">
        <f>SUM(L38:M38)</f>
        <v>-1715.8119209999988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3800</v>
      </c>
      <c r="AB38" s="338">
        <f>ROUND((AdjPermVB*CECPerm+AdjPermVBBY*CECPerm),-2)</f>
        <v>800</v>
      </c>
      <c r="AC38" s="338">
        <f>SUM(AA38:AB38)</f>
        <v>4600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365" t="str">
        <f>Elect_name</f>
        <v>Elected Officials &amp; Full Time Commissioners</v>
      </c>
      <c r="D40" s="366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64"/>
      <c r="AB40" s="364"/>
      <c r="AC40" s="364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3.77</v>
      </c>
      <c r="G41" s="195">
        <f>SUM($G$38:$G$40)</f>
        <v>384173.70999999996</v>
      </c>
      <c r="H41" s="162">
        <f>SUM($H$38:$H$40)</f>
        <v>43920.5</v>
      </c>
      <c r="I41" s="162">
        <f>SUM($I$38:$I$40)</f>
        <v>78436.233143099991</v>
      </c>
      <c r="J41" s="162">
        <f>SUM($J$38:$J$40)</f>
        <v>506530.44314309995</v>
      </c>
      <c r="K41" s="259"/>
      <c r="L41" s="195">
        <f>SUM($L$38:$L$40)</f>
        <v>0</v>
      </c>
      <c r="M41" s="162">
        <f>SUM($M$38:$M$40)</f>
        <v>-1715.8119209999988</v>
      </c>
      <c r="N41" s="162">
        <f>SUM(L41:M41)</f>
        <v>-1715.8119209999988</v>
      </c>
      <c r="O41"/>
      <c r="P41"/>
      <c r="Q41"/>
      <c r="R41"/>
      <c r="S41"/>
      <c r="T41"/>
      <c r="U41"/>
      <c r="V41"/>
      <c r="W41"/>
      <c r="X41"/>
      <c r="Y41"/>
      <c r="Z41" s="344"/>
      <c r="AA41" s="364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64"/>
      <c r="AB42" s="364"/>
      <c r="AC42" s="364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-0.62</v>
      </c>
      <c r="G43" s="206">
        <f>ROUND(G51-G41,-2)</f>
        <v>23800</v>
      </c>
      <c r="H43" s="159">
        <f>ROUND(H51-H41,-2)</f>
        <v>2700</v>
      </c>
      <c r="I43" s="159">
        <f>ROUND(I51-I41,-2)</f>
        <v>4900</v>
      </c>
      <c r="J43" s="159">
        <f>SUM(G43:I43)</f>
        <v>31400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Calculated overfunding is 5.8% of Original Appropriation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-0.62</v>
      </c>
      <c r="G44" s="206">
        <f>ROUND(G60-G41,-2)</f>
        <v>23800</v>
      </c>
      <c r="H44" s="159">
        <f>ROUND(H60-H41,-2)</f>
        <v>2700</v>
      </c>
      <c r="I44" s="159">
        <f>ROUND(I60-I41,-2)</f>
        <v>4900</v>
      </c>
      <c r="J44" s="159">
        <f>SUM(G44:I44)</f>
        <v>31400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Calculated overfunding is 5.8% of Estimated Expenditures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-0.62</v>
      </c>
      <c r="G45" s="206">
        <f>ROUND(G67-G41-G63,-2)</f>
        <v>23800</v>
      </c>
      <c r="H45" s="206">
        <f>ROUND(H67-H41-H63,-2)</f>
        <v>2700</v>
      </c>
      <c r="I45" s="206">
        <f>ROUND(I67-I41-I63,-2)</f>
        <v>4900</v>
      </c>
      <c r="J45" s="159">
        <f>SUM(G45:I45)</f>
        <v>31400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Calculated overfunding is 5.8% of the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>You may not have sufficient funding or authorized FTP, and may need to make additional adjustments to finalize this form.  Please contact both your DFM and LSO analysts.</v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64"/>
      <c r="AB46" s="364"/>
      <c r="AC46" s="364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64"/>
      <c r="AB47" s="364"/>
      <c r="AC47" s="364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64"/>
      <c r="AB49" s="364"/>
      <c r="AC49" s="364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64"/>
      <c r="AB50" s="364"/>
      <c r="AC50" s="364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537900</v>
      </c>
      <c r="F51" s="272">
        <f>AppropFTP</f>
        <v>3.15</v>
      </c>
      <c r="G51" s="274">
        <f>IF(E51=0,0,(G41/$J$41)*$E$51)</f>
        <v>407965.68381304597</v>
      </c>
      <c r="H51" s="274">
        <f>IF(E51=0,0,(H41/$J$41)*$E$51)</f>
        <v>46640.507534757882</v>
      </c>
      <c r="I51" s="275">
        <f>IF(E51=0,0,(I41/$J$41)*$E$51)</f>
        <v>83293.808652196152</v>
      </c>
      <c r="J51" s="90">
        <f>SUM(G51:I51)</f>
        <v>537900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64"/>
      <c r="AC51" s="364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3.15</v>
      </c>
      <c r="G52" s="79">
        <f>ROUND(G51,-2)</f>
        <v>408000</v>
      </c>
      <c r="H52" s="79">
        <f>ROUND(H51,-2)</f>
        <v>46600</v>
      </c>
      <c r="I52" s="266">
        <f>ROUND(I51,-2)</f>
        <v>83300</v>
      </c>
      <c r="J52" s="80">
        <f>ROUND(J51,-2)</f>
        <v>537900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64"/>
      <c r="AC52" s="364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64"/>
      <c r="AB53" s="364"/>
      <c r="AC53" s="364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64"/>
      <c r="AB54" s="364"/>
      <c r="AC54" s="364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64"/>
      <c r="AB55" s="364"/>
      <c r="AC55" s="364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3.15</v>
      </c>
      <c r="G56" s="80">
        <f>SUM(G52:G55)</f>
        <v>408000</v>
      </c>
      <c r="H56" s="80">
        <f>SUM(H52:H55)</f>
        <v>46600</v>
      </c>
      <c r="I56" s="260">
        <f>SUM(I52:I55)</f>
        <v>83300</v>
      </c>
      <c r="J56" s="80">
        <f>SUM(J52:J55)</f>
        <v>537900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64"/>
      <c r="AB56" s="364"/>
      <c r="AC56" s="364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68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64"/>
      <c r="AB57" s="364"/>
      <c r="AC57" s="364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64"/>
      <c r="AB58" s="364"/>
      <c r="AC58" s="364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64"/>
      <c r="AB59" s="364"/>
      <c r="AC59" s="364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3.15</v>
      </c>
      <c r="G60" s="80">
        <f>SUM(G56:G59)</f>
        <v>408000</v>
      </c>
      <c r="H60" s="80">
        <f>SUM(H56:H59)</f>
        <v>46600</v>
      </c>
      <c r="I60" s="260">
        <f>SUM(I56:I59)</f>
        <v>83300</v>
      </c>
      <c r="J60" s="80">
        <f>SUM(J56:J59)</f>
        <v>537900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64"/>
      <c r="AB60" s="364"/>
      <c r="AC60" s="364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68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64"/>
      <c r="AB61" s="364"/>
      <c r="AC61" s="364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64"/>
      <c r="AB62" s="364"/>
      <c r="AC62" s="364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>
        <v>0</v>
      </c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64"/>
      <c r="AB63" s="364"/>
      <c r="AC63" s="364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64"/>
      <c r="AB64" s="364"/>
      <c r="AC64" s="364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64"/>
      <c r="AB65" s="364"/>
      <c r="AC65" s="364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3.15</v>
      </c>
      <c r="G67" s="80">
        <f>SUM(G60:G64)</f>
        <v>408000</v>
      </c>
      <c r="H67" s="80">
        <f>SUM(H60:H64)</f>
        <v>46600</v>
      </c>
      <c r="I67" s="80">
        <f>SUM(I60:I64)</f>
        <v>83300</v>
      </c>
      <c r="J67" s="80">
        <f>SUM(J60:J64)</f>
        <v>537900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64"/>
      <c r="AB67" s="364"/>
      <c r="AC67" s="364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64"/>
      <c r="AB68" s="364"/>
      <c r="AC68" s="364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-1700</v>
      </c>
      <c r="J69" s="287">
        <f>SUM(G69:I69)</f>
        <v>-1700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64"/>
      <c r="AB69" s="364"/>
      <c r="AC69" s="364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64"/>
      <c r="AB70" s="364"/>
      <c r="AC70" s="364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64"/>
      <c r="AB71" s="364"/>
      <c r="AC71" s="364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3800</v>
      </c>
      <c r="H72" s="287"/>
      <c r="I72" s="287">
        <f>ROUND(($G72*PermVBBY+$G72*Retire1BY),-2)</f>
        <v>800</v>
      </c>
      <c r="J72" s="113">
        <f>SUM(G72:I72)</f>
        <v>4600</v>
      </c>
      <c r="K72" s="296"/>
      <c r="L72" s="298"/>
      <c r="M72" s="350" t="e">
        <f>IF(DUNine=0,0,IF(((#REF!-G39-G40)*E72)&lt;0,0,ROUND(((#REF!-G39-G40)*E72),-2)))</f>
        <v>#REF!</v>
      </c>
      <c r="N72" s="359"/>
      <c r="O72" s="358" t="e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#REF!</v>
      </c>
      <c r="P72" s="358"/>
      <c r="Q72"/>
      <c r="R72"/>
      <c r="S72"/>
      <c r="T72"/>
      <c r="U72"/>
      <c r="V72"/>
      <c r="W72"/>
      <c r="X72"/>
      <c r="Y72"/>
      <c r="Z72" s="344"/>
      <c r="AA72" s="364"/>
      <c r="AB72" s="364"/>
      <c r="AC72" s="364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64"/>
      <c r="AB73" s="364"/>
      <c r="AC73" s="364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367" t="s">
        <v>62</v>
      </c>
      <c r="D74" s="369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64"/>
      <c r="AB74" s="364"/>
      <c r="AC74" s="364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3.15</v>
      </c>
      <c r="G75" s="80">
        <f>SUM(G67:G74)</f>
        <v>411800</v>
      </c>
      <c r="H75" s="80">
        <f>SUM(H67:H74)</f>
        <v>46600</v>
      </c>
      <c r="I75" s="80">
        <f>SUM(I67:I74)</f>
        <v>82400</v>
      </c>
      <c r="J75" s="80">
        <f>SUM(J67:K74)</f>
        <v>540800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64"/>
      <c r="AB75" s="364"/>
      <c r="AC75" s="364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64"/>
      <c r="AB76" s="364"/>
      <c r="AC76" s="364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64"/>
      <c r="AB77" s="364"/>
      <c r="AC77" s="364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64"/>
      <c r="AB78" s="364"/>
      <c r="AC78" s="364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64"/>
      <c r="AB79" s="364"/>
      <c r="AC79" s="364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3.15</v>
      </c>
      <c r="G80" s="80">
        <f>SUM(G75:G79)</f>
        <v>411800</v>
      </c>
      <c r="H80" s="80">
        <f>SUM(H75:H79)</f>
        <v>46600</v>
      </c>
      <c r="I80" s="80">
        <f>SUM(I75:I79)</f>
        <v>82400</v>
      </c>
      <c r="J80" s="80">
        <f>SUM(J75:J79)</f>
        <v>540800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64"/>
      <c r="AB80" s="364"/>
      <c r="AC80" s="364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13:D13"/>
    <mergeCell ref="M1:N1"/>
    <mergeCell ref="M2:N2"/>
    <mergeCell ref="M3:N3"/>
    <mergeCell ref="M4:N4"/>
    <mergeCell ref="I5:L5"/>
    <mergeCell ref="C8:D8"/>
    <mergeCell ref="AA8:AC8"/>
    <mergeCell ref="C9:D9"/>
    <mergeCell ref="C10:D10"/>
    <mergeCell ref="C11:D11"/>
    <mergeCell ref="C12:D12"/>
    <mergeCell ref="K43:N43"/>
    <mergeCell ref="AA43:AC43"/>
    <mergeCell ref="K44:N44"/>
    <mergeCell ref="C16:D16"/>
    <mergeCell ref="C17:D17"/>
    <mergeCell ref="C18:D18"/>
    <mergeCell ref="C37:D37"/>
    <mergeCell ref="AA37:AC37"/>
    <mergeCell ref="C38:D38"/>
    <mergeCell ref="C54:D54"/>
    <mergeCell ref="C39:D39"/>
    <mergeCell ref="C41:D41"/>
    <mergeCell ref="C42:D42"/>
    <mergeCell ref="C43:D44"/>
    <mergeCell ref="K45:N45"/>
    <mergeCell ref="E46:J47"/>
    <mergeCell ref="K46:N47"/>
    <mergeCell ref="C50:D50"/>
    <mergeCell ref="C53:D53"/>
    <mergeCell ref="C69:D69"/>
    <mergeCell ref="C55:D55"/>
    <mergeCell ref="C57:D57"/>
    <mergeCell ref="C58:D58"/>
    <mergeCell ref="C59:D59"/>
    <mergeCell ref="C61:D61"/>
    <mergeCell ref="C62:D62"/>
    <mergeCell ref="C63:D63"/>
    <mergeCell ref="C64:D64"/>
    <mergeCell ref="C65:D65"/>
    <mergeCell ref="C66:D66"/>
    <mergeCell ref="C68:D68"/>
    <mergeCell ref="C78:D78"/>
    <mergeCell ref="C79:D79"/>
    <mergeCell ref="C70:D70"/>
    <mergeCell ref="C71:D71"/>
    <mergeCell ref="C72:D72"/>
    <mergeCell ref="C73:D73"/>
    <mergeCell ref="C76:D76"/>
    <mergeCell ref="C77:D77"/>
  </mergeCells>
  <conditionalFormatting sqref="K44">
    <cfRule type="expression" dxfId="13" priority="5">
      <formula>$J$44&lt;0</formula>
    </cfRule>
  </conditionalFormatting>
  <conditionalFormatting sqref="K43">
    <cfRule type="expression" dxfId="12" priority="4">
      <formula>$J$43&lt;0</formula>
    </cfRule>
  </conditionalFormatting>
  <conditionalFormatting sqref="L16">
    <cfRule type="expression" dxfId="11" priority="3">
      <formula>$J$16&lt;0</formula>
    </cfRule>
  </conditionalFormatting>
  <conditionalFormatting sqref="K45">
    <cfRule type="expression" dxfId="10" priority="2">
      <formula>$J$44&lt;0</formula>
    </cfRule>
  </conditionalFormatting>
  <conditionalFormatting sqref="K43:N45">
    <cfRule type="containsText" dxfId="9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851E9BAC-2F63-419C-A838-9561765FD409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A1:CN43"/>
  <sheetViews>
    <sheetView workbookViewId="0">
      <pane xSplit="3" ySplit="1" topLeftCell="AM23" activePane="bottomRight" state="frozen"/>
      <selection pane="topRight" activeCell="D1" sqref="D1"/>
      <selection pane="bottomLeft" activeCell="A2" sqref="A2"/>
      <selection pane="bottomRight" activeCell="AS30" sqref="AS30:BA43"/>
    </sheetView>
  </sheetViews>
  <sheetFormatPr defaultRowHeight="15" x14ac:dyDescent="0.25"/>
  <cols>
    <col min="45" max="53" width="15.7109375" customWidth="1"/>
    <col min="54" max="54" width="10.5703125" bestFit="1" customWidth="1"/>
    <col min="55" max="55" width="9" bestFit="1" customWidth="1"/>
    <col min="56" max="56" width="10.5703125" bestFit="1" customWidth="1"/>
    <col min="57" max="57" width="9.42578125" bestFit="1" customWidth="1"/>
    <col min="58" max="58" width="10.5703125" bestFit="1" customWidth="1"/>
    <col min="59" max="60" width="9.42578125" bestFit="1" customWidth="1"/>
    <col min="61" max="61" width="9" bestFit="1" customWidth="1"/>
    <col min="62" max="62" width="9.42578125" bestFit="1" customWidth="1"/>
    <col min="63" max="63" width="9" bestFit="1" customWidth="1"/>
    <col min="64" max="64" width="10.5703125" bestFit="1" customWidth="1"/>
    <col min="65" max="65" width="9" bestFit="1" customWidth="1"/>
    <col min="66" max="66" width="10.5703125" bestFit="1" customWidth="1"/>
    <col min="67" max="67" width="9" bestFit="1" customWidth="1"/>
    <col min="68" max="68" width="10.5703125" bestFit="1" customWidth="1"/>
    <col min="69" max="69" width="9.42578125" bestFit="1" customWidth="1"/>
    <col min="70" max="70" width="10.5703125" bestFit="1" customWidth="1"/>
    <col min="71" max="71" width="9.42578125" bestFit="1" customWidth="1"/>
    <col min="72" max="73" width="9" bestFit="1" customWidth="1"/>
    <col min="74" max="74" width="9.42578125" bestFit="1" customWidth="1"/>
    <col min="75" max="75" width="9" bestFit="1" customWidth="1"/>
    <col min="76" max="76" width="10.5703125" bestFit="1" customWidth="1"/>
    <col min="77" max="83" width="9" bestFit="1" customWidth="1"/>
    <col min="84" max="84" width="10.140625" bestFit="1" customWidth="1"/>
    <col min="85" max="87" width="9" bestFit="1" customWidth="1"/>
    <col min="88" max="88" width="10.140625" bestFit="1" customWidth="1"/>
    <col min="89" max="89" width="9" bestFit="1" customWidth="1"/>
    <col min="90" max="90" width="9.42578125" bestFit="1" customWidth="1"/>
    <col min="91" max="91" width="9" bestFit="1" customWidth="1"/>
  </cols>
  <sheetData>
    <row r="1" spans="1:92" ht="12.75" customHeight="1" thickBot="1" x14ac:dyDescent="0.3">
      <c r="A1" s="374" t="s">
        <v>118</v>
      </c>
      <c r="B1" s="374" t="s">
        <v>119</v>
      </c>
      <c r="C1" s="374" t="s">
        <v>20</v>
      </c>
      <c r="D1" s="374" t="s">
        <v>120</v>
      </c>
      <c r="E1" s="374" t="s">
        <v>121</v>
      </c>
      <c r="F1" s="375" t="s">
        <v>122</v>
      </c>
      <c r="G1" s="374" t="s">
        <v>123</v>
      </c>
      <c r="H1" s="374" t="s">
        <v>124</v>
      </c>
      <c r="I1" s="374" t="s">
        <v>125</v>
      </c>
      <c r="J1" s="374" t="s">
        <v>126</v>
      </c>
      <c r="K1" s="374" t="s">
        <v>127</v>
      </c>
      <c r="L1" s="374" t="s">
        <v>128</v>
      </c>
      <c r="M1" s="374" t="s">
        <v>129</v>
      </c>
      <c r="N1" s="374" t="s">
        <v>130</v>
      </c>
      <c r="O1" s="374" t="s">
        <v>131</v>
      </c>
      <c r="P1" s="374" t="s">
        <v>132</v>
      </c>
      <c r="Q1" s="374" t="s">
        <v>133</v>
      </c>
      <c r="R1" s="374" t="s">
        <v>134</v>
      </c>
      <c r="S1" s="374" t="s">
        <v>135</v>
      </c>
      <c r="T1" s="374" t="s">
        <v>136</v>
      </c>
      <c r="U1" s="374" t="s">
        <v>137</v>
      </c>
      <c r="V1" s="374" t="s">
        <v>138</v>
      </c>
      <c r="W1" s="374" t="s">
        <v>139</v>
      </c>
      <c r="X1" s="374" t="s">
        <v>140</v>
      </c>
      <c r="Y1" s="374" t="s">
        <v>141</v>
      </c>
      <c r="Z1" s="374" t="s">
        <v>142</v>
      </c>
      <c r="AA1" s="374" t="s">
        <v>143</v>
      </c>
      <c r="AB1" s="374" t="s">
        <v>144</v>
      </c>
      <c r="AC1" s="374" t="s">
        <v>145</v>
      </c>
      <c r="AD1" s="374" t="s">
        <v>146</v>
      </c>
      <c r="AE1" s="374" t="s">
        <v>147</v>
      </c>
      <c r="AF1" s="374" t="s">
        <v>148</v>
      </c>
      <c r="AG1" s="374" t="s">
        <v>149</v>
      </c>
      <c r="AH1" s="374" t="s">
        <v>150</v>
      </c>
      <c r="AI1" s="374" t="s">
        <v>151</v>
      </c>
      <c r="AJ1" s="374" t="s">
        <v>152</v>
      </c>
      <c r="AK1" s="374" t="s">
        <v>153</v>
      </c>
      <c r="AL1" s="374" t="s">
        <v>154</v>
      </c>
      <c r="AM1" s="374" t="s">
        <v>155</v>
      </c>
      <c r="AN1" s="374" t="s">
        <v>156</v>
      </c>
      <c r="AO1" s="374" t="s">
        <v>157</v>
      </c>
      <c r="AP1" s="374" t="s">
        <v>158</v>
      </c>
      <c r="AQ1" s="374" t="s">
        <v>159</v>
      </c>
      <c r="AR1" s="374" t="s">
        <v>160</v>
      </c>
      <c r="AS1" s="386" t="s">
        <v>224</v>
      </c>
      <c r="AT1" s="386" t="s">
        <v>225</v>
      </c>
      <c r="AU1" s="386" t="s">
        <v>226</v>
      </c>
      <c r="AV1" s="386" t="s">
        <v>227</v>
      </c>
      <c r="AW1" s="386" t="s">
        <v>228</v>
      </c>
      <c r="AX1" s="386" t="s">
        <v>229</v>
      </c>
      <c r="AY1" s="386" t="s">
        <v>230</v>
      </c>
      <c r="AZ1" s="386" t="s">
        <v>231</v>
      </c>
      <c r="BA1" s="388" t="s">
        <v>232</v>
      </c>
      <c r="BB1" s="389" t="s">
        <v>233</v>
      </c>
      <c r="BC1" s="389" t="s">
        <v>234</v>
      </c>
      <c r="BD1" s="389" t="s">
        <v>235</v>
      </c>
      <c r="BE1" s="389" t="s">
        <v>236</v>
      </c>
      <c r="BF1" s="389" t="s">
        <v>237</v>
      </c>
      <c r="BG1" s="389" t="s">
        <v>238</v>
      </c>
      <c r="BH1" s="389" t="s">
        <v>239</v>
      </c>
      <c r="BI1" s="389" t="s">
        <v>240</v>
      </c>
      <c r="BJ1" s="389" t="s">
        <v>241</v>
      </c>
      <c r="BK1" s="389" t="s">
        <v>242</v>
      </c>
      <c r="BL1" s="390" t="s">
        <v>243</v>
      </c>
      <c r="BM1" s="390" t="s">
        <v>244</v>
      </c>
      <c r="BN1" s="389" t="s">
        <v>245</v>
      </c>
      <c r="BO1" s="389" t="s">
        <v>246</v>
      </c>
      <c r="BP1" s="389" t="s">
        <v>247</v>
      </c>
      <c r="BQ1" s="389" t="s">
        <v>248</v>
      </c>
      <c r="BR1" s="389" t="s">
        <v>249</v>
      </c>
      <c r="BS1" s="389" t="s">
        <v>250</v>
      </c>
      <c r="BT1" s="389" t="s">
        <v>251</v>
      </c>
      <c r="BU1" s="389" t="s">
        <v>252</v>
      </c>
      <c r="BV1" s="389" t="s">
        <v>253</v>
      </c>
      <c r="BW1" s="389" t="s">
        <v>254</v>
      </c>
      <c r="BX1" s="390" t="s">
        <v>255</v>
      </c>
      <c r="BY1" s="390" t="s">
        <v>256</v>
      </c>
      <c r="BZ1" s="389" t="s">
        <v>257</v>
      </c>
      <c r="CA1" s="389" t="s">
        <v>258</v>
      </c>
      <c r="CB1" s="389" t="s">
        <v>259</v>
      </c>
      <c r="CC1" s="389" t="s">
        <v>260</v>
      </c>
      <c r="CD1" s="389" t="s">
        <v>261</v>
      </c>
      <c r="CE1" s="389" t="s">
        <v>262</v>
      </c>
      <c r="CF1" s="389" t="s">
        <v>263</v>
      </c>
      <c r="CG1" s="389" t="s">
        <v>264</v>
      </c>
      <c r="CH1" s="389" t="s">
        <v>265</v>
      </c>
      <c r="CI1" s="389" t="s">
        <v>266</v>
      </c>
      <c r="CJ1" s="390" t="s">
        <v>267</v>
      </c>
      <c r="CK1" s="390" t="s">
        <v>268</v>
      </c>
      <c r="CL1" s="391" t="s">
        <v>269</v>
      </c>
      <c r="CM1" s="391" t="s">
        <v>270</v>
      </c>
      <c r="CN1" s="391" t="s">
        <v>271</v>
      </c>
    </row>
    <row r="2" spans="1:92" ht="15.75" thickBot="1" x14ac:dyDescent="0.3">
      <c r="A2" s="376" t="s">
        <v>161</v>
      </c>
      <c r="B2" s="376" t="s">
        <v>162</v>
      </c>
      <c r="C2" s="376" t="s">
        <v>163</v>
      </c>
      <c r="D2" s="376" t="s">
        <v>164</v>
      </c>
      <c r="E2" s="376" t="s">
        <v>165</v>
      </c>
      <c r="F2" s="377" t="s">
        <v>166</v>
      </c>
      <c r="G2" s="376" t="s">
        <v>167</v>
      </c>
      <c r="H2" s="378"/>
      <c r="I2" s="378"/>
      <c r="J2" s="376" t="s">
        <v>168</v>
      </c>
      <c r="K2" s="376" t="s">
        <v>169</v>
      </c>
      <c r="L2" s="376" t="s">
        <v>166</v>
      </c>
      <c r="M2" s="376" t="s">
        <v>170</v>
      </c>
      <c r="N2" s="376" t="s">
        <v>171</v>
      </c>
      <c r="O2" s="379">
        <v>1</v>
      </c>
      <c r="P2" s="385">
        <v>0.23</v>
      </c>
      <c r="Q2" s="385">
        <v>0.23</v>
      </c>
      <c r="R2" s="380">
        <v>80</v>
      </c>
      <c r="S2" s="385">
        <v>0.23</v>
      </c>
      <c r="T2" s="380">
        <v>49589.77</v>
      </c>
      <c r="U2" s="380">
        <v>0</v>
      </c>
      <c r="V2" s="380">
        <v>11880.51</v>
      </c>
      <c r="W2" s="380">
        <v>49069.48</v>
      </c>
      <c r="X2" s="380">
        <v>12066.92</v>
      </c>
      <c r="Y2" s="380">
        <v>49069.48</v>
      </c>
      <c r="Z2" s="380">
        <v>11816.67</v>
      </c>
      <c r="AA2" s="376" t="s">
        <v>172</v>
      </c>
      <c r="AB2" s="376" t="s">
        <v>173</v>
      </c>
      <c r="AC2" s="376" t="s">
        <v>174</v>
      </c>
      <c r="AD2" s="376" t="s">
        <v>175</v>
      </c>
      <c r="AE2" s="376" t="s">
        <v>169</v>
      </c>
      <c r="AF2" s="376" t="s">
        <v>176</v>
      </c>
      <c r="AG2" s="376" t="s">
        <v>177</v>
      </c>
      <c r="AH2" s="381">
        <v>102.57</v>
      </c>
      <c r="AI2" s="379">
        <v>18160</v>
      </c>
      <c r="AJ2" s="376" t="s">
        <v>178</v>
      </c>
      <c r="AK2" s="376" t="s">
        <v>179</v>
      </c>
      <c r="AL2" s="376" t="s">
        <v>180</v>
      </c>
      <c r="AM2" s="376" t="s">
        <v>181</v>
      </c>
      <c r="AN2" s="376" t="s">
        <v>68</v>
      </c>
      <c r="AO2" s="379">
        <v>80</v>
      </c>
      <c r="AP2" s="385">
        <v>1</v>
      </c>
      <c r="AQ2" s="385">
        <v>0.23</v>
      </c>
      <c r="AR2" s="383" t="s">
        <v>182</v>
      </c>
      <c r="AS2" s="387">
        <f>IF(((AO2/80)*AP2*P2)&gt;1,AQ2,((AO2/80)*AP2*P2))</f>
        <v>0.23</v>
      </c>
      <c r="AT2">
        <f>IF(AND(M2="F",N2&lt;&gt;"NG",AS2&lt;&gt;0,AND(AR2&lt;&gt;6,AR2&lt;&gt;36,AR2&lt;&gt;56),AG2&lt;&gt;"A",OR(AG2="H",AJ2="FS")),1,IF(AND(M2="F",N2&lt;&gt;"NG",AS2&lt;&gt;0,AG2="A"),3,0))</f>
        <v>1</v>
      </c>
      <c r="AU2" s="387">
        <f>IF(AT2=0,"",IF(AND(AT2=1,M2="F",SUMIF(C2:C12,C2,AS2:AS12)&lt;=1),SUMIF(C2:C12,C2,AS2:AS12),IF(AND(AT2=1,M2="F",SUMIF(C2:C12,C2,AS2:AS12)&gt;1),1,"")))</f>
        <v>1</v>
      </c>
      <c r="AV2" s="387" t="str">
        <f>IF(AT2=0,"",IF(AND(AT2=3,M2="F",SUMIF(C2:C12,C2,AS2:AS12)&lt;=1),SUMIF(C2:C12,C2,AS2:AS12),IF(AND(AT2=3,M2="F",SUMIF(C2:C12,C2,AS2:AS12)&gt;1),1,"")))</f>
        <v/>
      </c>
      <c r="AW2" s="387">
        <f>SUMIF(C2:C12,C2,O2:O12)</f>
        <v>2</v>
      </c>
      <c r="AX2" s="387">
        <f>IF(AND(M2="F",AS2&lt;&gt;0),SUMIF(C2:C12,C2,W2:W12),0)</f>
        <v>213345.59</v>
      </c>
      <c r="AY2" s="387">
        <f>IF(AT2=1,W2,"")</f>
        <v>49069.48</v>
      </c>
      <c r="AZ2" s="387" t="str">
        <f>IF(AT2=3,W2,"")</f>
        <v/>
      </c>
      <c r="BA2" s="387">
        <f>IF(AT2=1,Y2-W2,0)</f>
        <v>0</v>
      </c>
      <c r="BB2" s="387">
        <f t="shared" ref="BB2:BB12" si="0">IF(AND(AT2=1,AK2="E",AU2&gt;=0.75,AW2=1),Health,IF(AND(AT2=1,AK2="E",AU2&gt;=0.75),Health*P2,IF(AND(AT2=1,AK2="E",AU2&gt;=0.5,AW2=1),PTHealth,IF(AND(AT2=1,AK2="E",AU2&gt;=0.5),PTHealth*P2,0))))</f>
        <v>2679.5</v>
      </c>
      <c r="BC2" s="387">
        <f t="shared" ref="BC2:BC12" si="1">IF(AND(AT2=3,AK2="E",AV2&gt;=0.75,AW2=1),Health,IF(AND(AT2=3,AK2="E",AV2&gt;=0.75),Health*P2,IF(AND(AT2=3,AK2="E",AV2&gt;=0.5,AW2=1),PTHealth,IF(AND(AT2=3,AK2="E",AV2&gt;=0.5),PTHealth*P2,0))))</f>
        <v>0</v>
      </c>
      <c r="BD2" s="387">
        <f t="shared" ref="BD2:BD12" si="2">IF(AND(AT2&lt;&gt;0,AX2&gt;=MAXSSDI),SSDI*MAXSSDI*P2,IF(AT2&lt;&gt;0,SSDI*W2,0))</f>
        <v>1963.6020000000001</v>
      </c>
      <c r="BE2" s="387">
        <f t="shared" ref="BE2:BE12" si="3">IF(AT2&lt;&gt;0,SSHI*W2,0)</f>
        <v>711.50746000000004</v>
      </c>
      <c r="BF2" s="387">
        <f t="shared" ref="BF2:BF12" si="4">IF(AND(AT2&lt;&gt;0,AN2&lt;&gt;"NE"),VLOOKUP(AN2,Retirement_Rates,3,FALSE)*W2,0)</f>
        <v>5858.8959120000009</v>
      </c>
      <c r="BG2" s="387">
        <f t="shared" ref="BG2:BG12" si="5">IF(AND(AT2&lt;&gt;0,AJ2&lt;&gt;"PF"),Life*W2,0)</f>
        <v>353.79095080000002</v>
      </c>
      <c r="BH2" s="387">
        <f t="shared" ref="BH2:BH12" si="6">IF(AND(AT2&lt;&gt;0,AM2="Y"),UI*W2,0)</f>
        <v>240.44045200000002</v>
      </c>
      <c r="BI2" s="387">
        <f t="shared" ref="BI2:BI12" si="7">IF(AND(AT2&lt;&gt;0,N2&lt;&gt;"NR"),DHR*W2,0)</f>
        <v>0</v>
      </c>
      <c r="BJ2" s="387">
        <f t="shared" ref="BJ2:BJ12" si="8">IF(AT2&lt;&gt;0,WC*W2,0)</f>
        <v>186.46402400000002</v>
      </c>
      <c r="BK2" s="387">
        <f t="shared" ref="BK2:BK12" si="9">IF(OR(AND(AT2&lt;&gt;0,AJ2&lt;&gt;"PF",AN2&lt;&gt;"NE",AG2&lt;&gt;"A"),AND(AL2="E",OR(AT2=1,AT2=3))),Sick*W2,0)</f>
        <v>0</v>
      </c>
      <c r="BL2" s="387">
        <f>IF(AT2=1,SUM(BD2:BK2),0)</f>
        <v>9314.7007988000023</v>
      </c>
      <c r="BM2" s="387">
        <f>IF(AT2=3,SUM(BD2:BK2),0)</f>
        <v>0</v>
      </c>
      <c r="BN2" s="387">
        <f t="shared" ref="BN2:BN12" si="10">IF(AND(AT2=1,AK2="E",AU2&gt;=0.75,AW2=1),HealthBY,IF(AND(AT2=1,AK2="E",AU2&gt;=0.75),HealthBY*P2,IF(AND(AT2=1,AK2="E",AU2&gt;=0.5,AW2=1),PTHealthBY,IF(AND(AT2=1,AK2="E",AU2&gt;=0.5),PTHealthBY*P2,0))))</f>
        <v>2679.5</v>
      </c>
      <c r="BO2" s="387">
        <f t="shared" ref="BO2:BO12" si="11">IF(AND(AT2=3,AK2="E",AV2&gt;=0.75,AW2=1),HealthBY,IF(AND(AT2=3,AK2="E",AV2&gt;=0.75),HealthBY*P2,IF(AND(AT2=3,AK2="E",AV2&gt;=0.5,AW2=1),PTHealthBY,IF(AND(AT2=3,AK2="E",AV2&gt;=0.5),PTHealthBY*P2,0))))</f>
        <v>0</v>
      </c>
      <c r="BP2" s="387">
        <f t="shared" ref="BP2:BP12" si="12">IF(AND(AT2&lt;&gt;0,(AX2+BA2)&gt;=MAXSSDIBY),SSDIBY*MAXSSDIBY*P2,IF(AT2&lt;&gt;0,SSDIBY*W2,0))</f>
        <v>2036.3280000000002</v>
      </c>
      <c r="BQ2" s="387">
        <f t="shared" ref="BQ2:BQ12" si="13">IF(AT2&lt;&gt;0,SSHIBY*W2,0)</f>
        <v>711.50746000000004</v>
      </c>
      <c r="BR2" s="387">
        <f t="shared" ref="BR2:BR12" si="14">IF(AND(AT2&lt;&gt;0,AN2&lt;&gt;"NE"),VLOOKUP(AN2,Retirement_Rates,4,FALSE)*W2,0)</f>
        <v>5858.8959120000009</v>
      </c>
      <c r="BS2" s="387">
        <f t="shared" ref="BS2:BS12" si="15">IF(AND(AT2&lt;&gt;0,AJ2&lt;&gt;"PF"),LifeBY*W2,0)</f>
        <v>353.79095080000002</v>
      </c>
      <c r="BT2" s="387">
        <f t="shared" ref="BT2:BT12" si="16">IF(AND(AT2&lt;&gt;0,AM2="Y"),UIBY*W2,0)</f>
        <v>0</v>
      </c>
      <c r="BU2" s="387">
        <f t="shared" ref="BU2:BU12" si="17">IF(AND(AT2&lt;&gt;0,N2&lt;&gt;"NR"),DHRBY*W2,0)</f>
        <v>0</v>
      </c>
      <c r="BV2" s="387">
        <f t="shared" ref="BV2:BV12" si="18">IF(AT2&lt;&gt;0,WCBY*W2,0)</f>
        <v>176.650128</v>
      </c>
      <c r="BW2" s="387">
        <f t="shared" ref="BW2:BW12" si="19">IF(OR(AND(AT2&lt;&gt;0,AJ2&lt;&gt;"PF",AN2&lt;&gt;"NE",AG2&lt;&gt;"A"),AND(AL2="E",OR(AT2=1,AT2=3))),SickBY*W2,0)</f>
        <v>0</v>
      </c>
      <c r="BX2" s="387">
        <f>IF(AT2=1,SUM(BP2:BW2),0)</f>
        <v>9137.1724508000007</v>
      </c>
      <c r="BY2" s="387">
        <f>IF(AT2=3,SUM(BP2:BW2),0)</f>
        <v>0</v>
      </c>
      <c r="BZ2" s="387">
        <f>IF(AT2=1,BN2-BB2,0)</f>
        <v>0</v>
      </c>
      <c r="CA2" s="387">
        <f>IF(AT2=3,BO2-BC2,0)</f>
        <v>0</v>
      </c>
      <c r="CB2" s="387">
        <f>BP2-BD2</f>
        <v>72.726000000000113</v>
      </c>
      <c r="CC2" s="387">
        <f t="shared" ref="CC2:CC12" si="20">IF(AT2&lt;&gt;0,SSHICHG*Y2,0)</f>
        <v>0</v>
      </c>
      <c r="CD2" s="387">
        <f t="shared" ref="CD2:CD12" si="21">IF(AND(AT2&lt;&gt;0,AN2&lt;&gt;"NE"),VLOOKUP(AN2,Retirement_Rates,5,FALSE)*Y2,0)</f>
        <v>0</v>
      </c>
      <c r="CE2" s="387">
        <f t="shared" ref="CE2:CE12" si="22">IF(AND(AT2&lt;&gt;0,AJ2&lt;&gt;"PF"),LifeCHG*Y2,0)</f>
        <v>0</v>
      </c>
      <c r="CF2" s="387">
        <f t="shared" ref="CF2:CF12" si="23">IF(AND(AT2&lt;&gt;0,AM2="Y"),UICHG*Y2,0)</f>
        <v>-240.44045200000002</v>
      </c>
      <c r="CG2" s="387">
        <f t="shared" ref="CG2:CG12" si="24">IF(AND(AT2&lt;&gt;0,N2&lt;&gt;"NR"),DHRCHG*Y2,0)</f>
        <v>0</v>
      </c>
      <c r="CH2" s="387">
        <f t="shared" ref="CH2:CH12" si="25">IF(AT2&lt;&gt;0,WCCHG*Y2,0)</f>
        <v>-9.8138960000000051</v>
      </c>
      <c r="CI2" s="387">
        <f t="shared" ref="CI2:CI12" si="26">IF(OR(AND(AT2&lt;&gt;0,AJ2&lt;&gt;"PF",AN2&lt;&gt;"NE",AG2&lt;&gt;"A"),AND(AL2="E",OR(AT2=1,AT2=3))),SickCHG*Y2,0)</f>
        <v>0</v>
      </c>
      <c r="CJ2" s="387">
        <f>IF(AT2=1,SUM(CB2:CI2),0)</f>
        <v>-177.52834799999991</v>
      </c>
      <c r="CK2" s="387" t="str">
        <f>IF(AT2=3,SUM(CB2:CI2),"")</f>
        <v/>
      </c>
      <c r="CL2" s="387" t="str">
        <f>IF(OR(N2="NG",AG2="D"),(T2+U2),"")</f>
        <v/>
      </c>
      <c r="CM2" s="387" t="str">
        <f>IF(OR(N2="NG",AG2="D"),V2,"")</f>
        <v/>
      </c>
      <c r="CN2" s="387" t="str">
        <f>E2 &amp; "-" &amp; F2</f>
        <v>0349-00</v>
      </c>
    </row>
    <row r="3" spans="1:92" ht="15.75" thickBot="1" x14ac:dyDescent="0.3">
      <c r="A3" s="376" t="s">
        <v>161</v>
      </c>
      <c r="B3" s="376" t="s">
        <v>162</v>
      </c>
      <c r="C3" s="376" t="s">
        <v>183</v>
      </c>
      <c r="D3" s="376" t="s">
        <v>184</v>
      </c>
      <c r="E3" s="376" t="s">
        <v>165</v>
      </c>
      <c r="F3" s="377" t="s">
        <v>166</v>
      </c>
      <c r="G3" s="376" t="s">
        <v>167</v>
      </c>
      <c r="H3" s="378"/>
      <c r="I3" s="378"/>
      <c r="J3" s="376" t="s">
        <v>168</v>
      </c>
      <c r="K3" s="376" t="s">
        <v>185</v>
      </c>
      <c r="L3" s="376" t="s">
        <v>166</v>
      </c>
      <c r="M3" s="376" t="s">
        <v>186</v>
      </c>
      <c r="N3" s="376" t="s">
        <v>187</v>
      </c>
      <c r="O3" s="379">
        <v>0</v>
      </c>
      <c r="P3" s="385">
        <v>0.36</v>
      </c>
      <c r="Q3" s="385">
        <v>0</v>
      </c>
      <c r="R3" s="380">
        <v>0</v>
      </c>
      <c r="S3" s="385">
        <v>0</v>
      </c>
      <c r="T3" s="380">
        <v>0</v>
      </c>
      <c r="U3" s="380">
        <v>0</v>
      </c>
      <c r="V3" s="380">
        <v>0</v>
      </c>
      <c r="W3" s="380">
        <v>0</v>
      </c>
      <c r="X3" s="380">
        <v>0</v>
      </c>
      <c r="Y3" s="380">
        <v>0</v>
      </c>
      <c r="Z3" s="380">
        <v>0</v>
      </c>
      <c r="AA3" s="378"/>
      <c r="AB3" s="376" t="s">
        <v>45</v>
      </c>
      <c r="AC3" s="376" t="s">
        <v>45</v>
      </c>
      <c r="AD3" s="378"/>
      <c r="AE3" s="378"/>
      <c r="AF3" s="378"/>
      <c r="AG3" s="378"/>
      <c r="AH3" s="379">
        <v>0</v>
      </c>
      <c r="AI3" s="379">
        <v>0</v>
      </c>
      <c r="AJ3" s="378"/>
      <c r="AK3" s="378"/>
      <c r="AL3" s="376" t="s">
        <v>180</v>
      </c>
      <c r="AM3" s="378"/>
      <c r="AN3" s="378"/>
      <c r="AO3" s="379">
        <v>0</v>
      </c>
      <c r="AP3" s="385">
        <v>0</v>
      </c>
      <c r="AQ3" s="385">
        <v>0</v>
      </c>
      <c r="AR3" s="384"/>
      <c r="AS3" s="387">
        <f t="shared" ref="AS3:AS12" si="27">IF(((AO3/80)*AP3*P3)&gt;1,AQ3,((AO3/80)*AP3*P3))</f>
        <v>0</v>
      </c>
      <c r="AT3">
        <f t="shared" ref="AT3:AT12" si="28">IF(AND(M3="F",N3&lt;&gt;"NG",AS3&lt;&gt;0,AND(AR3&lt;&gt;6,AR3&lt;&gt;36,AR3&lt;&gt;56),AG3&lt;&gt;"A",OR(AG3="H",AJ3="FS")),1,IF(AND(M3="F",N3&lt;&gt;"NG",AS3&lt;&gt;0,AG3="A"),3,0))</f>
        <v>0</v>
      </c>
      <c r="AU3" s="387" t="str">
        <f>IF(AT3=0,"",IF(AND(AT3=1,M3="F",SUMIF(C2:C12,C3,AS2:AS12)&lt;=1),SUMIF(C2:C12,C3,AS2:AS12),IF(AND(AT3=1,M3="F",SUMIF(C2:C12,C3,AS2:AS12)&gt;1),1,"")))</f>
        <v/>
      </c>
      <c r="AV3" s="387" t="str">
        <f>IF(AT3=0,"",IF(AND(AT3=3,M3="F",SUMIF(C2:C12,C3,AS2:AS12)&lt;=1),SUMIF(C2:C12,C3,AS2:AS12),IF(AND(AT3=3,M3="F",SUMIF(C2:C12,C3,AS2:AS12)&gt;1),1,"")))</f>
        <v/>
      </c>
      <c r="AW3" s="387">
        <f>SUMIF(C2:C12,C3,O2:O12)</f>
        <v>0</v>
      </c>
      <c r="AX3" s="387">
        <f>IF(AND(M3="F",AS3&lt;&gt;0),SUMIF(C2:C12,C3,W2:W12),0)</f>
        <v>0</v>
      </c>
      <c r="AY3" s="387" t="str">
        <f t="shared" ref="AY3:AY12" si="29">IF(AT3=1,W3,"")</f>
        <v/>
      </c>
      <c r="AZ3" s="387" t="str">
        <f t="shared" ref="AZ3:AZ12" si="30">IF(AT3=3,W3,"")</f>
        <v/>
      </c>
      <c r="BA3" s="387">
        <f t="shared" ref="BA3:BA12" si="31">IF(AT3=1,Y3-W3,0)</f>
        <v>0</v>
      </c>
      <c r="BB3" s="387">
        <f t="shared" si="0"/>
        <v>0</v>
      </c>
      <c r="BC3" s="387">
        <f t="shared" si="1"/>
        <v>0</v>
      </c>
      <c r="BD3" s="387">
        <f t="shared" si="2"/>
        <v>0</v>
      </c>
      <c r="BE3" s="387">
        <f t="shared" si="3"/>
        <v>0</v>
      </c>
      <c r="BF3" s="387">
        <f t="shared" si="4"/>
        <v>0</v>
      </c>
      <c r="BG3" s="387">
        <f t="shared" si="5"/>
        <v>0</v>
      </c>
      <c r="BH3" s="387">
        <f t="shared" si="6"/>
        <v>0</v>
      </c>
      <c r="BI3" s="387">
        <f t="shared" si="7"/>
        <v>0</v>
      </c>
      <c r="BJ3" s="387">
        <f t="shared" si="8"/>
        <v>0</v>
      </c>
      <c r="BK3" s="387">
        <f t="shared" si="9"/>
        <v>0</v>
      </c>
      <c r="BL3" s="387">
        <f t="shared" ref="BL3:BL12" si="32">IF(AT3=1,SUM(BD3:BK3),0)</f>
        <v>0</v>
      </c>
      <c r="BM3" s="387">
        <f t="shared" ref="BM3:BM12" si="33">IF(AT3=3,SUM(BD3:BK3),0)</f>
        <v>0</v>
      </c>
      <c r="BN3" s="387">
        <f t="shared" si="10"/>
        <v>0</v>
      </c>
      <c r="BO3" s="387">
        <f t="shared" si="11"/>
        <v>0</v>
      </c>
      <c r="BP3" s="387">
        <f t="shared" si="12"/>
        <v>0</v>
      </c>
      <c r="BQ3" s="387">
        <f t="shared" si="13"/>
        <v>0</v>
      </c>
      <c r="BR3" s="387">
        <f t="shared" si="14"/>
        <v>0</v>
      </c>
      <c r="BS3" s="387">
        <f t="shared" si="15"/>
        <v>0</v>
      </c>
      <c r="BT3" s="387">
        <f t="shared" si="16"/>
        <v>0</v>
      </c>
      <c r="BU3" s="387">
        <f t="shared" si="17"/>
        <v>0</v>
      </c>
      <c r="BV3" s="387">
        <f t="shared" si="18"/>
        <v>0</v>
      </c>
      <c r="BW3" s="387">
        <f t="shared" si="19"/>
        <v>0</v>
      </c>
      <c r="BX3" s="387">
        <f t="shared" ref="BX3:BX12" si="34">IF(AT3=1,SUM(BP3:BW3),0)</f>
        <v>0</v>
      </c>
      <c r="BY3" s="387">
        <f t="shared" ref="BY3:BY12" si="35">IF(AT3=3,SUM(BP3:BW3),0)</f>
        <v>0</v>
      </c>
      <c r="BZ3" s="387">
        <f t="shared" ref="BZ3:BZ12" si="36">IF(AT3=1,BN3-BB3,0)</f>
        <v>0</v>
      </c>
      <c r="CA3" s="387">
        <f t="shared" ref="CA3:CA12" si="37">IF(AT3=3,BO3-BC3,0)</f>
        <v>0</v>
      </c>
      <c r="CB3" s="387">
        <f t="shared" ref="CB3:CB12" si="38">BP3-BD3</f>
        <v>0</v>
      </c>
      <c r="CC3" s="387">
        <f t="shared" si="20"/>
        <v>0</v>
      </c>
      <c r="CD3" s="387">
        <f t="shared" si="21"/>
        <v>0</v>
      </c>
      <c r="CE3" s="387">
        <f t="shared" si="22"/>
        <v>0</v>
      </c>
      <c r="CF3" s="387">
        <f t="shared" si="23"/>
        <v>0</v>
      </c>
      <c r="CG3" s="387">
        <f t="shared" si="24"/>
        <v>0</v>
      </c>
      <c r="CH3" s="387">
        <f t="shared" si="25"/>
        <v>0</v>
      </c>
      <c r="CI3" s="387">
        <f t="shared" si="26"/>
        <v>0</v>
      </c>
      <c r="CJ3" s="387">
        <f t="shared" ref="CJ3:CJ12" si="39">IF(AT3=1,SUM(CB3:CI3),0)</f>
        <v>0</v>
      </c>
      <c r="CK3" s="387" t="str">
        <f t="shared" ref="CK3:CK12" si="40">IF(AT3=3,SUM(CB3:CI3),"")</f>
        <v/>
      </c>
      <c r="CL3" s="387">
        <f t="shared" ref="CL3:CL12" si="41">IF(OR(N3="NG",AG3="D"),(T3+U3),"")</f>
        <v>0</v>
      </c>
      <c r="CM3" s="387">
        <f t="shared" ref="CM3:CM12" si="42">IF(OR(N3="NG",AG3="D"),V3,"")</f>
        <v>0</v>
      </c>
      <c r="CN3" s="387" t="str">
        <f t="shared" ref="CN3:CN12" si="43">E3 &amp; "-" &amp; F3</f>
        <v>0349-00</v>
      </c>
    </row>
    <row r="4" spans="1:92" ht="15.75" thickBot="1" x14ac:dyDescent="0.3">
      <c r="A4" s="376" t="s">
        <v>161</v>
      </c>
      <c r="B4" s="376" t="s">
        <v>162</v>
      </c>
      <c r="C4" s="376" t="s">
        <v>188</v>
      </c>
      <c r="D4" s="376" t="s">
        <v>189</v>
      </c>
      <c r="E4" s="376" t="s">
        <v>165</v>
      </c>
      <c r="F4" s="377" t="s">
        <v>166</v>
      </c>
      <c r="G4" s="376" t="s">
        <v>167</v>
      </c>
      <c r="H4" s="378"/>
      <c r="I4" s="378"/>
      <c r="J4" s="376" t="s">
        <v>168</v>
      </c>
      <c r="K4" s="376" t="s">
        <v>190</v>
      </c>
      <c r="L4" s="376" t="s">
        <v>191</v>
      </c>
      <c r="M4" s="376" t="s">
        <v>186</v>
      </c>
      <c r="N4" s="376" t="s">
        <v>187</v>
      </c>
      <c r="O4" s="379">
        <v>0</v>
      </c>
      <c r="P4" s="385">
        <v>0.3</v>
      </c>
      <c r="Q4" s="385">
        <v>0</v>
      </c>
      <c r="R4" s="380">
        <v>0</v>
      </c>
      <c r="S4" s="385">
        <v>0</v>
      </c>
      <c r="T4" s="380">
        <v>0</v>
      </c>
      <c r="U4" s="380">
        <v>0</v>
      </c>
      <c r="V4" s="380">
        <v>0</v>
      </c>
      <c r="W4" s="380">
        <v>0</v>
      </c>
      <c r="X4" s="380">
        <v>0</v>
      </c>
      <c r="Y4" s="380">
        <v>0</v>
      </c>
      <c r="Z4" s="380">
        <v>0</v>
      </c>
      <c r="AA4" s="378"/>
      <c r="AB4" s="376" t="s">
        <v>45</v>
      </c>
      <c r="AC4" s="376" t="s">
        <v>45</v>
      </c>
      <c r="AD4" s="378"/>
      <c r="AE4" s="378"/>
      <c r="AF4" s="378"/>
      <c r="AG4" s="378"/>
      <c r="AH4" s="379">
        <v>0</v>
      </c>
      <c r="AI4" s="379">
        <v>0</v>
      </c>
      <c r="AJ4" s="378"/>
      <c r="AK4" s="378"/>
      <c r="AL4" s="376" t="s">
        <v>180</v>
      </c>
      <c r="AM4" s="378"/>
      <c r="AN4" s="378"/>
      <c r="AO4" s="379">
        <v>0</v>
      </c>
      <c r="AP4" s="385">
        <v>0</v>
      </c>
      <c r="AQ4" s="385">
        <v>0</v>
      </c>
      <c r="AR4" s="384"/>
      <c r="AS4" s="387">
        <f t="shared" si="27"/>
        <v>0</v>
      </c>
      <c r="AT4">
        <f t="shared" si="28"/>
        <v>0</v>
      </c>
      <c r="AU4" s="387" t="str">
        <f>IF(AT4=0,"",IF(AND(AT4=1,M4="F",SUMIF(C2:C12,C4,AS2:AS12)&lt;=1),SUMIF(C2:C12,C4,AS2:AS12),IF(AND(AT4=1,M4="F",SUMIF(C2:C12,C4,AS2:AS12)&gt;1),1,"")))</f>
        <v/>
      </c>
      <c r="AV4" s="387" t="str">
        <f>IF(AT4=0,"",IF(AND(AT4=3,M4="F",SUMIF(C2:C12,C4,AS2:AS12)&lt;=1),SUMIF(C2:C12,C4,AS2:AS12),IF(AND(AT4=3,M4="F",SUMIF(C2:C12,C4,AS2:AS12)&gt;1),1,"")))</f>
        <v/>
      </c>
      <c r="AW4" s="387">
        <f>SUMIF(C2:C12,C4,O2:O12)</f>
        <v>0</v>
      </c>
      <c r="AX4" s="387">
        <f>IF(AND(M4="F",AS4&lt;&gt;0),SUMIF(C2:C12,C4,W2:W12),0)</f>
        <v>0</v>
      </c>
      <c r="AY4" s="387" t="str">
        <f t="shared" si="29"/>
        <v/>
      </c>
      <c r="AZ4" s="387" t="str">
        <f t="shared" si="30"/>
        <v/>
      </c>
      <c r="BA4" s="387">
        <f t="shared" si="31"/>
        <v>0</v>
      </c>
      <c r="BB4" s="387">
        <f t="shared" si="0"/>
        <v>0</v>
      </c>
      <c r="BC4" s="387">
        <f t="shared" si="1"/>
        <v>0</v>
      </c>
      <c r="BD4" s="387">
        <f t="shared" si="2"/>
        <v>0</v>
      </c>
      <c r="BE4" s="387">
        <f t="shared" si="3"/>
        <v>0</v>
      </c>
      <c r="BF4" s="387">
        <f t="shared" si="4"/>
        <v>0</v>
      </c>
      <c r="BG4" s="387">
        <f t="shared" si="5"/>
        <v>0</v>
      </c>
      <c r="BH4" s="387">
        <f t="shared" si="6"/>
        <v>0</v>
      </c>
      <c r="BI4" s="387">
        <f t="shared" si="7"/>
        <v>0</v>
      </c>
      <c r="BJ4" s="387">
        <f t="shared" si="8"/>
        <v>0</v>
      </c>
      <c r="BK4" s="387">
        <f t="shared" si="9"/>
        <v>0</v>
      </c>
      <c r="BL4" s="387">
        <f t="shared" si="32"/>
        <v>0</v>
      </c>
      <c r="BM4" s="387">
        <f t="shared" si="33"/>
        <v>0</v>
      </c>
      <c r="BN4" s="387">
        <f t="shared" si="10"/>
        <v>0</v>
      </c>
      <c r="BO4" s="387">
        <f t="shared" si="11"/>
        <v>0</v>
      </c>
      <c r="BP4" s="387">
        <f t="shared" si="12"/>
        <v>0</v>
      </c>
      <c r="BQ4" s="387">
        <f t="shared" si="13"/>
        <v>0</v>
      </c>
      <c r="BR4" s="387">
        <f t="shared" si="14"/>
        <v>0</v>
      </c>
      <c r="BS4" s="387">
        <f t="shared" si="15"/>
        <v>0</v>
      </c>
      <c r="BT4" s="387">
        <f t="shared" si="16"/>
        <v>0</v>
      </c>
      <c r="BU4" s="387">
        <f t="shared" si="17"/>
        <v>0</v>
      </c>
      <c r="BV4" s="387">
        <f t="shared" si="18"/>
        <v>0</v>
      </c>
      <c r="BW4" s="387">
        <f t="shared" si="19"/>
        <v>0</v>
      </c>
      <c r="BX4" s="387">
        <f t="shared" si="34"/>
        <v>0</v>
      </c>
      <c r="BY4" s="387">
        <f t="shared" si="35"/>
        <v>0</v>
      </c>
      <c r="BZ4" s="387">
        <f t="shared" si="36"/>
        <v>0</v>
      </c>
      <c r="CA4" s="387">
        <f t="shared" si="37"/>
        <v>0</v>
      </c>
      <c r="CB4" s="387">
        <f t="shared" si="38"/>
        <v>0</v>
      </c>
      <c r="CC4" s="387">
        <f t="shared" si="20"/>
        <v>0</v>
      </c>
      <c r="CD4" s="387">
        <f t="shared" si="21"/>
        <v>0</v>
      </c>
      <c r="CE4" s="387">
        <f t="shared" si="22"/>
        <v>0</v>
      </c>
      <c r="CF4" s="387">
        <f t="shared" si="23"/>
        <v>0</v>
      </c>
      <c r="CG4" s="387">
        <f t="shared" si="24"/>
        <v>0</v>
      </c>
      <c r="CH4" s="387">
        <f t="shared" si="25"/>
        <v>0</v>
      </c>
      <c r="CI4" s="387">
        <f t="shared" si="26"/>
        <v>0</v>
      </c>
      <c r="CJ4" s="387">
        <f t="shared" si="39"/>
        <v>0</v>
      </c>
      <c r="CK4" s="387" t="str">
        <f t="shared" si="40"/>
        <v/>
      </c>
      <c r="CL4" s="387">
        <f t="shared" si="41"/>
        <v>0</v>
      </c>
      <c r="CM4" s="387">
        <f t="shared" si="42"/>
        <v>0</v>
      </c>
      <c r="CN4" s="387" t="str">
        <f t="shared" si="43"/>
        <v>0349-00</v>
      </c>
    </row>
    <row r="5" spans="1:92" ht="15.75" thickBot="1" x14ac:dyDescent="0.3">
      <c r="A5" s="376" t="s">
        <v>161</v>
      </c>
      <c r="B5" s="376" t="s">
        <v>162</v>
      </c>
      <c r="C5" s="376" t="s">
        <v>192</v>
      </c>
      <c r="D5" s="376" t="s">
        <v>193</v>
      </c>
      <c r="E5" s="376" t="s">
        <v>165</v>
      </c>
      <c r="F5" s="377" t="s">
        <v>166</v>
      </c>
      <c r="G5" s="376" t="s">
        <v>167</v>
      </c>
      <c r="H5" s="378"/>
      <c r="I5" s="378"/>
      <c r="J5" s="376" t="s">
        <v>194</v>
      </c>
      <c r="K5" s="376" t="s">
        <v>195</v>
      </c>
      <c r="L5" s="376" t="s">
        <v>166</v>
      </c>
      <c r="M5" s="376" t="s">
        <v>186</v>
      </c>
      <c r="N5" s="376" t="s">
        <v>187</v>
      </c>
      <c r="O5" s="379">
        <v>0</v>
      </c>
      <c r="P5" s="385">
        <v>1</v>
      </c>
      <c r="Q5" s="385">
        <v>0</v>
      </c>
      <c r="R5" s="380">
        <v>0</v>
      </c>
      <c r="S5" s="385">
        <v>0</v>
      </c>
      <c r="T5" s="380">
        <v>0</v>
      </c>
      <c r="U5" s="380">
        <v>0</v>
      </c>
      <c r="V5" s="380">
        <v>0</v>
      </c>
      <c r="W5" s="380">
        <v>0</v>
      </c>
      <c r="X5" s="380">
        <v>0</v>
      </c>
      <c r="Y5" s="380">
        <v>0</v>
      </c>
      <c r="Z5" s="380">
        <v>0</v>
      </c>
      <c r="AA5" s="378"/>
      <c r="AB5" s="376" t="s">
        <v>45</v>
      </c>
      <c r="AC5" s="376" t="s">
        <v>45</v>
      </c>
      <c r="AD5" s="378"/>
      <c r="AE5" s="378"/>
      <c r="AF5" s="378"/>
      <c r="AG5" s="378"/>
      <c r="AH5" s="379">
        <v>0</v>
      </c>
      <c r="AI5" s="379">
        <v>0</v>
      </c>
      <c r="AJ5" s="378"/>
      <c r="AK5" s="378"/>
      <c r="AL5" s="376" t="s">
        <v>180</v>
      </c>
      <c r="AM5" s="378"/>
      <c r="AN5" s="378"/>
      <c r="AO5" s="379">
        <v>0</v>
      </c>
      <c r="AP5" s="385">
        <v>0</v>
      </c>
      <c r="AQ5" s="385">
        <v>0</v>
      </c>
      <c r="AR5" s="384"/>
      <c r="AS5" s="387">
        <f t="shared" si="27"/>
        <v>0</v>
      </c>
      <c r="AT5">
        <f t="shared" si="28"/>
        <v>0</v>
      </c>
      <c r="AU5" s="387" t="str">
        <f>IF(AT5=0,"",IF(AND(AT5=1,M5="F",SUMIF(C2:C12,C5,AS2:AS12)&lt;=1),SUMIF(C2:C12,C5,AS2:AS12),IF(AND(AT5=1,M5="F",SUMIF(C2:C12,C5,AS2:AS12)&gt;1),1,"")))</f>
        <v/>
      </c>
      <c r="AV5" s="387" t="str">
        <f>IF(AT5=0,"",IF(AND(AT5=3,M5="F",SUMIF(C2:C12,C5,AS2:AS12)&lt;=1),SUMIF(C2:C12,C5,AS2:AS12),IF(AND(AT5=3,M5="F",SUMIF(C2:C12,C5,AS2:AS12)&gt;1),1,"")))</f>
        <v/>
      </c>
      <c r="AW5" s="387">
        <f>SUMIF(C2:C12,C5,O2:O12)</f>
        <v>0</v>
      </c>
      <c r="AX5" s="387">
        <f>IF(AND(M5="F",AS5&lt;&gt;0),SUMIF(C2:C12,C5,W2:W12),0)</f>
        <v>0</v>
      </c>
      <c r="AY5" s="387" t="str">
        <f t="shared" si="29"/>
        <v/>
      </c>
      <c r="AZ5" s="387" t="str">
        <f t="shared" si="30"/>
        <v/>
      </c>
      <c r="BA5" s="387">
        <f t="shared" si="31"/>
        <v>0</v>
      </c>
      <c r="BB5" s="387">
        <f t="shared" si="0"/>
        <v>0</v>
      </c>
      <c r="BC5" s="387">
        <f t="shared" si="1"/>
        <v>0</v>
      </c>
      <c r="BD5" s="387">
        <f t="shared" si="2"/>
        <v>0</v>
      </c>
      <c r="BE5" s="387">
        <f t="shared" si="3"/>
        <v>0</v>
      </c>
      <c r="BF5" s="387">
        <f t="shared" si="4"/>
        <v>0</v>
      </c>
      <c r="BG5" s="387">
        <f t="shared" si="5"/>
        <v>0</v>
      </c>
      <c r="BH5" s="387">
        <f t="shared" si="6"/>
        <v>0</v>
      </c>
      <c r="BI5" s="387">
        <f t="shared" si="7"/>
        <v>0</v>
      </c>
      <c r="BJ5" s="387">
        <f t="shared" si="8"/>
        <v>0</v>
      </c>
      <c r="BK5" s="387">
        <f t="shared" si="9"/>
        <v>0</v>
      </c>
      <c r="BL5" s="387">
        <f t="shared" si="32"/>
        <v>0</v>
      </c>
      <c r="BM5" s="387">
        <f t="shared" si="33"/>
        <v>0</v>
      </c>
      <c r="BN5" s="387">
        <f t="shared" si="10"/>
        <v>0</v>
      </c>
      <c r="BO5" s="387">
        <f t="shared" si="11"/>
        <v>0</v>
      </c>
      <c r="BP5" s="387">
        <f t="shared" si="12"/>
        <v>0</v>
      </c>
      <c r="BQ5" s="387">
        <f t="shared" si="13"/>
        <v>0</v>
      </c>
      <c r="BR5" s="387">
        <f t="shared" si="14"/>
        <v>0</v>
      </c>
      <c r="BS5" s="387">
        <f t="shared" si="15"/>
        <v>0</v>
      </c>
      <c r="BT5" s="387">
        <f t="shared" si="16"/>
        <v>0</v>
      </c>
      <c r="BU5" s="387">
        <f t="shared" si="17"/>
        <v>0</v>
      </c>
      <c r="BV5" s="387">
        <f t="shared" si="18"/>
        <v>0</v>
      </c>
      <c r="BW5" s="387">
        <f t="shared" si="19"/>
        <v>0</v>
      </c>
      <c r="BX5" s="387">
        <f t="shared" si="34"/>
        <v>0</v>
      </c>
      <c r="BY5" s="387">
        <f t="shared" si="35"/>
        <v>0</v>
      </c>
      <c r="BZ5" s="387">
        <f t="shared" si="36"/>
        <v>0</v>
      </c>
      <c r="CA5" s="387">
        <f t="shared" si="37"/>
        <v>0</v>
      </c>
      <c r="CB5" s="387">
        <f t="shared" si="38"/>
        <v>0</v>
      </c>
      <c r="CC5" s="387">
        <f t="shared" si="20"/>
        <v>0</v>
      </c>
      <c r="CD5" s="387">
        <f t="shared" si="21"/>
        <v>0</v>
      </c>
      <c r="CE5" s="387">
        <f t="shared" si="22"/>
        <v>0</v>
      </c>
      <c r="CF5" s="387">
        <f t="shared" si="23"/>
        <v>0</v>
      </c>
      <c r="CG5" s="387">
        <f t="shared" si="24"/>
        <v>0</v>
      </c>
      <c r="CH5" s="387">
        <f t="shared" si="25"/>
        <v>0</v>
      </c>
      <c r="CI5" s="387">
        <f t="shared" si="26"/>
        <v>0</v>
      </c>
      <c r="CJ5" s="387">
        <f t="shared" si="39"/>
        <v>0</v>
      </c>
      <c r="CK5" s="387" t="str">
        <f t="shared" si="40"/>
        <v/>
      </c>
      <c r="CL5" s="387">
        <f t="shared" si="41"/>
        <v>0</v>
      </c>
      <c r="CM5" s="387">
        <f t="shared" si="42"/>
        <v>0</v>
      </c>
      <c r="CN5" s="387" t="str">
        <f t="shared" si="43"/>
        <v>0349-00</v>
      </c>
    </row>
    <row r="6" spans="1:92" ht="15.75" thickBot="1" x14ac:dyDescent="0.3">
      <c r="A6" s="376" t="s">
        <v>161</v>
      </c>
      <c r="B6" s="376" t="s">
        <v>162</v>
      </c>
      <c r="C6" s="376" t="s">
        <v>196</v>
      </c>
      <c r="D6" s="376" t="s">
        <v>193</v>
      </c>
      <c r="E6" s="376" t="s">
        <v>165</v>
      </c>
      <c r="F6" s="377" t="s">
        <v>166</v>
      </c>
      <c r="G6" s="376" t="s">
        <v>167</v>
      </c>
      <c r="H6" s="378"/>
      <c r="I6" s="378"/>
      <c r="J6" s="376" t="s">
        <v>194</v>
      </c>
      <c r="K6" s="376" t="s">
        <v>195</v>
      </c>
      <c r="L6" s="376" t="s">
        <v>166</v>
      </c>
      <c r="M6" s="376" t="s">
        <v>170</v>
      </c>
      <c r="N6" s="376" t="s">
        <v>187</v>
      </c>
      <c r="O6" s="379">
        <v>0</v>
      </c>
      <c r="P6" s="385">
        <v>1</v>
      </c>
      <c r="Q6" s="385">
        <v>0</v>
      </c>
      <c r="R6" s="380">
        <v>0</v>
      </c>
      <c r="S6" s="385">
        <v>0</v>
      </c>
      <c r="T6" s="380">
        <v>4400</v>
      </c>
      <c r="U6" s="380">
        <v>0</v>
      </c>
      <c r="V6" s="380">
        <v>338.2</v>
      </c>
      <c r="W6" s="380">
        <v>4400</v>
      </c>
      <c r="X6" s="380">
        <v>338.2</v>
      </c>
      <c r="Y6" s="380">
        <v>4400</v>
      </c>
      <c r="Z6" s="380">
        <v>338.2</v>
      </c>
      <c r="AA6" s="378"/>
      <c r="AB6" s="376" t="s">
        <v>45</v>
      </c>
      <c r="AC6" s="376" t="s">
        <v>45</v>
      </c>
      <c r="AD6" s="378"/>
      <c r="AE6" s="378"/>
      <c r="AF6" s="378"/>
      <c r="AG6" s="378"/>
      <c r="AH6" s="379">
        <v>0</v>
      </c>
      <c r="AI6" s="379">
        <v>0</v>
      </c>
      <c r="AJ6" s="378"/>
      <c r="AK6" s="378"/>
      <c r="AL6" s="376" t="s">
        <v>180</v>
      </c>
      <c r="AM6" s="378"/>
      <c r="AN6" s="378"/>
      <c r="AO6" s="379">
        <v>0</v>
      </c>
      <c r="AP6" s="385">
        <v>0</v>
      </c>
      <c r="AQ6" s="385">
        <v>0</v>
      </c>
      <c r="AR6" s="384"/>
      <c r="AS6" s="387">
        <f t="shared" si="27"/>
        <v>0</v>
      </c>
      <c r="AT6">
        <f t="shared" si="28"/>
        <v>0</v>
      </c>
      <c r="AU6" s="387" t="str">
        <f>IF(AT6=0,"",IF(AND(AT6=1,M6="F",SUMIF(C2:C12,C6,AS2:AS12)&lt;=1),SUMIF(C2:C12,C6,AS2:AS12),IF(AND(AT6=1,M6="F",SUMIF(C2:C12,C6,AS2:AS12)&gt;1),1,"")))</f>
        <v/>
      </c>
      <c r="AV6" s="387" t="str">
        <f>IF(AT6=0,"",IF(AND(AT6=3,M6="F",SUMIF(C2:C12,C6,AS2:AS12)&lt;=1),SUMIF(C2:C12,C6,AS2:AS12),IF(AND(AT6=3,M6="F",SUMIF(C2:C12,C6,AS2:AS12)&gt;1),1,"")))</f>
        <v/>
      </c>
      <c r="AW6" s="387">
        <f>SUMIF(C2:C12,C6,O2:O12)</f>
        <v>0</v>
      </c>
      <c r="AX6" s="387">
        <f>IF(AND(M6="F",AS6&lt;&gt;0),SUMIF(C2:C12,C6,W2:W12),0)</f>
        <v>0</v>
      </c>
      <c r="AY6" s="387" t="str">
        <f t="shared" si="29"/>
        <v/>
      </c>
      <c r="AZ6" s="387" t="str">
        <f t="shared" si="30"/>
        <v/>
      </c>
      <c r="BA6" s="387">
        <f t="shared" si="31"/>
        <v>0</v>
      </c>
      <c r="BB6" s="387">
        <f t="shared" si="0"/>
        <v>0</v>
      </c>
      <c r="BC6" s="387">
        <f t="shared" si="1"/>
        <v>0</v>
      </c>
      <c r="BD6" s="387">
        <f t="shared" si="2"/>
        <v>0</v>
      </c>
      <c r="BE6" s="387">
        <f t="shared" si="3"/>
        <v>0</v>
      </c>
      <c r="BF6" s="387">
        <f t="shared" si="4"/>
        <v>0</v>
      </c>
      <c r="BG6" s="387">
        <f t="shared" si="5"/>
        <v>0</v>
      </c>
      <c r="BH6" s="387">
        <f t="shared" si="6"/>
        <v>0</v>
      </c>
      <c r="BI6" s="387">
        <f t="shared" si="7"/>
        <v>0</v>
      </c>
      <c r="BJ6" s="387">
        <f t="shared" si="8"/>
        <v>0</v>
      </c>
      <c r="BK6" s="387">
        <f t="shared" si="9"/>
        <v>0</v>
      </c>
      <c r="BL6" s="387">
        <f t="shared" si="32"/>
        <v>0</v>
      </c>
      <c r="BM6" s="387">
        <f t="shared" si="33"/>
        <v>0</v>
      </c>
      <c r="BN6" s="387">
        <f t="shared" si="10"/>
        <v>0</v>
      </c>
      <c r="BO6" s="387">
        <f t="shared" si="11"/>
        <v>0</v>
      </c>
      <c r="BP6" s="387">
        <f t="shared" si="12"/>
        <v>0</v>
      </c>
      <c r="BQ6" s="387">
        <f t="shared" si="13"/>
        <v>0</v>
      </c>
      <c r="BR6" s="387">
        <f t="shared" si="14"/>
        <v>0</v>
      </c>
      <c r="BS6" s="387">
        <f t="shared" si="15"/>
        <v>0</v>
      </c>
      <c r="BT6" s="387">
        <f t="shared" si="16"/>
        <v>0</v>
      </c>
      <c r="BU6" s="387">
        <f t="shared" si="17"/>
        <v>0</v>
      </c>
      <c r="BV6" s="387">
        <f t="shared" si="18"/>
        <v>0</v>
      </c>
      <c r="BW6" s="387">
        <f t="shared" si="19"/>
        <v>0</v>
      </c>
      <c r="BX6" s="387">
        <f t="shared" si="34"/>
        <v>0</v>
      </c>
      <c r="BY6" s="387">
        <f t="shared" si="35"/>
        <v>0</v>
      </c>
      <c r="BZ6" s="387">
        <f t="shared" si="36"/>
        <v>0</v>
      </c>
      <c r="CA6" s="387">
        <f t="shared" si="37"/>
        <v>0</v>
      </c>
      <c r="CB6" s="387">
        <f t="shared" si="38"/>
        <v>0</v>
      </c>
      <c r="CC6" s="387">
        <f t="shared" si="20"/>
        <v>0</v>
      </c>
      <c r="CD6" s="387">
        <f t="shared" si="21"/>
        <v>0</v>
      </c>
      <c r="CE6" s="387">
        <f t="shared" si="22"/>
        <v>0</v>
      </c>
      <c r="CF6" s="387">
        <f t="shared" si="23"/>
        <v>0</v>
      </c>
      <c r="CG6" s="387">
        <f t="shared" si="24"/>
        <v>0</v>
      </c>
      <c r="CH6" s="387">
        <f t="shared" si="25"/>
        <v>0</v>
      </c>
      <c r="CI6" s="387">
        <f t="shared" si="26"/>
        <v>0</v>
      </c>
      <c r="CJ6" s="387">
        <f t="shared" si="39"/>
        <v>0</v>
      </c>
      <c r="CK6" s="387" t="str">
        <f t="shared" si="40"/>
        <v/>
      </c>
      <c r="CL6" s="387">
        <f t="shared" si="41"/>
        <v>4400</v>
      </c>
      <c r="CM6" s="387">
        <f t="shared" si="42"/>
        <v>338.2</v>
      </c>
      <c r="CN6" s="387" t="str">
        <f t="shared" si="43"/>
        <v>0349-00</v>
      </c>
    </row>
    <row r="7" spans="1:92" ht="15.75" thickBot="1" x14ac:dyDescent="0.3">
      <c r="A7" s="376" t="s">
        <v>161</v>
      </c>
      <c r="B7" s="376" t="s">
        <v>162</v>
      </c>
      <c r="C7" s="376" t="s">
        <v>197</v>
      </c>
      <c r="D7" s="376" t="s">
        <v>198</v>
      </c>
      <c r="E7" s="376" t="s">
        <v>199</v>
      </c>
      <c r="F7" s="382" t="s">
        <v>200</v>
      </c>
      <c r="G7" s="376" t="s">
        <v>167</v>
      </c>
      <c r="H7" s="378"/>
      <c r="I7" s="378"/>
      <c r="J7" s="376" t="s">
        <v>194</v>
      </c>
      <c r="K7" s="376" t="s">
        <v>201</v>
      </c>
      <c r="L7" s="376" t="s">
        <v>202</v>
      </c>
      <c r="M7" s="376" t="s">
        <v>170</v>
      </c>
      <c r="N7" s="376" t="s">
        <v>203</v>
      </c>
      <c r="O7" s="379">
        <v>1</v>
      </c>
      <c r="P7" s="385">
        <v>1</v>
      </c>
      <c r="Q7" s="385">
        <v>1</v>
      </c>
      <c r="R7" s="380">
        <v>80</v>
      </c>
      <c r="S7" s="385">
        <v>1</v>
      </c>
      <c r="T7" s="380">
        <v>48814.42</v>
      </c>
      <c r="U7" s="380">
        <v>0</v>
      </c>
      <c r="V7" s="380">
        <v>21786.46</v>
      </c>
      <c r="W7" s="380">
        <v>50856</v>
      </c>
      <c r="X7" s="380">
        <v>22703.53</v>
      </c>
      <c r="Y7" s="380">
        <v>50856</v>
      </c>
      <c r="Z7" s="380">
        <v>22444.17</v>
      </c>
      <c r="AA7" s="376" t="s">
        <v>204</v>
      </c>
      <c r="AB7" s="376" t="s">
        <v>205</v>
      </c>
      <c r="AC7" s="376" t="s">
        <v>206</v>
      </c>
      <c r="AD7" s="376" t="s">
        <v>207</v>
      </c>
      <c r="AE7" s="376" t="s">
        <v>201</v>
      </c>
      <c r="AF7" s="376" t="s">
        <v>208</v>
      </c>
      <c r="AG7" s="376" t="s">
        <v>177</v>
      </c>
      <c r="AH7" s="381">
        <v>24.45</v>
      </c>
      <c r="AI7" s="381">
        <v>30427.1</v>
      </c>
      <c r="AJ7" s="376" t="s">
        <v>178</v>
      </c>
      <c r="AK7" s="376" t="s">
        <v>179</v>
      </c>
      <c r="AL7" s="376" t="s">
        <v>180</v>
      </c>
      <c r="AM7" s="376" t="s">
        <v>181</v>
      </c>
      <c r="AN7" s="376" t="s">
        <v>68</v>
      </c>
      <c r="AO7" s="379">
        <v>80</v>
      </c>
      <c r="AP7" s="385">
        <v>1</v>
      </c>
      <c r="AQ7" s="385">
        <v>1</v>
      </c>
      <c r="AR7" s="383" t="s">
        <v>182</v>
      </c>
      <c r="AS7" s="387">
        <f t="shared" si="27"/>
        <v>1</v>
      </c>
      <c r="AT7">
        <f t="shared" si="28"/>
        <v>1</v>
      </c>
      <c r="AU7" s="387">
        <f>IF(AT7=0,"",IF(AND(AT7=1,M7="F",SUMIF(C2:C12,C7,AS2:AS12)&lt;=1),SUMIF(C2:C12,C7,AS2:AS12),IF(AND(AT7=1,M7="F",SUMIF(C2:C12,C7,AS2:AS12)&gt;1),1,"")))</f>
        <v>1</v>
      </c>
      <c r="AV7" s="387" t="str">
        <f>IF(AT7=0,"",IF(AND(AT7=3,M7="F",SUMIF(C2:C12,C7,AS2:AS12)&lt;=1),SUMIF(C2:C12,C7,AS2:AS12),IF(AND(AT7=3,M7="F",SUMIF(C2:C12,C7,AS2:AS12)&gt;1),1,"")))</f>
        <v/>
      </c>
      <c r="AW7" s="387">
        <f>SUMIF(C2:C12,C7,O2:O12)</f>
        <v>1</v>
      </c>
      <c r="AX7" s="387">
        <f>IF(AND(M7="F",AS7&lt;&gt;0),SUMIF(C2:C12,C7,W2:W12),0)</f>
        <v>50856</v>
      </c>
      <c r="AY7" s="387">
        <f t="shared" si="29"/>
        <v>50856</v>
      </c>
      <c r="AZ7" s="387" t="str">
        <f t="shared" si="30"/>
        <v/>
      </c>
      <c r="BA7" s="387">
        <f t="shared" si="31"/>
        <v>0</v>
      </c>
      <c r="BB7" s="387">
        <f t="shared" si="0"/>
        <v>11650</v>
      </c>
      <c r="BC7" s="387">
        <f t="shared" si="1"/>
        <v>0</v>
      </c>
      <c r="BD7" s="387">
        <f t="shared" si="2"/>
        <v>3153.0720000000001</v>
      </c>
      <c r="BE7" s="387">
        <f t="shared" si="3"/>
        <v>737.41200000000003</v>
      </c>
      <c r="BF7" s="387">
        <f t="shared" si="4"/>
        <v>6072.2064</v>
      </c>
      <c r="BG7" s="387">
        <f t="shared" si="5"/>
        <v>366.67176000000001</v>
      </c>
      <c r="BH7" s="387">
        <f t="shared" si="6"/>
        <v>249.1944</v>
      </c>
      <c r="BI7" s="387">
        <f t="shared" si="7"/>
        <v>281.74223999999998</v>
      </c>
      <c r="BJ7" s="387">
        <f t="shared" si="8"/>
        <v>193.25280000000001</v>
      </c>
      <c r="BK7" s="387">
        <f t="shared" si="9"/>
        <v>0</v>
      </c>
      <c r="BL7" s="387">
        <f t="shared" si="32"/>
        <v>11053.551599999999</v>
      </c>
      <c r="BM7" s="387">
        <f t="shared" si="33"/>
        <v>0</v>
      </c>
      <c r="BN7" s="387">
        <f t="shared" si="10"/>
        <v>11650</v>
      </c>
      <c r="BO7" s="387">
        <f t="shared" si="11"/>
        <v>0</v>
      </c>
      <c r="BP7" s="387">
        <f t="shared" si="12"/>
        <v>3153.0720000000001</v>
      </c>
      <c r="BQ7" s="387">
        <f t="shared" si="13"/>
        <v>737.41200000000003</v>
      </c>
      <c r="BR7" s="387">
        <f t="shared" si="14"/>
        <v>6072.2064</v>
      </c>
      <c r="BS7" s="387">
        <f t="shared" si="15"/>
        <v>366.67176000000001</v>
      </c>
      <c r="BT7" s="387">
        <f t="shared" si="16"/>
        <v>0</v>
      </c>
      <c r="BU7" s="387">
        <f t="shared" si="17"/>
        <v>281.74223999999998</v>
      </c>
      <c r="BV7" s="387">
        <f t="shared" si="18"/>
        <v>183.08160000000001</v>
      </c>
      <c r="BW7" s="387">
        <f t="shared" si="19"/>
        <v>0</v>
      </c>
      <c r="BX7" s="387">
        <f t="shared" si="34"/>
        <v>10794.185999999998</v>
      </c>
      <c r="BY7" s="387">
        <f t="shared" si="35"/>
        <v>0</v>
      </c>
      <c r="BZ7" s="387">
        <f t="shared" si="36"/>
        <v>0</v>
      </c>
      <c r="CA7" s="387">
        <f t="shared" si="37"/>
        <v>0</v>
      </c>
      <c r="CB7" s="387">
        <f t="shared" si="38"/>
        <v>0</v>
      </c>
      <c r="CC7" s="387">
        <f t="shared" si="20"/>
        <v>0</v>
      </c>
      <c r="CD7" s="387">
        <f t="shared" si="21"/>
        <v>0</v>
      </c>
      <c r="CE7" s="387">
        <f t="shared" si="22"/>
        <v>0</v>
      </c>
      <c r="CF7" s="387">
        <f t="shared" si="23"/>
        <v>-249.1944</v>
      </c>
      <c r="CG7" s="387">
        <f t="shared" si="24"/>
        <v>0</v>
      </c>
      <c r="CH7" s="387">
        <f t="shared" si="25"/>
        <v>-10.171200000000004</v>
      </c>
      <c r="CI7" s="387">
        <f t="shared" si="26"/>
        <v>0</v>
      </c>
      <c r="CJ7" s="387">
        <f t="shared" si="39"/>
        <v>-259.36560000000003</v>
      </c>
      <c r="CK7" s="387" t="str">
        <f t="shared" si="40"/>
        <v/>
      </c>
      <c r="CL7" s="387" t="str">
        <f t="shared" si="41"/>
        <v/>
      </c>
      <c r="CM7" s="387" t="str">
        <f t="shared" si="42"/>
        <v/>
      </c>
      <c r="CN7" s="387" t="str">
        <f t="shared" si="43"/>
        <v>0482-70</v>
      </c>
    </row>
    <row r="8" spans="1:92" ht="15.75" thickBot="1" x14ac:dyDescent="0.3">
      <c r="A8" s="376" t="s">
        <v>161</v>
      </c>
      <c r="B8" s="376" t="s">
        <v>162</v>
      </c>
      <c r="C8" s="376" t="s">
        <v>209</v>
      </c>
      <c r="D8" s="376" t="s">
        <v>210</v>
      </c>
      <c r="E8" s="376" t="s">
        <v>199</v>
      </c>
      <c r="F8" s="382" t="s">
        <v>200</v>
      </c>
      <c r="G8" s="376" t="s">
        <v>167</v>
      </c>
      <c r="H8" s="378"/>
      <c r="I8" s="378"/>
      <c r="J8" s="376" t="s">
        <v>194</v>
      </c>
      <c r="K8" s="376" t="s">
        <v>211</v>
      </c>
      <c r="L8" s="376" t="s">
        <v>166</v>
      </c>
      <c r="M8" s="376" t="s">
        <v>170</v>
      </c>
      <c r="N8" s="376" t="s">
        <v>171</v>
      </c>
      <c r="O8" s="379">
        <v>1</v>
      </c>
      <c r="P8" s="385">
        <v>1</v>
      </c>
      <c r="Q8" s="385">
        <v>1</v>
      </c>
      <c r="R8" s="380">
        <v>80</v>
      </c>
      <c r="S8" s="385">
        <v>1</v>
      </c>
      <c r="T8" s="380">
        <v>94740.800000000003</v>
      </c>
      <c r="U8" s="380">
        <v>0</v>
      </c>
      <c r="V8" s="380">
        <v>31084.05</v>
      </c>
      <c r="W8" s="380">
        <v>97926.399999999994</v>
      </c>
      <c r="X8" s="380">
        <v>32391.759999999998</v>
      </c>
      <c r="Y8" s="380">
        <v>97926.399999999994</v>
      </c>
      <c r="Z8" s="380">
        <v>31892.34</v>
      </c>
      <c r="AA8" s="376" t="s">
        <v>212</v>
      </c>
      <c r="AB8" s="376" t="s">
        <v>213</v>
      </c>
      <c r="AC8" s="376" t="s">
        <v>214</v>
      </c>
      <c r="AD8" s="376" t="s">
        <v>179</v>
      </c>
      <c r="AE8" s="376" t="s">
        <v>211</v>
      </c>
      <c r="AF8" s="376" t="s">
        <v>176</v>
      </c>
      <c r="AG8" s="376" t="s">
        <v>177</v>
      </c>
      <c r="AH8" s="381">
        <v>47.08</v>
      </c>
      <c r="AI8" s="379">
        <v>31586</v>
      </c>
      <c r="AJ8" s="376" t="s">
        <v>178</v>
      </c>
      <c r="AK8" s="376" t="s">
        <v>179</v>
      </c>
      <c r="AL8" s="376" t="s">
        <v>180</v>
      </c>
      <c r="AM8" s="376" t="s">
        <v>181</v>
      </c>
      <c r="AN8" s="376" t="s">
        <v>68</v>
      </c>
      <c r="AO8" s="379">
        <v>80</v>
      </c>
      <c r="AP8" s="385">
        <v>1</v>
      </c>
      <c r="AQ8" s="385">
        <v>1</v>
      </c>
      <c r="AR8" s="383" t="s">
        <v>182</v>
      </c>
      <c r="AS8" s="387">
        <f t="shared" si="27"/>
        <v>1</v>
      </c>
      <c r="AT8">
        <f t="shared" si="28"/>
        <v>1</v>
      </c>
      <c r="AU8" s="387">
        <f>IF(AT8=0,"",IF(AND(AT8=1,M8="F",SUMIF(C2:C12,C8,AS2:AS12)&lt;=1),SUMIF(C2:C12,C8,AS2:AS12),IF(AND(AT8=1,M8="F",SUMIF(C2:C12,C8,AS2:AS12)&gt;1),1,"")))</f>
        <v>1</v>
      </c>
      <c r="AV8" s="387" t="str">
        <f>IF(AT8=0,"",IF(AND(AT8=3,M8="F",SUMIF(C2:C12,C8,AS2:AS12)&lt;=1),SUMIF(C2:C12,C8,AS2:AS12),IF(AND(AT8=3,M8="F",SUMIF(C2:C12,C8,AS2:AS12)&gt;1),1,"")))</f>
        <v/>
      </c>
      <c r="AW8" s="387">
        <f>SUMIF(C2:C12,C8,O2:O12)</f>
        <v>1</v>
      </c>
      <c r="AX8" s="387">
        <f>IF(AND(M8="F",AS8&lt;&gt;0),SUMIF(C2:C12,C8,W2:W12),0)</f>
        <v>97926.399999999994</v>
      </c>
      <c r="AY8" s="387">
        <f t="shared" si="29"/>
        <v>97926.399999999994</v>
      </c>
      <c r="AZ8" s="387" t="str">
        <f t="shared" si="30"/>
        <v/>
      </c>
      <c r="BA8" s="387">
        <f t="shared" si="31"/>
        <v>0</v>
      </c>
      <c r="BB8" s="387">
        <f t="shared" si="0"/>
        <v>11650</v>
      </c>
      <c r="BC8" s="387">
        <f t="shared" si="1"/>
        <v>0</v>
      </c>
      <c r="BD8" s="387">
        <f t="shared" si="2"/>
        <v>6071.4367999999995</v>
      </c>
      <c r="BE8" s="387">
        <f t="shared" si="3"/>
        <v>1419.9328</v>
      </c>
      <c r="BF8" s="387">
        <f t="shared" si="4"/>
        <v>11692.41216</v>
      </c>
      <c r="BG8" s="387">
        <f t="shared" si="5"/>
        <v>706.04934400000002</v>
      </c>
      <c r="BH8" s="387">
        <f t="shared" si="6"/>
        <v>479.83935999999994</v>
      </c>
      <c r="BI8" s="387">
        <f t="shared" si="7"/>
        <v>0</v>
      </c>
      <c r="BJ8" s="387">
        <f t="shared" si="8"/>
        <v>372.12031999999999</v>
      </c>
      <c r="BK8" s="387">
        <f t="shared" si="9"/>
        <v>0</v>
      </c>
      <c r="BL8" s="387">
        <f t="shared" si="32"/>
        <v>20741.790783999997</v>
      </c>
      <c r="BM8" s="387">
        <f t="shared" si="33"/>
        <v>0</v>
      </c>
      <c r="BN8" s="387">
        <f t="shared" si="10"/>
        <v>11650</v>
      </c>
      <c r="BO8" s="387">
        <f t="shared" si="11"/>
        <v>0</v>
      </c>
      <c r="BP8" s="387">
        <f t="shared" si="12"/>
        <v>6071.4367999999995</v>
      </c>
      <c r="BQ8" s="387">
        <f t="shared" si="13"/>
        <v>1419.9328</v>
      </c>
      <c r="BR8" s="387">
        <f t="shared" si="14"/>
        <v>11692.41216</v>
      </c>
      <c r="BS8" s="387">
        <f t="shared" si="15"/>
        <v>706.04934400000002</v>
      </c>
      <c r="BT8" s="387">
        <f t="shared" si="16"/>
        <v>0</v>
      </c>
      <c r="BU8" s="387">
        <f t="shared" si="17"/>
        <v>0</v>
      </c>
      <c r="BV8" s="387">
        <f t="shared" si="18"/>
        <v>352.53503999999998</v>
      </c>
      <c r="BW8" s="387">
        <f t="shared" si="19"/>
        <v>0</v>
      </c>
      <c r="BX8" s="387">
        <f t="shared" si="34"/>
        <v>20242.366143999996</v>
      </c>
      <c r="BY8" s="387">
        <f t="shared" si="35"/>
        <v>0</v>
      </c>
      <c r="BZ8" s="387">
        <f t="shared" si="36"/>
        <v>0</v>
      </c>
      <c r="CA8" s="387">
        <f t="shared" si="37"/>
        <v>0</v>
      </c>
      <c r="CB8" s="387">
        <f t="shared" si="38"/>
        <v>0</v>
      </c>
      <c r="CC8" s="387">
        <f t="shared" si="20"/>
        <v>0</v>
      </c>
      <c r="CD8" s="387">
        <f t="shared" si="21"/>
        <v>0</v>
      </c>
      <c r="CE8" s="387">
        <f t="shared" si="22"/>
        <v>0</v>
      </c>
      <c r="CF8" s="387">
        <f t="shared" si="23"/>
        <v>-479.83935999999994</v>
      </c>
      <c r="CG8" s="387">
        <f t="shared" si="24"/>
        <v>0</v>
      </c>
      <c r="CH8" s="387">
        <f t="shared" si="25"/>
        <v>-19.585280000000008</v>
      </c>
      <c r="CI8" s="387">
        <f t="shared" si="26"/>
        <v>0</v>
      </c>
      <c r="CJ8" s="387">
        <f t="shared" si="39"/>
        <v>-499.42463999999995</v>
      </c>
      <c r="CK8" s="387" t="str">
        <f t="shared" si="40"/>
        <v/>
      </c>
      <c r="CL8" s="387" t="str">
        <f t="shared" si="41"/>
        <v/>
      </c>
      <c r="CM8" s="387" t="str">
        <f t="shared" si="42"/>
        <v/>
      </c>
      <c r="CN8" s="387" t="str">
        <f t="shared" si="43"/>
        <v>0482-70</v>
      </c>
    </row>
    <row r="9" spans="1:92" ht="15.75" thickBot="1" x14ac:dyDescent="0.3">
      <c r="A9" s="376" t="s">
        <v>161</v>
      </c>
      <c r="B9" s="376" t="s">
        <v>162</v>
      </c>
      <c r="C9" s="376" t="s">
        <v>215</v>
      </c>
      <c r="D9" s="376" t="s">
        <v>216</v>
      </c>
      <c r="E9" s="376" t="s">
        <v>199</v>
      </c>
      <c r="F9" s="382" t="s">
        <v>200</v>
      </c>
      <c r="G9" s="376" t="s">
        <v>167</v>
      </c>
      <c r="H9" s="378"/>
      <c r="I9" s="378"/>
      <c r="J9" s="376" t="s">
        <v>194</v>
      </c>
      <c r="K9" s="376" t="s">
        <v>217</v>
      </c>
      <c r="L9" s="376" t="s">
        <v>218</v>
      </c>
      <c r="M9" s="376" t="s">
        <v>170</v>
      </c>
      <c r="N9" s="376" t="s">
        <v>203</v>
      </c>
      <c r="O9" s="379">
        <v>1</v>
      </c>
      <c r="P9" s="385">
        <v>1</v>
      </c>
      <c r="Q9" s="385">
        <v>1</v>
      </c>
      <c r="R9" s="380">
        <v>80</v>
      </c>
      <c r="S9" s="385">
        <v>1</v>
      </c>
      <c r="T9" s="380">
        <v>68528</v>
      </c>
      <c r="U9" s="380">
        <v>0</v>
      </c>
      <c r="V9" s="380">
        <v>25738.76</v>
      </c>
      <c r="W9" s="380">
        <v>71115.199999999997</v>
      </c>
      <c r="X9" s="380">
        <v>27106.86</v>
      </c>
      <c r="Y9" s="380">
        <v>71115.199999999997</v>
      </c>
      <c r="Z9" s="380">
        <v>26744.18</v>
      </c>
      <c r="AA9" s="376" t="s">
        <v>219</v>
      </c>
      <c r="AB9" s="376" t="s">
        <v>220</v>
      </c>
      <c r="AC9" s="376" t="s">
        <v>221</v>
      </c>
      <c r="AD9" s="376" t="s">
        <v>222</v>
      </c>
      <c r="AE9" s="376" t="s">
        <v>217</v>
      </c>
      <c r="AF9" s="376" t="s">
        <v>223</v>
      </c>
      <c r="AG9" s="376" t="s">
        <v>177</v>
      </c>
      <c r="AH9" s="381">
        <v>34.19</v>
      </c>
      <c r="AI9" s="381">
        <v>39657.9</v>
      </c>
      <c r="AJ9" s="376" t="s">
        <v>178</v>
      </c>
      <c r="AK9" s="376" t="s">
        <v>179</v>
      </c>
      <c r="AL9" s="376" t="s">
        <v>180</v>
      </c>
      <c r="AM9" s="376" t="s">
        <v>181</v>
      </c>
      <c r="AN9" s="376" t="s">
        <v>68</v>
      </c>
      <c r="AO9" s="379">
        <v>80</v>
      </c>
      <c r="AP9" s="385">
        <v>1</v>
      </c>
      <c r="AQ9" s="385">
        <v>1</v>
      </c>
      <c r="AR9" s="383" t="s">
        <v>182</v>
      </c>
      <c r="AS9" s="387">
        <f t="shared" si="27"/>
        <v>1</v>
      </c>
      <c r="AT9">
        <f t="shared" si="28"/>
        <v>1</v>
      </c>
      <c r="AU9" s="387">
        <f>IF(AT9=0,"",IF(AND(AT9=1,M9="F",SUMIF(C2:C12,C9,AS2:AS12)&lt;=1),SUMIF(C2:C12,C9,AS2:AS12),IF(AND(AT9=1,M9="F",SUMIF(C2:C12,C9,AS2:AS12)&gt;1),1,"")))</f>
        <v>1</v>
      </c>
      <c r="AV9" s="387" t="str">
        <f>IF(AT9=0,"",IF(AND(AT9=3,M9="F",SUMIF(C2:C12,C9,AS2:AS12)&lt;=1),SUMIF(C2:C12,C9,AS2:AS12),IF(AND(AT9=3,M9="F",SUMIF(C2:C12,C9,AS2:AS12)&gt;1),1,"")))</f>
        <v/>
      </c>
      <c r="AW9" s="387">
        <f>SUMIF(C2:C12,C9,O2:O12)</f>
        <v>1</v>
      </c>
      <c r="AX9" s="387">
        <f>IF(AND(M9="F",AS9&lt;&gt;0),SUMIF(C2:C12,C9,W2:W12),0)</f>
        <v>71115.199999999997</v>
      </c>
      <c r="AY9" s="387">
        <f t="shared" si="29"/>
        <v>71115.199999999997</v>
      </c>
      <c r="AZ9" s="387" t="str">
        <f t="shared" si="30"/>
        <v/>
      </c>
      <c r="BA9" s="387">
        <f t="shared" si="31"/>
        <v>0</v>
      </c>
      <c r="BB9" s="387">
        <f t="shared" si="0"/>
        <v>11650</v>
      </c>
      <c r="BC9" s="387">
        <f t="shared" si="1"/>
        <v>0</v>
      </c>
      <c r="BD9" s="387">
        <f t="shared" si="2"/>
        <v>4409.1423999999997</v>
      </c>
      <c r="BE9" s="387">
        <f t="shared" si="3"/>
        <v>1031.1704</v>
      </c>
      <c r="BF9" s="387">
        <f t="shared" si="4"/>
        <v>8491.15488</v>
      </c>
      <c r="BG9" s="387">
        <f t="shared" si="5"/>
        <v>512.74059199999999</v>
      </c>
      <c r="BH9" s="387">
        <f t="shared" si="6"/>
        <v>348.46447999999998</v>
      </c>
      <c r="BI9" s="387">
        <f t="shared" si="7"/>
        <v>393.978208</v>
      </c>
      <c r="BJ9" s="387">
        <f t="shared" si="8"/>
        <v>270.23775999999998</v>
      </c>
      <c r="BK9" s="387">
        <f t="shared" si="9"/>
        <v>0</v>
      </c>
      <c r="BL9" s="387">
        <f t="shared" si="32"/>
        <v>15456.888720000001</v>
      </c>
      <c r="BM9" s="387">
        <f t="shared" si="33"/>
        <v>0</v>
      </c>
      <c r="BN9" s="387">
        <f t="shared" si="10"/>
        <v>11650</v>
      </c>
      <c r="BO9" s="387">
        <f t="shared" si="11"/>
        <v>0</v>
      </c>
      <c r="BP9" s="387">
        <f t="shared" si="12"/>
        <v>4409.1423999999997</v>
      </c>
      <c r="BQ9" s="387">
        <f t="shared" si="13"/>
        <v>1031.1704</v>
      </c>
      <c r="BR9" s="387">
        <f t="shared" si="14"/>
        <v>8491.15488</v>
      </c>
      <c r="BS9" s="387">
        <f t="shared" si="15"/>
        <v>512.74059199999999</v>
      </c>
      <c r="BT9" s="387">
        <f t="shared" si="16"/>
        <v>0</v>
      </c>
      <c r="BU9" s="387">
        <f t="shared" si="17"/>
        <v>393.978208</v>
      </c>
      <c r="BV9" s="387">
        <f t="shared" si="18"/>
        <v>256.01471999999995</v>
      </c>
      <c r="BW9" s="387">
        <f t="shared" si="19"/>
        <v>0</v>
      </c>
      <c r="BX9" s="387">
        <f t="shared" si="34"/>
        <v>15094.2012</v>
      </c>
      <c r="BY9" s="387">
        <f t="shared" si="35"/>
        <v>0</v>
      </c>
      <c r="BZ9" s="387">
        <f t="shared" si="36"/>
        <v>0</v>
      </c>
      <c r="CA9" s="387">
        <f t="shared" si="37"/>
        <v>0</v>
      </c>
      <c r="CB9" s="387">
        <f t="shared" si="38"/>
        <v>0</v>
      </c>
      <c r="CC9" s="387">
        <f t="shared" si="20"/>
        <v>0</v>
      </c>
      <c r="CD9" s="387">
        <f t="shared" si="21"/>
        <v>0</v>
      </c>
      <c r="CE9" s="387">
        <f t="shared" si="22"/>
        <v>0</v>
      </c>
      <c r="CF9" s="387">
        <f t="shared" si="23"/>
        <v>-348.46447999999998</v>
      </c>
      <c r="CG9" s="387">
        <f t="shared" si="24"/>
        <v>0</v>
      </c>
      <c r="CH9" s="387">
        <f t="shared" si="25"/>
        <v>-14.223040000000006</v>
      </c>
      <c r="CI9" s="387">
        <f t="shared" si="26"/>
        <v>0</v>
      </c>
      <c r="CJ9" s="387">
        <f t="shared" si="39"/>
        <v>-362.68752000000001</v>
      </c>
      <c r="CK9" s="387" t="str">
        <f t="shared" si="40"/>
        <v/>
      </c>
      <c r="CL9" s="387" t="str">
        <f t="shared" si="41"/>
        <v/>
      </c>
      <c r="CM9" s="387" t="str">
        <f t="shared" si="42"/>
        <v/>
      </c>
      <c r="CN9" s="387" t="str">
        <f t="shared" si="43"/>
        <v>0482-70</v>
      </c>
    </row>
    <row r="10" spans="1:92" ht="15.75" thickBot="1" x14ac:dyDescent="0.3">
      <c r="A10" s="376" t="s">
        <v>161</v>
      </c>
      <c r="B10" s="376" t="s">
        <v>162</v>
      </c>
      <c r="C10" s="376" t="s">
        <v>163</v>
      </c>
      <c r="D10" s="376" t="s">
        <v>164</v>
      </c>
      <c r="E10" s="376" t="s">
        <v>199</v>
      </c>
      <c r="F10" s="382" t="s">
        <v>200</v>
      </c>
      <c r="G10" s="376" t="s">
        <v>167</v>
      </c>
      <c r="H10" s="378"/>
      <c r="I10" s="378"/>
      <c r="J10" s="376" t="s">
        <v>168</v>
      </c>
      <c r="K10" s="376" t="s">
        <v>169</v>
      </c>
      <c r="L10" s="376" t="s">
        <v>166</v>
      </c>
      <c r="M10" s="376" t="s">
        <v>170</v>
      </c>
      <c r="N10" s="376" t="s">
        <v>171</v>
      </c>
      <c r="O10" s="379">
        <v>1</v>
      </c>
      <c r="P10" s="385">
        <v>0.77</v>
      </c>
      <c r="Q10" s="385">
        <v>0.77</v>
      </c>
      <c r="R10" s="380">
        <v>80</v>
      </c>
      <c r="S10" s="385">
        <v>0.77</v>
      </c>
      <c r="T10" s="380">
        <v>145763.82999999999</v>
      </c>
      <c r="U10" s="380">
        <v>0</v>
      </c>
      <c r="V10" s="380">
        <v>35672.769999999997</v>
      </c>
      <c r="W10" s="380">
        <v>164276.10999999999</v>
      </c>
      <c r="X10" s="380">
        <v>40397.96</v>
      </c>
      <c r="Y10" s="380">
        <v>164276.10999999999</v>
      </c>
      <c r="Z10" s="380">
        <v>39560.15</v>
      </c>
      <c r="AA10" s="376" t="s">
        <v>172</v>
      </c>
      <c r="AB10" s="376" t="s">
        <v>173</v>
      </c>
      <c r="AC10" s="376" t="s">
        <v>174</v>
      </c>
      <c r="AD10" s="376" t="s">
        <v>175</v>
      </c>
      <c r="AE10" s="376" t="s">
        <v>169</v>
      </c>
      <c r="AF10" s="376" t="s">
        <v>176</v>
      </c>
      <c r="AG10" s="376" t="s">
        <v>177</v>
      </c>
      <c r="AH10" s="381">
        <v>102.57</v>
      </c>
      <c r="AI10" s="379">
        <v>18160</v>
      </c>
      <c r="AJ10" s="376" t="s">
        <v>178</v>
      </c>
      <c r="AK10" s="376" t="s">
        <v>179</v>
      </c>
      <c r="AL10" s="376" t="s">
        <v>180</v>
      </c>
      <c r="AM10" s="376" t="s">
        <v>181</v>
      </c>
      <c r="AN10" s="376" t="s">
        <v>68</v>
      </c>
      <c r="AO10" s="379">
        <v>80</v>
      </c>
      <c r="AP10" s="385">
        <v>1</v>
      </c>
      <c r="AQ10" s="385">
        <v>0.77</v>
      </c>
      <c r="AR10" s="383" t="s">
        <v>182</v>
      </c>
      <c r="AS10" s="387">
        <f t="shared" si="27"/>
        <v>0.77</v>
      </c>
      <c r="AT10">
        <f t="shared" si="28"/>
        <v>1</v>
      </c>
      <c r="AU10" s="387">
        <f>IF(AT10=0,"",IF(AND(AT10=1,M10="F",SUMIF(C2:C12,C10,AS2:AS12)&lt;=1),SUMIF(C2:C12,C10,AS2:AS12),IF(AND(AT10=1,M10="F",SUMIF(C2:C12,C10,AS2:AS12)&gt;1),1,"")))</f>
        <v>1</v>
      </c>
      <c r="AV10" s="387" t="str">
        <f>IF(AT10=0,"",IF(AND(AT10=3,M10="F",SUMIF(C2:C12,C10,AS2:AS12)&lt;=1),SUMIF(C2:C12,C10,AS2:AS12),IF(AND(AT10=3,M10="F",SUMIF(C2:C12,C10,AS2:AS12)&gt;1),1,"")))</f>
        <v/>
      </c>
      <c r="AW10" s="387">
        <f>SUMIF(C2:C12,C10,O2:O12)</f>
        <v>2</v>
      </c>
      <c r="AX10" s="387">
        <f>IF(AND(M10="F",AS10&lt;&gt;0),SUMIF(C2:C12,C10,W2:W12),0)</f>
        <v>213345.59</v>
      </c>
      <c r="AY10" s="387">
        <f t="shared" si="29"/>
        <v>164276.10999999999</v>
      </c>
      <c r="AZ10" s="387" t="str">
        <f t="shared" si="30"/>
        <v/>
      </c>
      <c r="BA10" s="387">
        <f t="shared" si="31"/>
        <v>0</v>
      </c>
      <c r="BB10" s="387">
        <f t="shared" si="0"/>
        <v>8970.5</v>
      </c>
      <c r="BC10" s="387">
        <f t="shared" si="1"/>
        <v>0</v>
      </c>
      <c r="BD10" s="387">
        <f t="shared" si="2"/>
        <v>6573.7979999999998</v>
      </c>
      <c r="BE10" s="387">
        <f t="shared" si="3"/>
        <v>2382.0035950000001</v>
      </c>
      <c r="BF10" s="387">
        <f t="shared" si="4"/>
        <v>19614.567533999998</v>
      </c>
      <c r="BG10" s="387">
        <f t="shared" si="5"/>
        <v>1184.4307530999999</v>
      </c>
      <c r="BH10" s="387">
        <f t="shared" si="6"/>
        <v>804.9529389999999</v>
      </c>
      <c r="BI10" s="387">
        <f t="shared" si="7"/>
        <v>0</v>
      </c>
      <c r="BJ10" s="387">
        <f t="shared" si="8"/>
        <v>624.24921799999993</v>
      </c>
      <c r="BK10" s="387">
        <f t="shared" si="9"/>
        <v>0</v>
      </c>
      <c r="BL10" s="387">
        <f t="shared" si="32"/>
        <v>31184.0020391</v>
      </c>
      <c r="BM10" s="387">
        <f t="shared" si="33"/>
        <v>0</v>
      </c>
      <c r="BN10" s="387">
        <f t="shared" si="10"/>
        <v>8970.5</v>
      </c>
      <c r="BO10" s="387">
        <f t="shared" si="11"/>
        <v>0</v>
      </c>
      <c r="BP10" s="387">
        <f t="shared" si="12"/>
        <v>6817.2720000000008</v>
      </c>
      <c r="BQ10" s="387">
        <f t="shared" si="13"/>
        <v>2382.0035950000001</v>
      </c>
      <c r="BR10" s="387">
        <f t="shared" si="14"/>
        <v>19614.567533999998</v>
      </c>
      <c r="BS10" s="387">
        <f t="shared" si="15"/>
        <v>1184.4307530999999</v>
      </c>
      <c r="BT10" s="387">
        <f t="shared" si="16"/>
        <v>0</v>
      </c>
      <c r="BU10" s="387">
        <f t="shared" si="17"/>
        <v>0</v>
      </c>
      <c r="BV10" s="387">
        <f t="shared" si="18"/>
        <v>591.3939959999999</v>
      </c>
      <c r="BW10" s="387">
        <f t="shared" si="19"/>
        <v>0</v>
      </c>
      <c r="BX10" s="387">
        <f t="shared" si="34"/>
        <v>30589.667878100001</v>
      </c>
      <c r="BY10" s="387">
        <f t="shared" si="35"/>
        <v>0</v>
      </c>
      <c r="BZ10" s="387">
        <f t="shared" si="36"/>
        <v>0</v>
      </c>
      <c r="CA10" s="387">
        <f t="shared" si="37"/>
        <v>0</v>
      </c>
      <c r="CB10" s="387">
        <f t="shared" si="38"/>
        <v>243.47400000000107</v>
      </c>
      <c r="CC10" s="387">
        <f t="shared" si="20"/>
        <v>0</v>
      </c>
      <c r="CD10" s="387">
        <f t="shared" si="21"/>
        <v>0</v>
      </c>
      <c r="CE10" s="387">
        <f t="shared" si="22"/>
        <v>0</v>
      </c>
      <c r="CF10" s="387">
        <f t="shared" si="23"/>
        <v>-804.9529389999999</v>
      </c>
      <c r="CG10" s="387">
        <f t="shared" si="24"/>
        <v>0</v>
      </c>
      <c r="CH10" s="387">
        <f t="shared" si="25"/>
        <v>-32.855222000000012</v>
      </c>
      <c r="CI10" s="387">
        <f t="shared" si="26"/>
        <v>0</v>
      </c>
      <c r="CJ10" s="387">
        <f t="shared" si="39"/>
        <v>-594.33416099999886</v>
      </c>
      <c r="CK10" s="387" t="str">
        <f t="shared" si="40"/>
        <v/>
      </c>
      <c r="CL10" s="387" t="str">
        <f t="shared" si="41"/>
        <v/>
      </c>
      <c r="CM10" s="387" t="str">
        <f t="shared" si="42"/>
        <v/>
      </c>
      <c r="CN10" s="387" t="str">
        <f t="shared" si="43"/>
        <v>0482-70</v>
      </c>
    </row>
    <row r="11" spans="1:92" ht="15.75" thickBot="1" x14ac:dyDescent="0.3">
      <c r="A11" s="376" t="s">
        <v>161</v>
      </c>
      <c r="B11" s="376" t="s">
        <v>162</v>
      </c>
      <c r="C11" s="376" t="s">
        <v>183</v>
      </c>
      <c r="D11" s="376" t="s">
        <v>184</v>
      </c>
      <c r="E11" s="376" t="s">
        <v>199</v>
      </c>
      <c r="F11" s="382" t="s">
        <v>200</v>
      </c>
      <c r="G11" s="376" t="s">
        <v>167</v>
      </c>
      <c r="H11" s="378"/>
      <c r="I11" s="378"/>
      <c r="J11" s="376" t="s">
        <v>168</v>
      </c>
      <c r="K11" s="376" t="s">
        <v>185</v>
      </c>
      <c r="L11" s="376" t="s">
        <v>166</v>
      </c>
      <c r="M11" s="376" t="s">
        <v>186</v>
      </c>
      <c r="N11" s="376" t="s">
        <v>187</v>
      </c>
      <c r="O11" s="379">
        <v>0</v>
      </c>
      <c r="P11" s="385">
        <v>0.64</v>
      </c>
      <c r="Q11" s="385">
        <v>0</v>
      </c>
      <c r="R11" s="380">
        <v>0</v>
      </c>
      <c r="S11" s="385">
        <v>0</v>
      </c>
      <c r="T11" s="380">
        <v>0</v>
      </c>
      <c r="U11" s="380">
        <v>0</v>
      </c>
      <c r="V11" s="380">
        <v>0</v>
      </c>
      <c r="W11" s="380">
        <v>0</v>
      </c>
      <c r="X11" s="380">
        <v>0</v>
      </c>
      <c r="Y11" s="380">
        <v>0</v>
      </c>
      <c r="Z11" s="380">
        <v>0</v>
      </c>
      <c r="AA11" s="378"/>
      <c r="AB11" s="376" t="s">
        <v>45</v>
      </c>
      <c r="AC11" s="376" t="s">
        <v>45</v>
      </c>
      <c r="AD11" s="378"/>
      <c r="AE11" s="378"/>
      <c r="AF11" s="378"/>
      <c r="AG11" s="378"/>
      <c r="AH11" s="379">
        <v>0</v>
      </c>
      <c r="AI11" s="379">
        <v>0</v>
      </c>
      <c r="AJ11" s="378"/>
      <c r="AK11" s="378"/>
      <c r="AL11" s="376" t="s">
        <v>180</v>
      </c>
      <c r="AM11" s="378"/>
      <c r="AN11" s="378"/>
      <c r="AO11" s="379">
        <v>0</v>
      </c>
      <c r="AP11" s="385">
        <v>0</v>
      </c>
      <c r="AQ11" s="385">
        <v>0</v>
      </c>
      <c r="AR11" s="384"/>
      <c r="AS11" s="387">
        <f t="shared" si="27"/>
        <v>0</v>
      </c>
      <c r="AT11">
        <f t="shared" si="28"/>
        <v>0</v>
      </c>
      <c r="AU11" s="387" t="str">
        <f>IF(AT11=0,"",IF(AND(AT11=1,M11="F",SUMIF(C2:C12,C11,AS2:AS12)&lt;=1),SUMIF(C2:C12,C11,AS2:AS12),IF(AND(AT11=1,M11="F",SUMIF(C2:C12,C11,AS2:AS12)&gt;1),1,"")))</f>
        <v/>
      </c>
      <c r="AV11" s="387" t="str">
        <f>IF(AT11=0,"",IF(AND(AT11=3,M11="F",SUMIF(C2:C12,C11,AS2:AS12)&lt;=1),SUMIF(C2:C12,C11,AS2:AS12),IF(AND(AT11=3,M11="F",SUMIF(C2:C12,C11,AS2:AS12)&gt;1),1,"")))</f>
        <v/>
      </c>
      <c r="AW11" s="387">
        <f>SUMIF(C2:C12,C11,O2:O12)</f>
        <v>0</v>
      </c>
      <c r="AX11" s="387">
        <f>IF(AND(M11="F",AS11&lt;&gt;0),SUMIF(C2:C12,C11,W2:W12),0)</f>
        <v>0</v>
      </c>
      <c r="AY11" s="387" t="str">
        <f t="shared" si="29"/>
        <v/>
      </c>
      <c r="AZ11" s="387" t="str">
        <f t="shared" si="30"/>
        <v/>
      </c>
      <c r="BA11" s="387">
        <f t="shared" si="31"/>
        <v>0</v>
      </c>
      <c r="BB11" s="387">
        <f t="shared" si="0"/>
        <v>0</v>
      </c>
      <c r="BC11" s="387">
        <f t="shared" si="1"/>
        <v>0</v>
      </c>
      <c r="BD11" s="387">
        <f t="shared" si="2"/>
        <v>0</v>
      </c>
      <c r="BE11" s="387">
        <f t="shared" si="3"/>
        <v>0</v>
      </c>
      <c r="BF11" s="387">
        <f t="shared" si="4"/>
        <v>0</v>
      </c>
      <c r="BG11" s="387">
        <f t="shared" si="5"/>
        <v>0</v>
      </c>
      <c r="BH11" s="387">
        <f t="shared" si="6"/>
        <v>0</v>
      </c>
      <c r="BI11" s="387">
        <f t="shared" si="7"/>
        <v>0</v>
      </c>
      <c r="BJ11" s="387">
        <f t="shared" si="8"/>
        <v>0</v>
      </c>
      <c r="BK11" s="387">
        <f t="shared" si="9"/>
        <v>0</v>
      </c>
      <c r="BL11" s="387">
        <f t="shared" si="32"/>
        <v>0</v>
      </c>
      <c r="BM11" s="387">
        <f t="shared" si="33"/>
        <v>0</v>
      </c>
      <c r="BN11" s="387">
        <f t="shared" si="10"/>
        <v>0</v>
      </c>
      <c r="BO11" s="387">
        <f t="shared" si="11"/>
        <v>0</v>
      </c>
      <c r="BP11" s="387">
        <f t="shared" si="12"/>
        <v>0</v>
      </c>
      <c r="BQ11" s="387">
        <f t="shared" si="13"/>
        <v>0</v>
      </c>
      <c r="BR11" s="387">
        <f t="shared" si="14"/>
        <v>0</v>
      </c>
      <c r="BS11" s="387">
        <f t="shared" si="15"/>
        <v>0</v>
      </c>
      <c r="BT11" s="387">
        <f t="shared" si="16"/>
        <v>0</v>
      </c>
      <c r="BU11" s="387">
        <f t="shared" si="17"/>
        <v>0</v>
      </c>
      <c r="BV11" s="387">
        <f t="shared" si="18"/>
        <v>0</v>
      </c>
      <c r="BW11" s="387">
        <f t="shared" si="19"/>
        <v>0</v>
      </c>
      <c r="BX11" s="387">
        <f t="shared" si="34"/>
        <v>0</v>
      </c>
      <c r="BY11" s="387">
        <f t="shared" si="35"/>
        <v>0</v>
      </c>
      <c r="BZ11" s="387">
        <f t="shared" si="36"/>
        <v>0</v>
      </c>
      <c r="CA11" s="387">
        <f t="shared" si="37"/>
        <v>0</v>
      </c>
      <c r="CB11" s="387">
        <f t="shared" si="38"/>
        <v>0</v>
      </c>
      <c r="CC11" s="387">
        <f t="shared" si="20"/>
        <v>0</v>
      </c>
      <c r="CD11" s="387">
        <f t="shared" si="21"/>
        <v>0</v>
      </c>
      <c r="CE11" s="387">
        <f t="shared" si="22"/>
        <v>0</v>
      </c>
      <c r="CF11" s="387">
        <f t="shared" si="23"/>
        <v>0</v>
      </c>
      <c r="CG11" s="387">
        <f t="shared" si="24"/>
        <v>0</v>
      </c>
      <c r="CH11" s="387">
        <f t="shared" si="25"/>
        <v>0</v>
      </c>
      <c r="CI11" s="387">
        <f t="shared" si="26"/>
        <v>0</v>
      </c>
      <c r="CJ11" s="387">
        <f t="shared" si="39"/>
        <v>0</v>
      </c>
      <c r="CK11" s="387" t="str">
        <f t="shared" si="40"/>
        <v/>
      </c>
      <c r="CL11" s="387">
        <f t="shared" si="41"/>
        <v>0</v>
      </c>
      <c r="CM11" s="387">
        <f t="shared" si="42"/>
        <v>0</v>
      </c>
      <c r="CN11" s="387" t="str">
        <f t="shared" si="43"/>
        <v>0482-70</v>
      </c>
    </row>
    <row r="12" spans="1:92" ht="15.75" thickBot="1" x14ac:dyDescent="0.3">
      <c r="A12" s="376" t="s">
        <v>161</v>
      </c>
      <c r="B12" s="376" t="s">
        <v>162</v>
      </c>
      <c r="C12" s="376" t="s">
        <v>188</v>
      </c>
      <c r="D12" s="376" t="s">
        <v>189</v>
      </c>
      <c r="E12" s="376" t="s">
        <v>199</v>
      </c>
      <c r="F12" s="382" t="s">
        <v>200</v>
      </c>
      <c r="G12" s="376" t="s">
        <v>167</v>
      </c>
      <c r="H12" s="378"/>
      <c r="I12" s="378"/>
      <c r="J12" s="376" t="s">
        <v>168</v>
      </c>
      <c r="K12" s="376" t="s">
        <v>190</v>
      </c>
      <c r="L12" s="376" t="s">
        <v>191</v>
      </c>
      <c r="M12" s="376" t="s">
        <v>186</v>
      </c>
      <c r="N12" s="376" t="s">
        <v>187</v>
      </c>
      <c r="O12" s="379">
        <v>0</v>
      </c>
      <c r="P12" s="385">
        <v>0.7</v>
      </c>
      <c r="Q12" s="385">
        <v>0</v>
      </c>
      <c r="R12" s="380">
        <v>0</v>
      </c>
      <c r="S12" s="385">
        <v>0</v>
      </c>
      <c r="T12" s="380">
        <v>0</v>
      </c>
      <c r="U12" s="380">
        <v>0</v>
      </c>
      <c r="V12" s="380">
        <v>0</v>
      </c>
      <c r="W12" s="380">
        <v>0</v>
      </c>
      <c r="X12" s="380">
        <v>0</v>
      </c>
      <c r="Y12" s="380">
        <v>0</v>
      </c>
      <c r="Z12" s="380">
        <v>0</v>
      </c>
      <c r="AA12" s="378"/>
      <c r="AB12" s="376" t="s">
        <v>45</v>
      </c>
      <c r="AC12" s="376" t="s">
        <v>45</v>
      </c>
      <c r="AD12" s="378"/>
      <c r="AE12" s="378"/>
      <c r="AF12" s="378"/>
      <c r="AG12" s="378"/>
      <c r="AH12" s="379">
        <v>0</v>
      </c>
      <c r="AI12" s="379">
        <v>0</v>
      </c>
      <c r="AJ12" s="378"/>
      <c r="AK12" s="378"/>
      <c r="AL12" s="376" t="s">
        <v>180</v>
      </c>
      <c r="AM12" s="378"/>
      <c r="AN12" s="378"/>
      <c r="AO12" s="379">
        <v>0</v>
      </c>
      <c r="AP12" s="385">
        <v>0</v>
      </c>
      <c r="AQ12" s="385">
        <v>0</v>
      </c>
      <c r="AR12" s="384"/>
      <c r="AS12" s="387">
        <f t="shared" si="27"/>
        <v>0</v>
      </c>
      <c r="AT12">
        <f t="shared" si="28"/>
        <v>0</v>
      </c>
      <c r="AU12" s="387" t="str">
        <f>IF(AT12=0,"",IF(AND(AT12=1,M12="F",SUMIF(C2:C12,C12,AS2:AS12)&lt;=1),SUMIF(C2:C12,C12,AS2:AS12),IF(AND(AT12=1,M12="F",SUMIF(C2:C12,C12,AS2:AS12)&gt;1),1,"")))</f>
        <v/>
      </c>
      <c r="AV12" s="387" t="str">
        <f>IF(AT12=0,"",IF(AND(AT12=3,M12="F",SUMIF(C2:C12,C12,AS2:AS12)&lt;=1),SUMIF(C2:C12,C12,AS2:AS12),IF(AND(AT12=3,M12="F",SUMIF(C2:C12,C12,AS2:AS12)&gt;1),1,"")))</f>
        <v/>
      </c>
      <c r="AW12" s="387">
        <f>SUMIF(C2:C12,C12,O2:O12)</f>
        <v>0</v>
      </c>
      <c r="AX12" s="387">
        <f>IF(AND(M12="F",AS12&lt;&gt;0),SUMIF(C2:C12,C12,W2:W12),0)</f>
        <v>0</v>
      </c>
      <c r="AY12" s="387" t="str">
        <f t="shared" si="29"/>
        <v/>
      </c>
      <c r="AZ12" s="387" t="str">
        <f t="shared" si="30"/>
        <v/>
      </c>
      <c r="BA12" s="387">
        <f t="shared" si="31"/>
        <v>0</v>
      </c>
      <c r="BB12" s="387">
        <f t="shared" si="0"/>
        <v>0</v>
      </c>
      <c r="BC12" s="387">
        <f t="shared" si="1"/>
        <v>0</v>
      </c>
      <c r="BD12" s="387">
        <f t="shared" si="2"/>
        <v>0</v>
      </c>
      <c r="BE12" s="387">
        <f t="shared" si="3"/>
        <v>0</v>
      </c>
      <c r="BF12" s="387">
        <f t="shared" si="4"/>
        <v>0</v>
      </c>
      <c r="BG12" s="387">
        <f t="shared" si="5"/>
        <v>0</v>
      </c>
      <c r="BH12" s="387">
        <f t="shared" si="6"/>
        <v>0</v>
      </c>
      <c r="BI12" s="387">
        <f t="shared" si="7"/>
        <v>0</v>
      </c>
      <c r="BJ12" s="387">
        <f t="shared" si="8"/>
        <v>0</v>
      </c>
      <c r="BK12" s="387">
        <f t="shared" si="9"/>
        <v>0</v>
      </c>
      <c r="BL12" s="387">
        <f t="shared" si="32"/>
        <v>0</v>
      </c>
      <c r="BM12" s="387">
        <f t="shared" si="33"/>
        <v>0</v>
      </c>
      <c r="BN12" s="387">
        <f t="shared" si="10"/>
        <v>0</v>
      </c>
      <c r="BO12" s="387">
        <f t="shared" si="11"/>
        <v>0</v>
      </c>
      <c r="BP12" s="387">
        <f t="shared" si="12"/>
        <v>0</v>
      </c>
      <c r="BQ12" s="387">
        <f t="shared" si="13"/>
        <v>0</v>
      </c>
      <c r="BR12" s="387">
        <f t="shared" si="14"/>
        <v>0</v>
      </c>
      <c r="BS12" s="387">
        <f t="shared" si="15"/>
        <v>0</v>
      </c>
      <c r="BT12" s="387">
        <f t="shared" si="16"/>
        <v>0</v>
      </c>
      <c r="BU12" s="387">
        <f t="shared" si="17"/>
        <v>0</v>
      </c>
      <c r="BV12" s="387">
        <f t="shared" si="18"/>
        <v>0</v>
      </c>
      <c r="BW12" s="387">
        <f t="shared" si="19"/>
        <v>0</v>
      </c>
      <c r="BX12" s="387">
        <f t="shared" si="34"/>
        <v>0</v>
      </c>
      <c r="BY12" s="387">
        <f t="shared" si="35"/>
        <v>0</v>
      </c>
      <c r="BZ12" s="387">
        <f t="shared" si="36"/>
        <v>0</v>
      </c>
      <c r="CA12" s="387">
        <f t="shared" si="37"/>
        <v>0</v>
      </c>
      <c r="CB12" s="387">
        <f t="shared" si="38"/>
        <v>0</v>
      </c>
      <c r="CC12" s="387">
        <f t="shared" si="20"/>
        <v>0</v>
      </c>
      <c r="CD12" s="387">
        <f t="shared" si="21"/>
        <v>0</v>
      </c>
      <c r="CE12" s="387">
        <f t="shared" si="22"/>
        <v>0</v>
      </c>
      <c r="CF12" s="387">
        <f t="shared" si="23"/>
        <v>0</v>
      </c>
      <c r="CG12" s="387">
        <f t="shared" si="24"/>
        <v>0</v>
      </c>
      <c r="CH12" s="387">
        <f t="shared" si="25"/>
        <v>0</v>
      </c>
      <c r="CI12" s="387">
        <f t="shared" si="26"/>
        <v>0</v>
      </c>
      <c r="CJ12" s="387">
        <f t="shared" si="39"/>
        <v>0</v>
      </c>
      <c r="CK12" s="387" t="str">
        <f t="shared" si="40"/>
        <v/>
      </c>
      <c r="CL12" s="387">
        <f t="shared" si="41"/>
        <v>0</v>
      </c>
      <c r="CM12" s="387">
        <f t="shared" si="42"/>
        <v>0</v>
      </c>
      <c r="CN12" s="387" t="str">
        <f t="shared" si="43"/>
        <v>0482-70</v>
      </c>
    </row>
    <row r="14" spans="1:92" ht="21" x14ac:dyDescent="0.35">
      <c r="AQ14" s="251" t="s">
        <v>292</v>
      </c>
    </row>
    <row r="15" spans="1:92" ht="15.75" thickBot="1" x14ac:dyDescent="0.3">
      <c r="AR15" t="s">
        <v>272</v>
      </c>
      <c r="AS15" s="387">
        <f>SUMIFS(AS2:AS12,G2:G12,"LABA",E2:E12,"0349",F2:F12,"00",AT2:AT12,1)</f>
        <v>0.23</v>
      </c>
      <c r="AT15" s="387">
        <f>SUMIFS(AS2:AS12,G2:G12,"LABA",E2:E12,"0349",F2:F12,"00",AT2:AT12,3)</f>
        <v>0</v>
      </c>
      <c r="AU15" s="387">
        <f>SUMIFS(AU2:AU12,G2:G12,"LABA",E2:E12,"0349",F2:F12,"00")</f>
        <v>1</v>
      </c>
      <c r="AV15" s="387">
        <f>SUMIFS(AV2:AV12,G2:G12,"LABA",E2:E12,"0349",F2:F12,"00")</f>
        <v>0</v>
      </c>
      <c r="AW15" s="387">
        <f>SUMIFS(AW2:AW12,G2:G12,"LABA",E2:E12,"0349",F2:F12,"00")</f>
        <v>2</v>
      </c>
      <c r="AX15" s="387">
        <f>SUMIFS(AX2:AX12,G2:G12,"LABA",E2:E12,"0349",F2:F12,"00")</f>
        <v>213345.59</v>
      </c>
      <c r="AY15" s="387">
        <f>SUMIFS(AY2:AY12,G2:G12,"LABA",E2:E12,"0349",F2:F12,"00")</f>
        <v>49069.48</v>
      </c>
      <c r="AZ15" s="387">
        <f>SUMIFS(AZ2:AZ12,G2:G12,"LABA",E2:E12,"0349",F2:F12,"00")</f>
        <v>0</v>
      </c>
      <c r="BA15" s="387">
        <f>SUMIFS(BA2:BA12,G2:G12,"LABA",E2:E12,"0349",F2:F12,"00")</f>
        <v>0</v>
      </c>
      <c r="BB15" s="387">
        <f>SUMIFS(BB2:BB12,G2:G12,"LABA",E2:E12,"0349",F2:F12,"00")</f>
        <v>2679.5</v>
      </c>
      <c r="BC15" s="387">
        <f>SUMIFS(BC2:BC12,G2:G12,"LABA",E2:E12,"0349",F2:F12,"00")</f>
        <v>0</v>
      </c>
      <c r="BD15" s="387">
        <f>SUMIFS(BD2:BD12,G2:G12,"LABA",E2:E12,"0349",F2:F12,"00")</f>
        <v>1963.6020000000001</v>
      </c>
      <c r="BE15" s="387">
        <f>SUMIFS(BE2:BE12,G2:G12,"LABA",E2:E12,"0349",F2:F12,"00")</f>
        <v>711.50746000000004</v>
      </c>
      <c r="BF15" s="387">
        <f>SUMIFS(BF2:BF12,G2:G12,"LABA",E2:E12,"0349",F2:F12,"00")</f>
        <v>5858.8959120000009</v>
      </c>
      <c r="BG15" s="387">
        <f>SUMIFS(BG2:BG12,G2:G12,"LABA",E2:E12,"0349",F2:F12,"00")</f>
        <v>353.79095080000002</v>
      </c>
      <c r="BH15" s="387">
        <f>SUMIFS(BH2:BH12,G2:G12,"LABA",E2:E12,"0349",F2:F12,"00")</f>
        <v>240.44045200000002</v>
      </c>
      <c r="BI15" s="387">
        <f>SUMIFS(BI2:BI12,G2:G12,"LABA",E2:E12,"0349",F2:F12,"00")</f>
        <v>0</v>
      </c>
      <c r="BJ15" s="387">
        <f>SUMIFS(BJ2:BJ12,G2:G12,"LABA",E2:E12,"0349",F2:F12,"00")</f>
        <v>186.46402400000002</v>
      </c>
      <c r="BK15" s="387">
        <f>SUMIFS(BK2:BK12,G2:G12,"LABA",E2:E12,"0349",F2:F12,"00")</f>
        <v>0</v>
      </c>
      <c r="BL15" s="387">
        <f>SUMIFS(BL2:BL12,G2:G12,"LABA",E2:E12,"0349",F2:F12,"00")</f>
        <v>9314.7007988000023</v>
      </c>
      <c r="BM15" s="387">
        <f>SUMIFS(BM2:BM12,G2:G12,"LABA",E2:E12,"0349",F2:F12,"00")</f>
        <v>0</v>
      </c>
      <c r="BN15" s="387">
        <f>SUMIFS(BN2:BN12,G2:G12,"LABA",E2:E12,"0349",F2:F12,"00")</f>
        <v>2679.5</v>
      </c>
      <c r="BO15" s="387">
        <f>SUMIFS(BO2:BO12,G2:G12,"LABA",E2:E12,"0349",F2:F12,"00")</f>
        <v>0</v>
      </c>
      <c r="BP15" s="387">
        <f>SUMIFS(BP2:BP12,G2:G12,"LABA",E2:E12,"0349",F2:F12,"00")</f>
        <v>2036.3280000000002</v>
      </c>
      <c r="BQ15" s="387">
        <f>SUMIFS(BQ2:BQ12,G2:G12,"LABA",E2:E12,"0349",F2:F12,"00")</f>
        <v>711.50746000000004</v>
      </c>
      <c r="BR15" s="387">
        <f>SUMIFS(BR2:BR12,G2:G12,"LABA",E2:E12,"0349",F2:F12,"00")</f>
        <v>5858.8959120000009</v>
      </c>
      <c r="BS15" s="387">
        <f>SUMIFS(BS2:BS12,G2:G12,"LABA",E2:E12,"0349",F2:F12,"00")</f>
        <v>353.79095080000002</v>
      </c>
      <c r="BT15" s="387">
        <f>SUMIFS(BT2:BT12,G2:G12,"LABA",E2:E12,"0349",F2:F12,"00")</f>
        <v>0</v>
      </c>
      <c r="BU15" s="387">
        <f>SUMIFS(BU2:BU12,G2:G12,"LABA",E2:E12,"0349",F2:F12,"00")</f>
        <v>0</v>
      </c>
      <c r="BV15" s="387">
        <f>SUMIFS(BV2:BV12,G2:G12,"LABA",E2:E12,"0349",F2:F12,"00")</f>
        <v>176.650128</v>
      </c>
      <c r="BW15" s="387">
        <f>SUMIFS(BW2:BW12,G2:G12,"LABA",E2:E12,"0349",F2:F12,"00")</f>
        <v>0</v>
      </c>
      <c r="BX15" s="387">
        <f>SUMIFS(BX2:BX12,G2:G12,"LABA",E2:E12,"0349",F2:F12,"00")</f>
        <v>9137.1724508000007</v>
      </c>
      <c r="BY15" s="387">
        <f>SUMIFS(BY2:BY12,G2:G12,"LABA",E2:E12,"0349",F2:F12,"00")</f>
        <v>0</v>
      </c>
      <c r="BZ15" s="387">
        <f>SUMIFS(BZ2:BZ12,G2:G12,"LABA",E2:E12,"0349",F2:F12,"00")</f>
        <v>0</v>
      </c>
      <c r="CA15" s="387">
        <f>SUMIFS(CA2:CA12,G2:G12,"LABA",E2:E12,"0349",F2:F12,"00")</f>
        <v>0</v>
      </c>
      <c r="CB15" s="387">
        <f>SUMIFS(CB2:CB12,G2:G12,"LABA",E2:E12,"0349",F2:F12,"00")</f>
        <v>72.726000000000113</v>
      </c>
      <c r="CC15" s="387">
        <f>SUMIFS(CC2:CC12,G2:G12,"LABA",E2:E12,"0349",F2:F12,"00")</f>
        <v>0</v>
      </c>
      <c r="CD15" s="387">
        <f>SUMIFS(CD2:CD12,G2:G12,"LABA",E2:E12,"0349",F2:F12,"00")</f>
        <v>0</v>
      </c>
      <c r="CE15" s="387">
        <f>SUMIFS(CE2:CE12,G2:G12,"LABA",E2:E12,"0349",F2:F12,"00")</f>
        <v>0</v>
      </c>
      <c r="CF15" s="387">
        <f>SUMIFS(CF2:CF12,G2:G12,"LABA",E2:E12,"0349",F2:F12,"00")</f>
        <v>-240.44045200000002</v>
      </c>
      <c r="CG15" s="387">
        <f>SUMIFS(CG2:CG12,G2:G12,"LABA",E2:E12,"0349",F2:F12,"00")</f>
        <v>0</v>
      </c>
      <c r="CH15" s="387">
        <f>SUMIFS(CH2:CH12,G2:G12,"LABA",E2:E12,"0349",F2:F12,"00")</f>
        <v>-9.8138960000000051</v>
      </c>
      <c r="CI15" s="387">
        <f>SUMIFS(CI2:CI12,G2:G12,"LABA",E2:E12,"0349",F2:F12,"00")</f>
        <v>0</v>
      </c>
      <c r="CJ15" s="387">
        <f>SUMIFS(CJ2:CJ12,G2:G12,"LABA",E2:E12,"0349",F2:F12,"00")</f>
        <v>-177.52834799999991</v>
      </c>
      <c r="CK15" s="387">
        <f>SUMIFS(CK2:CK12,G2:G12,"LABA",E2:E12,"0349",F2:F12,"00")</f>
        <v>0</v>
      </c>
      <c r="CL15" s="387">
        <f>SUMIFS(CL2:CL12,G2:G12,"LABA",E2:E12,"0349",F2:F12,"00")</f>
        <v>4400</v>
      </c>
      <c r="CM15" s="387">
        <f>SUMIFS(CM2:CM12,G2:G12,"LABA",E2:E12,"0349",F2:F12,"00")</f>
        <v>338.2</v>
      </c>
    </row>
    <row r="16" spans="1:92" ht="18.75" x14ac:dyDescent="0.3">
      <c r="AQ16" s="393" t="s">
        <v>273</v>
      </c>
      <c r="AS16" s="394">
        <f t="shared" ref="AS16:CM16" si="44">SUM(AS15:AS15)</f>
        <v>0.23</v>
      </c>
      <c r="AT16" s="394">
        <f t="shared" si="44"/>
        <v>0</v>
      </c>
      <c r="AU16" s="394">
        <f t="shared" si="44"/>
        <v>1</v>
      </c>
      <c r="AV16" s="394">
        <f t="shared" si="44"/>
        <v>0</v>
      </c>
      <c r="AW16" s="394">
        <f t="shared" si="44"/>
        <v>2</v>
      </c>
      <c r="AX16" s="394">
        <f t="shared" si="44"/>
        <v>213345.59</v>
      </c>
      <c r="AY16" s="394">
        <f t="shared" si="44"/>
        <v>49069.48</v>
      </c>
      <c r="AZ16" s="394">
        <f t="shared" si="44"/>
        <v>0</v>
      </c>
      <c r="BA16" s="394">
        <f t="shared" si="44"/>
        <v>0</v>
      </c>
      <c r="BB16" s="394">
        <f t="shared" si="44"/>
        <v>2679.5</v>
      </c>
      <c r="BC16" s="394">
        <f t="shared" si="44"/>
        <v>0</v>
      </c>
      <c r="BD16" s="394">
        <f t="shared" si="44"/>
        <v>1963.6020000000001</v>
      </c>
      <c r="BE16" s="394">
        <f t="shared" si="44"/>
        <v>711.50746000000004</v>
      </c>
      <c r="BF16" s="394">
        <f t="shared" si="44"/>
        <v>5858.8959120000009</v>
      </c>
      <c r="BG16" s="394">
        <f t="shared" si="44"/>
        <v>353.79095080000002</v>
      </c>
      <c r="BH16" s="394">
        <f t="shared" si="44"/>
        <v>240.44045200000002</v>
      </c>
      <c r="BI16" s="394">
        <f t="shared" si="44"/>
        <v>0</v>
      </c>
      <c r="BJ16" s="394">
        <f t="shared" si="44"/>
        <v>186.46402400000002</v>
      </c>
      <c r="BK16" s="394">
        <f t="shared" si="44"/>
        <v>0</v>
      </c>
      <c r="BL16" s="394">
        <f t="shared" si="44"/>
        <v>9314.7007988000023</v>
      </c>
      <c r="BM16" s="394">
        <f t="shared" si="44"/>
        <v>0</v>
      </c>
      <c r="BN16" s="394">
        <f t="shared" si="44"/>
        <v>2679.5</v>
      </c>
      <c r="BO16" s="394">
        <f t="shared" si="44"/>
        <v>0</v>
      </c>
      <c r="BP16" s="394">
        <f t="shared" si="44"/>
        <v>2036.3280000000002</v>
      </c>
      <c r="BQ16" s="394">
        <f t="shared" si="44"/>
        <v>711.50746000000004</v>
      </c>
      <c r="BR16" s="394">
        <f t="shared" si="44"/>
        <v>5858.8959120000009</v>
      </c>
      <c r="BS16" s="394">
        <f t="shared" si="44"/>
        <v>353.79095080000002</v>
      </c>
      <c r="BT16" s="394">
        <f t="shared" si="44"/>
        <v>0</v>
      </c>
      <c r="BU16" s="394">
        <f t="shared" si="44"/>
        <v>0</v>
      </c>
      <c r="BV16" s="394">
        <f t="shared" si="44"/>
        <v>176.650128</v>
      </c>
      <c r="BW16" s="394">
        <f t="shared" si="44"/>
        <v>0</v>
      </c>
      <c r="BX16" s="394">
        <f t="shared" si="44"/>
        <v>9137.1724508000007</v>
      </c>
      <c r="BY16" s="394">
        <f t="shared" si="44"/>
        <v>0</v>
      </c>
      <c r="BZ16" s="394">
        <f t="shared" si="44"/>
        <v>0</v>
      </c>
      <c r="CA16" s="394">
        <f t="shared" si="44"/>
        <v>0</v>
      </c>
      <c r="CB16" s="394">
        <f t="shared" si="44"/>
        <v>72.726000000000113</v>
      </c>
      <c r="CC16" s="394">
        <f t="shared" si="44"/>
        <v>0</v>
      </c>
      <c r="CD16" s="394">
        <f t="shared" si="44"/>
        <v>0</v>
      </c>
      <c r="CE16" s="394">
        <f t="shared" si="44"/>
        <v>0</v>
      </c>
      <c r="CF16" s="394">
        <f t="shared" si="44"/>
        <v>-240.44045200000002</v>
      </c>
      <c r="CG16" s="394">
        <f t="shared" si="44"/>
        <v>0</v>
      </c>
      <c r="CH16" s="394">
        <f t="shared" si="44"/>
        <v>-9.8138960000000051</v>
      </c>
      <c r="CI16" s="394">
        <f t="shared" si="44"/>
        <v>0</v>
      </c>
      <c r="CJ16" s="394">
        <f t="shared" si="44"/>
        <v>-177.52834799999991</v>
      </c>
      <c r="CK16" s="394">
        <f t="shared" si="44"/>
        <v>0</v>
      </c>
      <c r="CL16" s="394">
        <f t="shared" si="44"/>
        <v>4400</v>
      </c>
      <c r="CM16" s="394">
        <f t="shared" si="44"/>
        <v>338.2</v>
      </c>
    </row>
    <row r="17" spans="41:91" ht="15.75" thickBot="1" x14ac:dyDescent="0.3">
      <c r="AR17" t="s">
        <v>280</v>
      </c>
      <c r="AS17" s="387">
        <f>SUMIFS(AS2:AS12,G2:G12,"LABA",E2:E12,"0482",F2:F12,"70",AT2:AT12,1)</f>
        <v>3.77</v>
      </c>
      <c r="AT17" s="387">
        <f>SUMIFS(AS2:AS12,G2:G12,"LABA",E2:E12,"0482",F2:F12,"70",AT2:AT12,3)</f>
        <v>0</v>
      </c>
      <c r="AU17" s="387">
        <f>SUMIFS(AU2:AU12,G2:G12,"LABA",E2:E12,"0482",F2:F12,"70")</f>
        <v>4</v>
      </c>
      <c r="AV17" s="387">
        <f>SUMIFS(AV2:AV12,G2:G12,"LABA",E2:E12,"0482",F2:F12,"70")</f>
        <v>0</v>
      </c>
      <c r="AW17" s="387">
        <f>SUMIFS(AW2:AW12,G2:G12,"LABA",E2:E12,"0482",F2:F12,"70")</f>
        <v>5</v>
      </c>
      <c r="AX17" s="387">
        <f>SUMIFS(AX2:AX12,G2:G12,"LABA",E2:E12,"0482",F2:F12,"70")</f>
        <v>433243.18999999994</v>
      </c>
      <c r="AY17" s="387">
        <f>SUMIFS(AY2:AY12,G2:G12,"LABA",E2:E12,"0482",F2:F12,"70")</f>
        <v>384173.70999999996</v>
      </c>
      <c r="AZ17" s="387">
        <f>SUMIFS(AZ2:AZ12,G2:G12,"LABA",E2:E12,"0482",F2:F12,"70")</f>
        <v>0</v>
      </c>
      <c r="BA17" s="387">
        <f>SUMIFS(BA2:BA12,G2:G12,"LABA",E2:E12,"0482",F2:F12,"70")</f>
        <v>0</v>
      </c>
      <c r="BB17" s="387">
        <f>SUMIFS(BB2:BB12,G2:G12,"LABA",E2:E12,"0482",F2:F12,"70")</f>
        <v>43920.5</v>
      </c>
      <c r="BC17" s="387">
        <f>SUMIFS(BC2:BC12,G2:G12,"LABA",E2:E12,"0482",F2:F12,"70")</f>
        <v>0</v>
      </c>
      <c r="BD17" s="387">
        <f>SUMIFS(BD2:BD12,G2:G12,"LABA",E2:E12,"0482",F2:F12,"70")</f>
        <v>20207.449199999999</v>
      </c>
      <c r="BE17" s="387">
        <f>SUMIFS(BE2:BE12,G2:G12,"LABA",E2:E12,"0482",F2:F12,"70")</f>
        <v>5570.518795</v>
      </c>
      <c r="BF17" s="387">
        <f>SUMIFS(BF2:BF12,G2:G12,"LABA",E2:E12,"0482",F2:F12,"70")</f>
        <v>45870.340973999992</v>
      </c>
      <c r="BG17" s="387">
        <f>SUMIFS(BG2:BG12,G2:G12,"LABA",E2:E12,"0482",F2:F12,"70")</f>
        <v>2769.8924490999998</v>
      </c>
      <c r="BH17" s="387">
        <f>SUMIFS(BH2:BH12,G2:G12,"LABA",E2:E12,"0482",F2:F12,"70")</f>
        <v>1882.4511789999997</v>
      </c>
      <c r="BI17" s="387">
        <f>SUMIFS(BI2:BI12,G2:G12,"LABA",E2:E12,"0482",F2:F12,"70")</f>
        <v>675.72044800000003</v>
      </c>
      <c r="BJ17" s="387">
        <f>SUMIFS(BJ2:BJ12,G2:G12,"LABA",E2:E12,"0482",F2:F12,"70")</f>
        <v>1459.8600979999999</v>
      </c>
      <c r="BK17" s="387">
        <f>SUMIFS(BK2:BK12,G2:G12,"LABA",E2:E12,"0482",F2:F12,"70")</f>
        <v>0</v>
      </c>
      <c r="BL17" s="387">
        <f>SUMIFS(BL2:BL12,G2:G12,"LABA",E2:E12,"0482",F2:F12,"70")</f>
        <v>78436.233143099991</v>
      </c>
      <c r="BM17" s="387">
        <f>SUMIFS(BM2:BM12,G2:G12,"LABA",E2:E12,"0482",F2:F12,"70")</f>
        <v>0</v>
      </c>
      <c r="BN17" s="387">
        <f>SUMIFS(BN2:BN12,G2:G12,"LABA",E2:E12,"0482",F2:F12,"70")</f>
        <v>43920.5</v>
      </c>
      <c r="BO17" s="387">
        <f>SUMIFS(BO2:BO12,G2:G12,"LABA",E2:E12,"0482",F2:F12,"70")</f>
        <v>0</v>
      </c>
      <c r="BP17" s="387">
        <f>SUMIFS(BP2:BP12,G2:G12,"LABA",E2:E12,"0482",F2:F12,"70")</f>
        <v>20450.923200000001</v>
      </c>
      <c r="BQ17" s="387">
        <f>SUMIFS(BQ2:BQ12,G2:G12,"LABA",E2:E12,"0482",F2:F12,"70")</f>
        <v>5570.518795</v>
      </c>
      <c r="BR17" s="387">
        <f>SUMIFS(BR2:BR12,G2:G12,"LABA",E2:E12,"0482",F2:F12,"70")</f>
        <v>45870.340973999992</v>
      </c>
      <c r="BS17" s="387">
        <f>SUMIFS(BS2:BS12,G2:G12,"LABA",E2:E12,"0482",F2:F12,"70")</f>
        <v>2769.8924490999998</v>
      </c>
      <c r="BT17" s="387">
        <f>SUMIFS(BT2:BT12,G2:G12,"LABA",E2:E12,"0482",F2:F12,"70")</f>
        <v>0</v>
      </c>
      <c r="BU17" s="387">
        <f>SUMIFS(BU2:BU12,G2:G12,"LABA",E2:E12,"0482",F2:F12,"70")</f>
        <v>675.72044800000003</v>
      </c>
      <c r="BV17" s="387">
        <f>SUMIFS(BV2:BV12,G2:G12,"LABA",E2:E12,"0482",F2:F12,"70")</f>
        <v>1383.0253559999996</v>
      </c>
      <c r="BW17" s="387">
        <f>SUMIFS(BW2:BW12,G2:G12,"LABA",E2:E12,"0482",F2:F12,"70")</f>
        <v>0</v>
      </c>
      <c r="BX17" s="387">
        <f>SUMIFS(BX2:BX12,G2:G12,"LABA",E2:E12,"0482",F2:F12,"70")</f>
        <v>76720.421222100005</v>
      </c>
      <c r="BY17" s="387">
        <f>SUMIFS(BY2:BY12,G2:G12,"LABA",E2:E12,"0482",F2:F12,"70")</f>
        <v>0</v>
      </c>
      <c r="BZ17" s="387">
        <f>SUMIFS(BZ2:BZ12,G2:G12,"LABA",E2:E12,"0482",F2:F12,"70")</f>
        <v>0</v>
      </c>
      <c r="CA17" s="387">
        <f>SUMIFS(CA2:CA12,G2:G12,"LABA",E2:E12,"0482",F2:F12,"70")</f>
        <v>0</v>
      </c>
      <c r="CB17" s="387">
        <f>SUMIFS(CB2:CB12,G2:G12,"LABA",E2:E12,"0482",F2:F12,"70")</f>
        <v>243.47400000000107</v>
      </c>
      <c r="CC17" s="387">
        <f>SUMIFS(CC2:CC12,G2:G12,"LABA",E2:E12,"0482",F2:F12,"70")</f>
        <v>0</v>
      </c>
      <c r="CD17" s="387">
        <f>SUMIFS(CD2:CD12,G2:G12,"LABA",E2:E12,"0482",F2:F12,"70")</f>
        <v>0</v>
      </c>
      <c r="CE17" s="387">
        <f>SUMIFS(CE2:CE12,G2:G12,"LABA",E2:E12,"0482",F2:F12,"70")</f>
        <v>0</v>
      </c>
      <c r="CF17" s="387">
        <f>SUMIFS(CF2:CF12,G2:G12,"LABA",E2:E12,"0482",F2:F12,"70")</f>
        <v>-1882.4511789999997</v>
      </c>
      <c r="CG17" s="387">
        <f>SUMIFS(CG2:CG12,G2:G12,"LABA",E2:E12,"0482",F2:F12,"70")</f>
        <v>0</v>
      </c>
      <c r="CH17" s="387">
        <f>SUMIFS(CH2:CH12,G2:G12,"LABA",E2:E12,"0482",F2:F12,"70")</f>
        <v>-76.834742000000034</v>
      </c>
      <c r="CI17" s="387">
        <f>SUMIFS(CI2:CI12,G2:G12,"LABA",E2:E12,"0482",F2:F12,"70")</f>
        <v>0</v>
      </c>
      <c r="CJ17" s="387">
        <f>SUMIFS(CJ2:CJ12,G2:G12,"LABA",E2:E12,"0482",F2:F12,"70")</f>
        <v>-1715.8119209999988</v>
      </c>
      <c r="CK17" s="387">
        <f>SUMIFS(CK2:CK12,G2:G12,"LABA",E2:E12,"0482",F2:F12,"70")</f>
        <v>0</v>
      </c>
      <c r="CL17" s="387">
        <f>SUMIFS(CL2:CL12,G2:G12,"LABA",E2:E12,"0482",F2:F12,"70")</f>
        <v>0</v>
      </c>
      <c r="CM17" s="387">
        <f>SUMIFS(CM2:CM12,G2:G12,"LABA",E2:E12,"0482",F2:F12,"70")</f>
        <v>0</v>
      </c>
    </row>
    <row r="18" spans="41:91" ht="18.75" x14ac:dyDescent="0.3">
      <c r="AQ18" s="393" t="s">
        <v>281</v>
      </c>
      <c r="AS18" s="394">
        <f t="shared" ref="AS18:CM18" si="45">SUM(AS17:AS17)</f>
        <v>3.77</v>
      </c>
      <c r="AT18" s="394">
        <f t="shared" si="45"/>
        <v>0</v>
      </c>
      <c r="AU18" s="394">
        <f t="shared" si="45"/>
        <v>4</v>
      </c>
      <c r="AV18" s="394">
        <f t="shared" si="45"/>
        <v>0</v>
      </c>
      <c r="AW18" s="394">
        <f t="shared" si="45"/>
        <v>5</v>
      </c>
      <c r="AX18" s="394">
        <f t="shared" si="45"/>
        <v>433243.18999999994</v>
      </c>
      <c r="AY18" s="394">
        <f t="shared" si="45"/>
        <v>384173.70999999996</v>
      </c>
      <c r="AZ18" s="394">
        <f t="shared" si="45"/>
        <v>0</v>
      </c>
      <c r="BA18" s="394">
        <f t="shared" si="45"/>
        <v>0</v>
      </c>
      <c r="BB18" s="394">
        <f t="shared" si="45"/>
        <v>43920.5</v>
      </c>
      <c r="BC18" s="394">
        <f t="shared" si="45"/>
        <v>0</v>
      </c>
      <c r="BD18" s="394">
        <f t="shared" si="45"/>
        <v>20207.449199999999</v>
      </c>
      <c r="BE18" s="394">
        <f t="shared" si="45"/>
        <v>5570.518795</v>
      </c>
      <c r="BF18" s="394">
        <f t="shared" si="45"/>
        <v>45870.340973999992</v>
      </c>
      <c r="BG18" s="394">
        <f t="shared" si="45"/>
        <v>2769.8924490999998</v>
      </c>
      <c r="BH18" s="394">
        <f t="shared" si="45"/>
        <v>1882.4511789999997</v>
      </c>
      <c r="BI18" s="394">
        <f t="shared" si="45"/>
        <v>675.72044800000003</v>
      </c>
      <c r="BJ18" s="394">
        <f t="shared" si="45"/>
        <v>1459.8600979999999</v>
      </c>
      <c r="BK18" s="394">
        <f t="shared" si="45"/>
        <v>0</v>
      </c>
      <c r="BL18" s="394">
        <f t="shared" si="45"/>
        <v>78436.233143099991</v>
      </c>
      <c r="BM18" s="394">
        <f t="shared" si="45"/>
        <v>0</v>
      </c>
      <c r="BN18" s="394">
        <f t="shared" si="45"/>
        <v>43920.5</v>
      </c>
      <c r="BO18" s="394">
        <f t="shared" si="45"/>
        <v>0</v>
      </c>
      <c r="BP18" s="394">
        <f t="shared" si="45"/>
        <v>20450.923200000001</v>
      </c>
      <c r="BQ18" s="394">
        <f t="shared" si="45"/>
        <v>5570.518795</v>
      </c>
      <c r="BR18" s="394">
        <f t="shared" si="45"/>
        <v>45870.340973999992</v>
      </c>
      <c r="BS18" s="394">
        <f t="shared" si="45"/>
        <v>2769.8924490999998</v>
      </c>
      <c r="BT18" s="394">
        <f t="shared" si="45"/>
        <v>0</v>
      </c>
      <c r="BU18" s="394">
        <f t="shared" si="45"/>
        <v>675.72044800000003</v>
      </c>
      <c r="BV18" s="394">
        <f t="shared" si="45"/>
        <v>1383.0253559999996</v>
      </c>
      <c r="BW18" s="394">
        <f t="shared" si="45"/>
        <v>0</v>
      </c>
      <c r="BX18" s="394">
        <f t="shared" si="45"/>
        <v>76720.421222100005</v>
      </c>
      <c r="BY18" s="394">
        <f t="shared" si="45"/>
        <v>0</v>
      </c>
      <c r="BZ18" s="394">
        <f t="shared" si="45"/>
        <v>0</v>
      </c>
      <c r="CA18" s="394">
        <f t="shared" si="45"/>
        <v>0</v>
      </c>
      <c r="CB18" s="394">
        <f t="shared" si="45"/>
        <v>243.47400000000107</v>
      </c>
      <c r="CC18" s="394">
        <f t="shared" si="45"/>
        <v>0</v>
      </c>
      <c r="CD18" s="394">
        <f t="shared" si="45"/>
        <v>0</v>
      </c>
      <c r="CE18" s="394">
        <f t="shared" si="45"/>
        <v>0</v>
      </c>
      <c r="CF18" s="394">
        <f t="shared" si="45"/>
        <v>-1882.4511789999997</v>
      </c>
      <c r="CG18" s="394">
        <f t="shared" si="45"/>
        <v>0</v>
      </c>
      <c r="CH18" s="394">
        <f t="shared" si="45"/>
        <v>-76.834742000000034</v>
      </c>
      <c r="CI18" s="394">
        <f t="shared" si="45"/>
        <v>0</v>
      </c>
      <c r="CJ18" s="394">
        <f t="shared" si="45"/>
        <v>-1715.8119209999988</v>
      </c>
      <c r="CK18" s="394">
        <f t="shared" si="45"/>
        <v>0</v>
      </c>
      <c r="CL18" s="394">
        <f t="shared" si="45"/>
        <v>0</v>
      </c>
      <c r="CM18" s="394">
        <f t="shared" si="45"/>
        <v>0</v>
      </c>
    </row>
    <row r="19" spans="41:91" ht="15.75" thickBot="1" x14ac:dyDescent="0.3">
      <c r="AR19" t="s">
        <v>286</v>
      </c>
      <c r="AS19" s="387">
        <f>SUMIFS(AS2:AS12,G2:G12,"LABB",E2:E12,"0349",F2:F12,"00",AT2:AT12,1)</f>
        <v>0</v>
      </c>
      <c r="AT19" s="387">
        <f>SUMIFS(AS2:AS12,G2:G12,"LABB",E2:E12,"0349",F2:F12,"00",AT2:AT12,3)</f>
        <v>0</v>
      </c>
      <c r="AU19" s="387">
        <f>SUMIFS(AU2:AU12,G2:G12,"LABB",E2:E12,"0349",F2:F12,"00")</f>
        <v>0</v>
      </c>
      <c r="AV19" s="387">
        <f>SUMIFS(AV2:AV12,G2:G12,"LABB",E2:E12,"0349",F2:F12,"00")</f>
        <v>0</v>
      </c>
      <c r="AW19" s="387">
        <f>SUMIFS(AW2:AW12,G2:G12,"LABB",E2:E12,"0349",F2:F12,"00")</f>
        <v>0</v>
      </c>
      <c r="AX19" s="387">
        <f>SUMIFS(AX2:AX12,G2:G12,"LABB",E2:E12,"0349",F2:F12,"00")</f>
        <v>0</v>
      </c>
      <c r="AY19" s="387">
        <f>SUMIFS(AY2:AY12,G2:G12,"LABB",E2:E12,"0349",F2:F12,"00")</f>
        <v>0</v>
      </c>
      <c r="AZ19" s="387">
        <f>SUMIFS(AZ2:AZ12,G2:G12,"LABB",E2:E12,"0349",F2:F12,"00")</f>
        <v>0</v>
      </c>
      <c r="BA19" s="387">
        <f>SUMIFS(BA2:BA12,G2:G12,"LABB",E2:E12,"0349",F2:F12,"00")</f>
        <v>0</v>
      </c>
      <c r="BB19" s="387">
        <f>SUMIFS(BB2:BB12,G2:G12,"LABB",E2:E12,"0349",F2:F12,"00")</f>
        <v>0</v>
      </c>
      <c r="BC19" s="387">
        <f>SUMIFS(BC2:BC12,G2:G12,"LABB",E2:E12,"0349",F2:F12,"00")</f>
        <v>0</v>
      </c>
      <c r="BD19" s="387">
        <f>SUMIFS(BD2:BD12,G2:G12,"LABB",E2:E12,"0349",F2:F12,"00")</f>
        <v>0</v>
      </c>
      <c r="BE19" s="387">
        <f>SUMIFS(BE2:BE12,G2:G12,"LABB",E2:E12,"0349",F2:F12,"00")</f>
        <v>0</v>
      </c>
      <c r="BF19" s="387">
        <f>SUMIFS(BF2:BF12,G2:G12,"LABB",E2:E12,"0349",F2:F12,"00")</f>
        <v>0</v>
      </c>
      <c r="BG19" s="387">
        <f>SUMIFS(BG2:BG12,G2:G12,"LABB",E2:E12,"0349",F2:F12,"00")</f>
        <v>0</v>
      </c>
      <c r="BH19" s="387">
        <f>SUMIFS(BH2:BH12,G2:G12,"LABB",E2:E12,"0349",F2:F12,"00")</f>
        <v>0</v>
      </c>
      <c r="BI19" s="387">
        <f>SUMIFS(BI2:BI12,G2:G12,"LABB",E2:E12,"0349",F2:F12,"00")</f>
        <v>0</v>
      </c>
      <c r="BJ19" s="387">
        <f>SUMIFS(BJ2:BJ12,G2:G12,"LABB",E2:E12,"0349",F2:F12,"00")</f>
        <v>0</v>
      </c>
      <c r="BK19" s="387">
        <f>SUMIFS(BK2:BK12,G2:G12,"LABB",E2:E12,"0349",F2:F12,"00")</f>
        <v>0</v>
      </c>
      <c r="BL19" s="387">
        <f>SUMIFS(BL2:BL12,G2:G12,"LABB",E2:E12,"0349",F2:F12,"00")</f>
        <v>0</v>
      </c>
      <c r="BM19" s="387">
        <f>SUMIFS(BM2:BM12,G2:G12,"LABB",E2:E12,"0349",F2:F12,"00")</f>
        <v>0</v>
      </c>
      <c r="BN19" s="387">
        <f>SUMIFS(BN2:BN12,G2:G12,"LABB",E2:E12,"0349",F2:F12,"00")</f>
        <v>0</v>
      </c>
      <c r="BO19" s="387">
        <f>SUMIFS(BO2:BO12,G2:G12,"LABB",E2:E12,"0349",F2:F12,"00")</f>
        <v>0</v>
      </c>
      <c r="BP19" s="387">
        <f>SUMIFS(BP2:BP12,G2:G12,"LABB",E2:E12,"0349",F2:F12,"00")</f>
        <v>0</v>
      </c>
      <c r="BQ19" s="387">
        <f>SUMIFS(BQ2:BQ12,G2:G12,"LABB",E2:E12,"0349",F2:F12,"00")</f>
        <v>0</v>
      </c>
      <c r="BR19" s="387">
        <f>SUMIFS(BR2:BR12,G2:G12,"LABB",E2:E12,"0349",F2:F12,"00")</f>
        <v>0</v>
      </c>
      <c r="BS19" s="387">
        <f>SUMIFS(BS2:BS12,G2:G12,"LABB",E2:E12,"0349",F2:F12,"00")</f>
        <v>0</v>
      </c>
      <c r="BT19" s="387">
        <f>SUMIFS(BT2:BT12,G2:G12,"LABB",E2:E12,"0349",F2:F12,"00")</f>
        <v>0</v>
      </c>
      <c r="BU19" s="387">
        <f>SUMIFS(BU2:BU12,G2:G12,"LABB",E2:E12,"0349",F2:F12,"00")</f>
        <v>0</v>
      </c>
      <c r="BV19" s="387">
        <f>SUMIFS(BV2:BV12,G2:G12,"LABB",E2:E12,"0349",F2:F12,"00")</f>
        <v>0</v>
      </c>
      <c r="BW19" s="387">
        <f>SUMIFS(BW2:BW12,G2:G12,"LABB",E2:E12,"0349",F2:F12,"00")</f>
        <v>0</v>
      </c>
      <c r="BX19" s="387">
        <f>SUMIFS(BX2:BX12,G2:G12,"LABB",E2:E12,"0349",F2:F12,"00")</f>
        <v>0</v>
      </c>
      <c r="BY19" s="387">
        <f>SUMIFS(BY2:BY12,G2:G12,"LABB",E2:E12,"0349",F2:F12,"00")</f>
        <v>0</v>
      </c>
      <c r="BZ19" s="387">
        <f>SUMIFS(BZ2:BZ12,G2:G12,"LABB",E2:E12,"0349",F2:F12,"00")</f>
        <v>0</v>
      </c>
      <c r="CA19" s="387">
        <f>SUMIFS(CA2:CA12,G2:G12,"LABB",E2:E12,"0349",F2:F12,"00")</f>
        <v>0</v>
      </c>
      <c r="CB19" s="387">
        <f>SUMIFS(CB2:CB12,G2:G12,"LABB",E2:E12,"0349",F2:F12,"00")</f>
        <v>0</v>
      </c>
      <c r="CC19" s="387">
        <f>SUMIFS(CC2:CC12,G2:G12,"LABB",E2:E12,"0349",F2:F12,"00")</f>
        <v>0</v>
      </c>
      <c r="CD19" s="387">
        <f>SUMIFS(CD2:CD12,G2:G12,"LABB",E2:E12,"0349",F2:F12,"00")</f>
        <v>0</v>
      </c>
      <c r="CE19" s="387">
        <f>SUMIFS(CE2:CE12,G2:G12,"LABB",E2:E12,"0349",F2:F12,"00")</f>
        <v>0</v>
      </c>
      <c r="CF19" s="387">
        <f>SUMIFS(CF2:CF12,G2:G12,"LABB",E2:E12,"0349",F2:F12,"00")</f>
        <v>0</v>
      </c>
      <c r="CG19" s="387">
        <f>SUMIFS(CG2:CG12,G2:G12,"LABB",E2:E12,"0349",F2:F12,"00")</f>
        <v>0</v>
      </c>
      <c r="CH19" s="387">
        <f>SUMIFS(CH2:CH12,G2:G12,"LABB",E2:E12,"0349",F2:F12,"00")</f>
        <v>0</v>
      </c>
      <c r="CI19" s="387">
        <f>SUMIFS(CI2:CI12,G2:G12,"LABB",E2:E12,"0349",F2:F12,"00")</f>
        <v>0</v>
      </c>
      <c r="CJ19" s="387">
        <f>SUMIFS(CJ2:CJ12,G2:G12,"LABB",E2:E12,"0349",F2:F12,"00")</f>
        <v>0</v>
      </c>
      <c r="CK19" s="387">
        <f>SUMIFS(CK2:CK12,G2:G12,"LABB",E2:E12,"0349",F2:F12,"00")</f>
        <v>0</v>
      </c>
      <c r="CL19" s="387">
        <f>SUMIFS(CL2:CL12,G2:G12,"LABB",E2:E12,"0349",F2:F12,"00")</f>
        <v>0</v>
      </c>
      <c r="CM19" s="387">
        <f>SUMIFS(CM2:CM12,G2:G12,"LABB",E2:E12,"0349",F2:F12,"00")</f>
        <v>0</v>
      </c>
    </row>
    <row r="20" spans="41:91" ht="18.75" x14ac:dyDescent="0.3">
      <c r="AQ20" s="393" t="s">
        <v>287</v>
      </c>
      <c r="AS20" s="394">
        <f t="shared" ref="AS20:CM20" si="46">SUM(AS19:AS19)</f>
        <v>0</v>
      </c>
      <c r="AT20" s="394">
        <f t="shared" si="46"/>
        <v>0</v>
      </c>
      <c r="AU20" s="394">
        <f t="shared" si="46"/>
        <v>0</v>
      </c>
      <c r="AV20" s="394">
        <f t="shared" si="46"/>
        <v>0</v>
      </c>
      <c r="AW20" s="394">
        <f t="shared" si="46"/>
        <v>0</v>
      </c>
      <c r="AX20" s="394">
        <f t="shared" si="46"/>
        <v>0</v>
      </c>
      <c r="AY20" s="394">
        <f t="shared" si="46"/>
        <v>0</v>
      </c>
      <c r="AZ20" s="394">
        <f t="shared" si="46"/>
        <v>0</v>
      </c>
      <c r="BA20" s="394">
        <f t="shared" si="46"/>
        <v>0</v>
      </c>
      <c r="BB20" s="394">
        <f t="shared" si="46"/>
        <v>0</v>
      </c>
      <c r="BC20" s="394">
        <f t="shared" si="46"/>
        <v>0</v>
      </c>
      <c r="BD20" s="394">
        <f t="shared" si="46"/>
        <v>0</v>
      </c>
      <c r="BE20" s="394">
        <f t="shared" si="46"/>
        <v>0</v>
      </c>
      <c r="BF20" s="394">
        <f t="shared" si="46"/>
        <v>0</v>
      </c>
      <c r="BG20" s="394">
        <f t="shared" si="46"/>
        <v>0</v>
      </c>
      <c r="BH20" s="394">
        <f t="shared" si="46"/>
        <v>0</v>
      </c>
      <c r="BI20" s="394">
        <f t="shared" si="46"/>
        <v>0</v>
      </c>
      <c r="BJ20" s="394">
        <f t="shared" si="46"/>
        <v>0</v>
      </c>
      <c r="BK20" s="394">
        <f t="shared" si="46"/>
        <v>0</v>
      </c>
      <c r="BL20" s="394">
        <f t="shared" si="46"/>
        <v>0</v>
      </c>
      <c r="BM20" s="394">
        <f t="shared" si="46"/>
        <v>0</v>
      </c>
      <c r="BN20" s="394">
        <f t="shared" si="46"/>
        <v>0</v>
      </c>
      <c r="BO20" s="394">
        <f t="shared" si="46"/>
        <v>0</v>
      </c>
      <c r="BP20" s="394">
        <f t="shared" si="46"/>
        <v>0</v>
      </c>
      <c r="BQ20" s="394">
        <f t="shared" si="46"/>
        <v>0</v>
      </c>
      <c r="BR20" s="394">
        <f t="shared" si="46"/>
        <v>0</v>
      </c>
      <c r="BS20" s="394">
        <f t="shared" si="46"/>
        <v>0</v>
      </c>
      <c r="BT20" s="394">
        <f t="shared" si="46"/>
        <v>0</v>
      </c>
      <c r="BU20" s="394">
        <f t="shared" si="46"/>
        <v>0</v>
      </c>
      <c r="BV20" s="394">
        <f t="shared" si="46"/>
        <v>0</v>
      </c>
      <c r="BW20" s="394">
        <f t="shared" si="46"/>
        <v>0</v>
      </c>
      <c r="BX20" s="394">
        <f t="shared" si="46"/>
        <v>0</v>
      </c>
      <c r="BY20" s="394">
        <f t="shared" si="46"/>
        <v>0</v>
      </c>
      <c r="BZ20" s="394">
        <f t="shared" si="46"/>
        <v>0</v>
      </c>
      <c r="CA20" s="394">
        <f t="shared" si="46"/>
        <v>0</v>
      </c>
      <c r="CB20" s="394">
        <f t="shared" si="46"/>
        <v>0</v>
      </c>
      <c r="CC20" s="394">
        <f t="shared" si="46"/>
        <v>0</v>
      </c>
      <c r="CD20" s="394">
        <f t="shared" si="46"/>
        <v>0</v>
      </c>
      <c r="CE20" s="394">
        <f t="shared" si="46"/>
        <v>0</v>
      </c>
      <c r="CF20" s="394">
        <f t="shared" si="46"/>
        <v>0</v>
      </c>
      <c r="CG20" s="394">
        <f t="shared" si="46"/>
        <v>0</v>
      </c>
      <c r="CH20" s="394">
        <f t="shared" si="46"/>
        <v>0</v>
      </c>
      <c r="CI20" s="394">
        <f t="shared" si="46"/>
        <v>0</v>
      </c>
      <c r="CJ20" s="394">
        <f t="shared" si="46"/>
        <v>0</v>
      </c>
      <c r="CK20" s="394">
        <f t="shared" si="46"/>
        <v>0</v>
      </c>
      <c r="CL20" s="394">
        <f t="shared" si="46"/>
        <v>0</v>
      </c>
      <c r="CM20" s="394">
        <f t="shared" si="46"/>
        <v>0</v>
      </c>
    </row>
    <row r="21" spans="41:91" ht="15.75" thickBot="1" x14ac:dyDescent="0.3">
      <c r="AR21" t="s">
        <v>289</v>
      </c>
      <c r="AS21" s="387">
        <f>SUMIFS(AS2:AS12,G2:G12,"LABB",E2:E12,"0482",F2:F12,"70",AT2:AT12,1)</f>
        <v>0</v>
      </c>
      <c r="AT21" s="387">
        <f>SUMIFS(AS2:AS12,G2:G12,"LABB",E2:E12,"0482",F2:F12,"70",AT2:AT12,3)</f>
        <v>0</v>
      </c>
      <c r="AU21" s="387">
        <f>SUMIFS(AU2:AU12,G2:G12,"LABB",E2:E12,"0482",F2:F12,"70")</f>
        <v>0</v>
      </c>
      <c r="AV21" s="387">
        <f>SUMIFS(AV2:AV12,G2:G12,"LABB",E2:E12,"0482",F2:F12,"70")</f>
        <v>0</v>
      </c>
      <c r="AW21" s="387">
        <f>SUMIFS(AW2:AW12,G2:G12,"LABB",E2:E12,"0482",F2:F12,"70")</f>
        <v>0</v>
      </c>
      <c r="AX21" s="387">
        <f>SUMIFS(AX2:AX12,G2:G12,"LABB",E2:E12,"0482",F2:F12,"70")</f>
        <v>0</v>
      </c>
      <c r="AY21" s="387">
        <f>SUMIFS(AY2:AY12,G2:G12,"LABB",E2:E12,"0482",F2:F12,"70")</f>
        <v>0</v>
      </c>
      <c r="AZ21" s="387">
        <f>SUMIFS(AZ2:AZ12,G2:G12,"LABB",E2:E12,"0482",F2:F12,"70")</f>
        <v>0</v>
      </c>
      <c r="BA21" s="387">
        <f>SUMIFS(BA2:BA12,G2:G12,"LABB",E2:E12,"0482",F2:F12,"70")</f>
        <v>0</v>
      </c>
      <c r="BB21" s="387">
        <f>SUMIFS(BB2:BB12,G2:G12,"LABB",E2:E12,"0482",F2:F12,"70")</f>
        <v>0</v>
      </c>
      <c r="BC21" s="387">
        <f>SUMIFS(BC2:BC12,G2:G12,"LABB",E2:E12,"0482",F2:F12,"70")</f>
        <v>0</v>
      </c>
      <c r="BD21" s="387">
        <f>SUMIFS(BD2:BD12,G2:G12,"LABB",E2:E12,"0482",F2:F12,"70")</f>
        <v>0</v>
      </c>
      <c r="BE21" s="387">
        <f>SUMIFS(BE2:BE12,G2:G12,"LABB",E2:E12,"0482",F2:F12,"70")</f>
        <v>0</v>
      </c>
      <c r="BF21" s="387">
        <f>SUMIFS(BF2:BF12,G2:G12,"LABB",E2:E12,"0482",F2:F12,"70")</f>
        <v>0</v>
      </c>
      <c r="BG21" s="387">
        <f>SUMIFS(BG2:BG12,G2:G12,"LABB",E2:E12,"0482",F2:F12,"70")</f>
        <v>0</v>
      </c>
      <c r="BH21" s="387">
        <f>SUMIFS(BH2:BH12,G2:G12,"LABB",E2:E12,"0482",F2:F12,"70")</f>
        <v>0</v>
      </c>
      <c r="BI21" s="387">
        <f>SUMIFS(BI2:BI12,G2:G12,"LABB",E2:E12,"0482",F2:F12,"70")</f>
        <v>0</v>
      </c>
      <c r="BJ21" s="387">
        <f>SUMIFS(BJ2:BJ12,G2:G12,"LABB",E2:E12,"0482",F2:F12,"70")</f>
        <v>0</v>
      </c>
      <c r="BK21" s="387">
        <f>SUMIFS(BK2:BK12,G2:G12,"LABB",E2:E12,"0482",F2:F12,"70")</f>
        <v>0</v>
      </c>
      <c r="BL21" s="387">
        <f>SUMIFS(BL2:BL12,G2:G12,"LABB",E2:E12,"0482",F2:F12,"70")</f>
        <v>0</v>
      </c>
      <c r="BM21" s="387">
        <f>SUMIFS(BM2:BM12,G2:G12,"LABB",E2:E12,"0482",F2:F12,"70")</f>
        <v>0</v>
      </c>
      <c r="BN21" s="387">
        <f>SUMIFS(BN2:BN12,G2:G12,"LABB",E2:E12,"0482",F2:F12,"70")</f>
        <v>0</v>
      </c>
      <c r="BO21" s="387">
        <f>SUMIFS(BO2:BO12,G2:G12,"LABB",E2:E12,"0482",F2:F12,"70")</f>
        <v>0</v>
      </c>
      <c r="BP21" s="387">
        <f>SUMIFS(BP2:BP12,G2:G12,"LABB",E2:E12,"0482",F2:F12,"70")</f>
        <v>0</v>
      </c>
      <c r="BQ21" s="387">
        <f>SUMIFS(BQ2:BQ12,G2:G12,"LABB",E2:E12,"0482",F2:F12,"70")</f>
        <v>0</v>
      </c>
      <c r="BR21" s="387">
        <f>SUMIFS(BR2:BR12,G2:G12,"LABB",E2:E12,"0482",F2:F12,"70")</f>
        <v>0</v>
      </c>
      <c r="BS21" s="387">
        <f>SUMIFS(BS2:BS12,G2:G12,"LABB",E2:E12,"0482",F2:F12,"70")</f>
        <v>0</v>
      </c>
      <c r="BT21" s="387">
        <f>SUMIFS(BT2:BT12,G2:G12,"LABB",E2:E12,"0482",F2:F12,"70")</f>
        <v>0</v>
      </c>
      <c r="BU21" s="387">
        <f>SUMIFS(BU2:BU12,G2:G12,"LABB",E2:E12,"0482",F2:F12,"70")</f>
        <v>0</v>
      </c>
      <c r="BV21" s="387">
        <f>SUMIFS(BV2:BV12,G2:G12,"LABB",E2:E12,"0482",F2:F12,"70")</f>
        <v>0</v>
      </c>
      <c r="BW21" s="387">
        <f>SUMIFS(BW2:BW12,G2:G12,"LABB",E2:E12,"0482",F2:F12,"70")</f>
        <v>0</v>
      </c>
      <c r="BX21" s="387">
        <f>SUMIFS(BX2:BX12,G2:G12,"LABB",E2:E12,"0482",F2:F12,"70")</f>
        <v>0</v>
      </c>
      <c r="BY21" s="387">
        <f>SUMIFS(BY2:BY12,G2:G12,"LABB",E2:E12,"0482",F2:F12,"70")</f>
        <v>0</v>
      </c>
      <c r="BZ21" s="387">
        <f>SUMIFS(BZ2:BZ12,G2:G12,"LABB",E2:E12,"0482",F2:F12,"70")</f>
        <v>0</v>
      </c>
      <c r="CA21" s="387">
        <f>SUMIFS(CA2:CA12,G2:G12,"LABB",E2:E12,"0482",F2:F12,"70")</f>
        <v>0</v>
      </c>
      <c r="CB21" s="387">
        <f>SUMIFS(CB2:CB12,G2:G12,"LABB",E2:E12,"0482",F2:F12,"70")</f>
        <v>0</v>
      </c>
      <c r="CC21" s="387">
        <f>SUMIFS(CC2:CC12,G2:G12,"LABB",E2:E12,"0482",F2:F12,"70")</f>
        <v>0</v>
      </c>
      <c r="CD21" s="387">
        <f>SUMIFS(CD2:CD12,G2:G12,"LABB",E2:E12,"0482",F2:F12,"70")</f>
        <v>0</v>
      </c>
      <c r="CE21" s="387">
        <f>SUMIFS(CE2:CE12,G2:G12,"LABB",E2:E12,"0482",F2:F12,"70")</f>
        <v>0</v>
      </c>
      <c r="CF21" s="387">
        <f>SUMIFS(CF2:CF12,G2:G12,"LABB",E2:E12,"0482",F2:F12,"70")</f>
        <v>0</v>
      </c>
      <c r="CG21" s="387">
        <f>SUMIFS(CG2:CG12,G2:G12,"LABB",E2:E12,"0482",F2:F12,"70")</f>
        <v>0</v>
      </c>
      <c r="CH21" s="387">
        <f>SUMIFS(CH2:CH12,G2:G12,"LABB",E2:E12,"0482",F2:F12,"70")</f>
        <v>0</v>
      </c>
      <c r="CI21" s="387">
        <f>SUMIFS(CI2:CI12,G2:G12,"LABB",E2:E12,"0482",F2:F12,"70")</f>
        <v>0</v>
      </c>
      <c r="CJ21" s="387">
        <f>SUMIFS(CJ2:CJ12,G2:G12,"LABB",E2:E12,"0482",F2:F12,"70")</f>
        <v>0</v>
      </c>
      <c r="CK21" s="387">
        <f>SUMIFS(CK2:CK12,G2:G12,"LABB",E2:E12,"0482",F2:F12,"70")</f>
        <v>0</v>
      </c>
      <c r="CL21" s="387">
        <f>SUMIFS(CL2:CL12,G2:G12,"LABB",E2:E12,"0482",F2:F12,"70")</f>
        <v>0</v>
      </c>
      <c r="CM21" s="387">
        <f>SUMIFS(CM2:CM12,G2:G12,"LABB",E2:E12,"0482",F2:F12,"70")</f>
        <v>0</v>
      </c>
    </row>
    <row r="22" spans="41:91" ht="18.75" x14ac:dyDescent="0.3">
      <c r="AQ22" s="393" t="s">
        <v>290</v>
      </c>
      <c r="AS22" s="394">
        <f t="shared" ref="AS22:CM22" si="47">SUM(AS21:AS21)</f>
        <v>0</v>
      </c>
      <c r="AT22" s="394">
        <f t="shared" si="47"/>
        <v>0</v>
      </c>
      <c r="AU22" s="394">
        <f t="shared" si="47"/>
        <v>0</v>
      </c>
      <c r="AV22" s="394">
        <f t="shared" si="47"/>
        <v>0</v>
      </c>
      <c r="AW22" s="394">
        <f t="shared" si="47"/>
        <v>0</v>
      </c>
      <c r="AX22" s="394">
        <f t="shared" si="47"/>
        <v>0</v>
      </c>
      <c r="AY22" s="394">
        <f t="shared" si="47"/>
        <v>0</v>
      </c>
      <c r="AZ22" s="394">
        <f t="shared" si="47"/>
        <v>0</v>
      </c>
      <c r="BA22" s="394">
        <f t="shared" si="47"/>
        <v>0</v>
      </c>
      <c r="BB22" s="394">
        <f t="shared" si="47"/>
        <v>0</v>
      </c>
      <c r="BC22" s="394">
        <f t="shared" si="47"/>
        <v>0</v>
      </c>
      <c r="BD22" s="394">
        <f t="shared" si="47"/>
        <v>0</v>
      </c>
      <c r="BE22" s="394">
        <f t="shared" si="47"/>
        <v>0</v>
      </c>
      <c r="BF22" s="394">
        <f t="shared" si="47"/>
        <v>0</v>
      </c>
      <c r="BG22" s="394">
        <f t="shared" si="47"/>
        <v>0</v>
      </c>
      <c r="BH22" s="394">
        <f t="shared" si="47"/>
        <v>0</v>
      </c>
      <c r="BI22" s="394">
        <f t="shared" si="47"/>
        <v>0</v>
      </c>
      <c r="BJ22" s="394">
        <f t="shared" si="47"/>
        <v>0</v>
      </c>
      <c r="BK22" s="394">
        <f t="shared" si="47"/>
        <v>0</v>
      </c>
      <c r="BL22" s="394">
        <f t="shared" si="47"/>
        <v>0</v>
      </c>
      <c r="BM22" s="394">
        <f t="shared" si="47"/>
        <v>0</v>
      </c>
      <c r="BN22" s="394">
        <f t="shared" si="47"/>
        <v>0</v>
      </c>
      <c r="BO22" s="394">
        <f t="shared" si="47"/>
        <v>0</v>
      </c>
      <c r="BP22" s="394">
        <f t="shared" si="47"/>
        <v>0</v>
      </c>
      <c r="BQ22" s="394">
        <f t="shared" si="47"/>
        <v>0</v>
      </c>
      <c r="BR22" s="394">
        <f t="shared" si="47"/>
        <v>0</v>
      </c>
      <c r="BS22" s="394">
        <f t="shared" si="47"/>
        <v>0</v>
      </c>
      <c r="BT22" s="394">
        <f t="shared" si="47"/>
        <v>0</v>
      </c>
      <c r="BU22" s="394">
        <f t="shared" si="47"/>
        <v>0</v>
      </c>
      <c r="BV22" s="394">
        <f t="shared" si="47"/>
        <v>0</v>
      </c>
      <c r="BW22" s="394">
        <f t="shared" si="47"/>
        <v>0</v>
      </c>
      <c r="BX22" s="394">
        <f t="shared" si="47"/>
        <v>0</v>
      </c>
      <c r="BY22" s="394">
        <f t="shared" si="47"/>
        <v>0</v>
      </c>
      <c r="BZ22" s="394">
        <f t="shared" si="47"/>
        <v>0</v>
      </c>
      <c r="CA22" s="394">
        <f t="shared" si="47"/>
        <v>0</v>
      </c>
      <c r="CB22" s="394">
        <f t="shared" si="47"/>
        <v>0</v>
      </c>
      <c r="CC22" s="394">
        <f t="shared" si="47"/>
        <v>0</v>
      </c>
      <c r="CD22" s="394">
        <f t="shared" si="47"/>
        <v>0</v>
      </c>
      <c r="CE22" s="394">
        <f t="shared" si="47"/>
        <v>0</v>
      </c>
      <c r="CF22" s="394">
        <f t="shared" si="47"/>
        <v>0</v>
      </c>
      <c r="CG22" s="394">
        <f t="shared" si="47"/>
        <v>0</v>
      </c>
      <c r="CH22" s="394">
        <f t="shared" si="47"/>
        <v>0</v>
      </c>
      <c r="CI22" s="394">
        <f t="shared" si="47"/>
        <v>0</v>
      </c>
      <c r="CJ22" s="394">
        <f t="shared" si="47"/>
        <v>0</v>
      </c>
      <c r="CK22" s="394">
        <f t="shared" si="47"/>
        <v>0</v>
      </c>
      <c r="CL22" s="394">
        <f t="shared" si="47"/>
        <v>0</v>
      </c>
      <c r="CM22" s="394">
        <f t="shared" si="47"/>
        <v>0</v>
      </c>
    </row>
    <row r="24" spans="41:91" ht="21" x14ac:dyDescent="0.35">
      <c r="AO24" s="251" t="s">
        <v>97</v>
      </c>
      <c r="AP24" s="251"/>
      <c r="AQ24" s="251"/>
    </row>
    <row r="26" spans="41:91" ht="21" x14ac:dyDescent="0.35">
      <c r="AO26" s="252"/>
      <c r="AP26" s="252"/>
      <c r="AQ26" s="252"/>
    </row>
    <row r="27" spans="41:91" ht="15.75" x14ac:dyDescent="0.25">
      <c r="AS27" s="373" t="s">
        <v>83</v>
      </c>
      <c r="AT27" s="475" t="s">
        <v>295</v>
      </c>
      <c r="AU27" s="475"/>
      <c r="AV27" s="476" t="s">
        <v>293</v>
      </c>
      <c r="AW27" s="475" t="s">
        <v>296</v>
      </c>
      <c r="AX27" s="475"/>
      <c r="AY27" s="476" t="s">
        <v>294</v>
      </c>
      <c r="AZ27" s="475" t="s">
        <v>297</v>
      </c>
      <c r="BA27" s="475"/>
    </row>
    <row r="28" spans="41:91" ht="15.75" x14ac:dyDescent="0.25">
      <c r="AS28" s="249"/>
      <c r="AT28" s="373" t="s">
        <v>94</v>
      </c>
      <c r="AU28" s="372" t="s">
        <v>96</v>
      </c>
      <c r="AV28" s="477"/>
      <c r="AW28" s="373" t="s">
        <v>98</v>
      </c>
      <c r="AX28" s="372" t="s">
        <v>95</v>
      </c>
      <c r="AY28" s="477"/>
      <c r="AZ28" s="373" t="s">
        <v>98</v>
      </c>
      <c r="BA28" s="372" t="s">
        <v>95</v>
      </c>
    </row>
    <row r="29" spans="41:91" x14ac:dyDescent="0.25">
      <c r="AO29" s="392" t="s">
        <v>298</v>
      </c>
    </row>
    <row r="30" spans="41:91" x14ac:dyDescent="0.25">
      <c r="AQ30" t="s">
        <v>277</v>
      </c>
      <c r="AS30" s="387">
        <f>SUM(SUMIFS(AS2:AS12,CN2:CN12,AQ30,E2:E12,"0349",F2:F12,"00",AT2:AT12,{1,3}))</f>
        <v>0.23</v>
      </c>
      <c r="AT30" s="387">
        <f>SUMPRODUCT(--(CN2:CN12=AQ30),--(N2:N12&lt;&gt;"NG"),--(AG2:AG12&lt;&gt;"D"),--(AR2:AR12&lt;&gt;6),--(AR2:AR12&lt;&gt;36),--(AR2:AR12&lt;&gt;56),T2:T12)+SUMPRODUCT(--(CN2:CN12=AQ30),--(N2:N12&lt;&gt;"NG"),--(AG2:AG12&lt;&gt;"D"),--(AR2:AR12&lt;&gt;6),--(AR2:AR12&lt;&gt;36),--(AR2:AR12&lt;&gt;56),U2:U12)</f>
        <v>49589.77</v>
      </c>
      <c r="AU30" s="387">
        <f>SUMPRODUCT(--(CN2:CN12=AQ30),--(N2:N12&lt;&gt;"NG"),--(AG2:AG12&lt;&gt;"D"),--(AR2:AR12&lt;&gt;6),--(AR2:AR12&lt;&gt;36),--(AR2:AR12&lt;&gt;56),V2:V12)</f>
        <v>11880.51</v>
      </c>
      <c r="AV30" s="387">
        <f>SUMPRODUCT(--(CN2:CN12=AQ30),AY2:AY12)+SUMPRODUCT(--(CN2:CN12=AQ30),AZ2:AZ12)</f>
        <v>49069.48</v>
      </c>
      <c r="AW30" s="387">
        <f>SUMPRODUCT(--(CN2:CN12=AQ30),BB2:BB12)+SUMPRODUCT(--(CN2:CN12=AQ30),BC2:BC12)</f>
        <v>2679.5</v>
      </c>
      <c r="AX30" s="387">
        <f>SUMPRODUCT(--(CN2:CN12=AQ30),BL2:BL12)+SUMPRODUCT(--(CN2:CN12=AQ30),BM2:BM12)</f>
        <v>9314.7007988000023</v>
      </c>
      <c r="AY30" s="387">
        <f>SUMPRODUCT(--(CN2:CN12=AQ30),AY2:AY12)+SUMPRODUCT(--(CN2:CN12=AQ30),AZ2:AZ12)+SUMPRODUCT(--(CN2:CN12=AQ30),BA2:BA12)</f>
        <v>49069.48</v>
      </c>
      <c r="AZ30" s="387">
        <f>SUMPRODUCT(--(CN2:CN12=AQ30),BN2:BN12)+SUMPRODUCT(--(CN2:CN12=AQ30),BO2:BO12)</f>
        <v>2679.5</v>
      </c>
      <c r="BA30" s="387">
        <f>SUMPRODUCT(--(CN2:CN12=AQ30),BX2:BX12)+SUMPRODUCT(--(CN2:CN12=AQ30),BY2:BY12)</f>
        <v>9137.1724508000007</v>
      </c>
    </row>
    <row r="31" spans="41:91" x14ac:dyDescent="0.25">
      <c r="AP31" t="s">
        <v>299</v>
      </c>
      <c r="AS31" s="398">
        <f t="shared" ref="AS31:BA31" si="48">SUM(AS30:AS30)</f>
        <v>0.23</v>
      </c>
      <c r="AT31" s="398">
        <f t="shared" si="48"/>
        <v>49589.77</v>
      </c>
      <c r="AU31" s="398">
        <f t="shared" si="48"/>
        <v>11880.51</v>
      </c>
      <c r="AV31" s="398">
        <f t="shared" si="48"/>
        <v>49069.48</v>
      </c>
      <c r="AW31" s="398">
        <f t="shared" si="48"/>
        <v>2679.5</v>
      </c>
      <c r="AX31" s="398">
        <f t="shared" si="48"/>
        <v>9314.7007988000023</v>
      </c>
      <c r="AY31" s="398">
        <f t="shared" si="48"/>
        <v>49069.48</v>
      </c>
      <c r="AZ31" s="398">
        <f t="shared" si="48"/>
        <v>2679.5</v>
      </c>
      <c r="BA31" s="398">
        <f t="shared" si="48"/>
        <v>9137.1724508000007</v>
      </c>
    </row>
    <row r="32" spans="41:91" x14ac:dyDescent="0.25">
      <c r="AQ32" t="s">
        <v>300</v>
      </c>
      <c r="AS32" s="387">
        <f>SUM(SUMIFS(AS2:AS12,CN2:CN12,AQ32,E2:E12,"0482",F2:F12,"70",AT2:AT12,{1,3}))</f>
        <v>3.77</v>
      </c>
      <c r="AT32" s="387">
        <f>SUMPRODUCT(--(CN2:CN12=AQ32),--(N2:N12&lt;&gt;"NG"),--(AG2:AG12&lt;&gt;"D"),--(AR2:AR12&lt;&gt;6),--(AR2:AR12&lt;&gt;36),--(AR2:AR12&lt;&gt;56),T2:T12)+SUMPRODUCT(--(CN2:CN12=AQ32),--(N2:N12&lt;&gt;"NG"),--(AG2:AG12&lt;&gt;"D"),--(AR2:AR12&lt;&gt;6),--(AR2:AR12&lt;&gt;36),--(AR2:AR12&lt;&gt;56),U2:U12)</f>
        <v>357847.05</v>
      </c>
      <c r="AU32" s="387">
        <f>SUMPRODUCT(--(CN2:CN12=AQ32),--(N2:N12&lt;&gt;"NG"),--(AG2:AG12&lt;&gt;"D"),--(AR2:AR12&lt;&gt;6),--(AR2:AR12&lt;&gt;36),--(AR2:AR12&lt;&gt;56),V2:V12)</f>
        <v>114282.03999999998</v>
      </c>
      <c r="AV32" s="387">
        <f>SUMPRODUCT(--(CN2:CN12=AQ32),AY2:AY12)+SUMPRODUCT(--(CN2:CN12=AQ32),AZ2:AZ12)</f>
        <v>384173.70999999996</v>
      </c>
      <c r="AW32" s="387">
        <f>SUMPRODUCT(--(CN2:CN12=AQ32),BB2:BB12)+SUMPRODUCT(--(CN2:CN12=AQ32),BC2:BC12)</f>
        <v>43920.5</v>
      </c>
      <c r="AX32" s="387">
        <f>SUMPRODUCT(--(CN2:CN12=AQ32),BL2:BL12)+SUMPRODUCT(--(CN2:CN12=AQ32),BM2:BM12)</f>
        <v>78436.233143099991</v>
      </c>
      <c r="AY32" s="387">
        <f>SUMPRODUCT(--(CN2:CN12=AQ32),AY2:AY12)+SUMPRODUCT(--(CN2:CN12=AQ32),AZ2:AZ12)+SUMPRODUCT(--(CN2:CN12=AQ32),BA2:BA12)</f>
        <v>384173.70999999996</v>
      </c>
      <c r="AZ32" s="387">
        <f>SUMPRODUCT(--(CN2:CN12=AQ32),BN2:BN12)+SUMPRODUCT(--(CN2:CN12=AQ32),BO2:BO12)</f>
        <v>43920.5</v>
      </c>
      <c r="BA32" s="387">
        <f>SUMPRODUCT(--(CN2:CN12=AQ32),BX2:BX12)+SUMPRODUCT(--(CN2:CN12=AQ32),BY2:BY12)</f>
        <v>76720.421222100005</v>
      </c>
    </row>
    <row r="33" spans="41:86" x14ac:dyDescent="0.25">
      <c r="AP33" t="s">
        <v>301</v>
      </c>
      <c r="AS33" s="398">
        <f t="shared" ref="AS33:BA33" si="49">SUM(AS32:AS32)</f>
        <v>3.77</v>
      </c>
      <c r="AT33" s="398">
        <f t="shared" si="49"/>
        <v>357847.05</v>
      </c>
      <c r="AU33" s="398">
        <f t="shared" si="49"/>
        <v>114282.03999999998</v>
      </c>
      <c r="AV33" s="398">
        <f t="shared" si="49"/>
        <v>384173.70999999996</v>
      </c>
      <c r="AW33" s="398">
        <f t="shared" si="49"/>
        <v>43920.5</v>
      </c>
      <c r="AX33" s="398">
        <f t="shared" si="49"/>
        <v>78436.233143099991</v>
      </c>
      <c r="AY33" s="398">
        <f t="shared" si="49"/>
        <v>384173.70999999996</v>
      </c>
      <c r="AZ33" s="398">
        <f t="shared" si="49"/>
        <v>43920.5</v>
      </c>
      <c r="BA33" s="398">
        <f t="shared" si="49"/>
        <v>76720.421222100005</v>
      </c>
    </row>
    <row r="34" spans="41:86" x14ac:dyDescent="0.25">
      <c r="AS34" s="387"/>
      <c r="AT34" s="387"/>
      <c r="AU34" s="387"/>
      <c r="AV34" s="387"/>
      <c r="AW34" s="387"/>
      <c r="AX34" s="387"/>
      <c r="AY34" s="387"/>
      <c r="AZ34" s="387"/>
      <c r="BA34" s="387"/>
    </row>
    <row r="35" spans="41:86" x14ac:dyDescent="0.25">
      <c r="AO35" s="396" t="s">
        <v>302</v>
      </c>
      <c r="AS35" s="399">
        <f t="shared" ref="AS35:BA35" si="50">SUM(AS31,AS33)</f>
        <v>4</v>
      </c>
      <c r="AT35" s="399">
        <f t="shared" si="50"/>
        <v>407436.82</v>
      </c>
      <c r="AU35" s="399">
        <f t="shared" si="50"/>
        <v>126162.54999999997</v>
      </c>
      <c r="AV35" s="399">
        <f t="shared" si="50"/>
        <v>433243.18999999994</v>
      </c>
      <c r="AW35" s="399">
        <f t="shared" si="50"/>
        <v>46600</v>
      </c>
      <c r="AX35" s="399">
        <f t="shared" si="50"/>
        <v>87750.933941899988</v>
      </c>
      <c r="AY35" s="399">
        <f t="shared" si="50"/>
        <v>433243.18999999994</v>
      </c>
      <c r="AZ35" s="399">
        <f t="shared" si="50"/>
        <v>46600</v>
      </c>
      <c r="BA35" s="399">
        <f t="shared" si="50"/>
        <v>85857.59367290001</v>
      </c>
    </row>
    <row r="36" spans="41:86" x14ac:dyDescent="0.25">
      <c r="AS36" s="387"/>
      <c r="AT36" s="387"/>
      <c r="AU36" s="387"/>
      <c r="AV36" s="387"/>
      <c r="AW36" s="387"/>
      <c r="AX36" s="387"/>
      <c r="AY36" s="387"/>
      <c r="AZ36" s="387"/>
      <c r="BA36" s="387"/>
    </row>
    <row r="37" spans="41:86" x14ac:dyDescent="0.25">
      <c r="AO37" s="392" t="s">
        <v>303</v>
      </c>
      <c r="AS37" s="387"/>
      <c r="AT37" s="387"/>
      <c r="AU37" s="387"/>
      <c r="AV37" s="387"/>
      <c r="AW37" s="387"/>
      <c r="AX37" s="387"/>
      <c r="AY37" s="387"/>
      <c r="AZ37" s="387"/>
      <c r="BA37" s="387"/>
    </row>
    <row r="38" spans="41:86" x14ac:dyDescent="0.25">
      <c r="AQ38" t="s">
        <v>277</v>
      </c>
      <c r="AS38" s="387"/>
      <c r="AT38" s="387">
        <f>SUMIF(CN2:CN12,AQ38,CL2:CL12)</f>
        <v>4400</v>
      </c>
      <c r="AU38" s="387">
        <f>SUMIF(CN2:CN12,AQ38,CM2:CM12)</f>
        <v>338.2</v>
      </c>
      <c r="AV38" s="387">
        <f>SUMIF(CN2:CN12,AQ38,CL2:CL12)</f>
        <v>4400</v>
      </c>
      <c r="AW38" s="387">
        <v>0</v>
      </c>
      <c r="AX38" s="387">
        <f>SUMIF(CN2:CN12,AQ38,CM2:CM12)</f>
        <v>338.2</v>
      </c>
      <c r="AY38" s="387">
        <f>SUMIF(CN2:CN12,AQ38,CL2:CL12)</f>
        <v>4400</v>
      </c>
      <c r="AZ38" s="387">
        <v>0</v>
      </c>
      <c r="BA38" s="387">
        <f>SUMIF(CN2:CN12,AQ38,CM2:CM12)</f>
        <v>338.2</v>
      </c>
    </row>
    <row r="39" spans="41:86" x14ac:dyDescent="0.25">
      <c r="AP39" t="s">
        <v>299</v>
      </c>
      <c r="AS39" s="398"/>
      <c r="AT39" s="398">
        <f t="shared" ref="AT39:BA39" si="51">SUM(AT38:AT38)</f>
        <v>4400</v>
      </c>
      <c r="AU39" s="398">
        <f t="shared" si="51"/>
        <v>338.2</v>
      </c>
      <c r="AV39" s="398">
        <f t="shared" si="51"/>
        <v>4400</v>
      </c>
      <c r="AW39" s="398">
        <f t="shared" si="51"/>
        <v>0</v>
      </c>
      <c r="AX39" s="398">
        <f t="shared" si="51"/>
        <v>338.2</v>
      </c>
      <c r="AY39" s="398">
        <f t="shared" si="51"/>
        <v>4400</v>
      </c>
      <c r="AZ39" s="398">
        <f t="shared" si="51"/>
        <v>0</v>
      </c>
      <c r="BA39" s="398">
        <f t="shared" si="51"/>
        <v>338.2</v>
      </c>
    </row>
    <row r="40" spans="41:86" x14ac:dyDescent="0.25">
      <c r="AS40" s="387"/>
      <c r="AT40" s="387"/>
      <c r="AU40" s="387"/>
      <c r="AV40" s="387"/>
      <c r="AW40" s="387"/>
      <c r="AX40" s="387"/>
      <c r="AY40" s="387"/>
      <c r="AZ40" s="387"/>
      <c r="BA40" s="387"/>
    </row>
    <row r="41" spans="41:86" x14ac:dyDescent="0.25">
      <c r="AO41" s="396" t="s">
        <v>304</v>
      </c>
      <c r="AS41" s="399">
        <f t="shared" ref="AS41:BA41" si="52">SUM(AS39)</f>
        <v>0</v>
      </c>
      <c r="AT41" s="399">
        <f t="shared" si="52"/>
        <v>4400</v>
      </c>
      <c r="AU41" s="399">
        <f t="shared" si="52"/>
        <v>338.2</v>
      </c>
      <c r="AV41" s="399">
        <f t="shared" si="52"/>
        <v>4400</v>
      </c>
      <c r="AW41" s="399">
        <f t="shared" si="52"/>
        <v>0</v>
      </c>
      <c r="AX41" s="399">
        <f t="shared" si="52"/>
        <v>338.2</v>
      </c>
      <c r="AY41" s="399">
        <f t="shared" si="52"/>
        <v>4400</v>
      </c>
      <c r="AZ41" s="399">
        <f t="shared" si="52"/>
        <v>0</v>
      </c>
      <c r="BA41" s="399">
        <f t="shared" si="52"/>
        <v>338.2</v>
      </c>
      <c r="CB41" s="392"/>
      <c r="CH41" s="392"/>
    </row>
    <row r="42" spans="41:86" x14ac:dyDescent="0.25">
      <c r="AS42" s="387"/>
      <c r="AT42" s="387"/>
      <c r="AU42" s="387"/>
      <c r="AV42" s="387"/>
      <c r="AW42" s="387"/>
      <c r="AX42" s="387"/>
      <c r="AY42" s="387"/>
      <c r="AZ42" s="387"/>
      <c r="BA42" s="387"/>
    </row>
    <row r="43" spans="41:86" x14ac:dyDescent="0.25">
      <c r="AO43" s="397" t="s">
        <v>305</v>
      </c>
      <c r="AS43" s="400">
        <f t="shared" ref="AS43:BA43" si="53">SUM(AS35,AS41)</f>
        <v>4</v>
      </c>
      <c r="AT43" s="401">
        <f t="shared" si="53"/>
        <v>411836.82</v>
      </c>
      <c r="AU43" s="401">
        <f t="shared" si="53"/>
        <v>126500.74999999997</v>
      </c>
      <c r="AV43" s="401">
        <f t="shared" si="53"/>
        <v>437643.18999999994</v>
      </c>
      <c r="AW43" s="401">
        <f t="shared" si="53"/>
        <v>46600</v>
      </c>
      <c r="AX43" s="401">
        <f t="shared" si="53"/>
        <v>88089.133941899985</v>
      </c>
      <c r="AY43" s="401">
        <f t="shared" si="53"/>
        <v>437643.18999999994</v>
      </c>
      <c r="AZ43" s="401">
        <f t="shared" si="53"/>
        <v>46600</v>
      </c>
      <c r="BA43" s="401">
        <f t="shared" si="53"/>
        <v>86195.793672900007</v>
      </c>
    </row>
  </sheetData>
  <mergeCells count="5">
    <mergeCell ref="AT27:AU27"/>
    <mergeCell ref="AV27:AV28"/>
    <mergeCell ref="AW27:AX27"/>
    <mergeCell ref="AY27:AY28"/>
    <mergeCell ref="AZ27:BA27"/>
  </mergeCells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5">
    <pageSetUpPr fitToPage="1"/>
  </sheetPr>
  <dimension ref="A1:O40"/>
  <sheetViews>
    <sheetView topLeftCell="A16" zoomScaleNormal="100" workbookViewId="0">
      <selection activeCell="C39" sqref="C39"/>
    </sheetView>
  </sheetViews>
  <sheetFormatPr defaultColWidth="9.140625" defaultRowHeight="19.5" x14ac:dyDescent="0.3"/>
  <cols>
    <col min="1" max="1" width="4" style="1" customWidth="1"/>
    <col min="2" max="2" width="42" style="1" bestFit="1" customWidth="1"/>
    <col min="3" max="3" width="20.28515625" style="1" customWidth="1"/>
    <col min="4" max="4" width="21.42578125" style="1" bestFit="1" customWidth="1"/>
    <col min="5" max="5" width="20.5703125" style="1" customWidth="1"/>
    <col min="6" max="6" width="14.28515625" style="1" bestFit="1" customWidth="1"/>
    <col min="7" max="7" width="12" style="1" bestFit="1" customWidth="1"/>
    <col min="8" max="8" width="15" style="1" bestFit="1" customWidth="1"/>
    <col min="9" max="10" width="9.140625" style="1"/>
    <col min="11" max="11" width="9.85546875" style="1" bestFit="1" customWidth="1"/>
    <col min="12" max="12" width="16.42578125" style="1" bestFit="1" customWidth="1"/>
    <col min="13" max="14" width="15.85546875" style="1" bestFit="1" customWidth="1"/>
    <col min="15" max="15" width="16.42578125" style="1" bestFit="1" customWidth="1"/>
    <col min="16" max="16384" width="9.140625" style="1"/>
  </cols>
  <sheetData>
    <row r="1" spans="1:15" x14ac:dyDescent="0.3">
      <c r="A1" s="478"/>
      <c r="B1" s="478"/>
      <c r="C1" s="478"/>
      <c r="D1" s="478"/>
      <c r="E1" s="478"/>
    </row>
    <row r="2" spans="1:15" ht="28.5" customHeight="1" x14ac:dyDescent="0.3">
      <c r="A2" s="2" t="s">
        <v>10</v>
      </c>
      <c r="B2" s="2"/>
      <c r="C2" s="2"/>
      <c r="D2" s="2"/>
      <c r="E2" s="2"/>
    </row>
    <row r="3" spans="1:15" x14ac:dyDescent="0.3">
      <c r="A3" s="3"/>
      <c r="B3" s="3"/>
      <c r="C3" s="4" t="s">
        <v>0</v>
      </c>
      <c r="D3" s="4" t="s">
        <v>1</v>
      </c>
      <c r="E3" s="3"/>
    </row>
    <row r="4" spans="1:15" ht="39" x14ac:dyDescent="0.3">
      <c r="A4" s="3"/>
      <c r="B4" s="225"/>
      <c r="C4" s="5">
        <f>D4-1</f>
        <v>2022</v>
      </c>
      <c r="D4" s="6">
        <f>FiscalYear</f>
        <v>2023</v>
      </c>
      <c r="E4" s="7" t="str">
        <f>"DIFFERENCE "&amp;D4&amp;" - "&amp;C4</f>
        <v>DIFFERENCE 2023 - 2022</v>
      </c>
      <c r="F4" s="247" t="str">
        <f>"MAX "&amp;C4</f>
        <v>MAX 2022</v>
      </c>
      <c r="G4" s="247" t="str">
        <f>"MAX "&amp;D4</f>
        <v>MAX 2023</v>
      </c>
    </row>
    <row r="5" spans="1:15" x14ac:dyDescent="0.3">
      <c r="A5" s="3"/>
      <c r="B5" s="130" t="s">
        <v>2</v>
      </c>
      <c r="C5" s="226">
        <v>6.2E-2</v>
      </c>
      <c r="D5" s="226">
        <v>6.2E-2</v>
      </c>
      <c r="E5" s="313">
        <f>D5-C5</f>
        <v>0</v>
      </c>
      <c r="F5" s="248">
        <v>137700</v>
      </c>
      <c r="G5" s="248">
        <v>142800</v>
      </c>
    </row>
    <row r="6" spans="1:15" x14ac:dyDescent="0.3">
      <c r="A6" s="3"/>
      <c r="B6" s="130" t="s">
        <v>3</v>
      </c>
      <c r="C6" s="226">
        <v>1.4500000000000001E-2</v>
      </c>
      <c r="D6" s="226">
        <v>1.4500000000000001E-2</v>
      </c>
      <c r="E6" s="313">
        <f t="shared" ref="E6:E15" si="0">D6-C6</f>
        <v>0</v>
      </c>
    </row>
    <row r="7" spans="1:15" x14ac:dyDescent="0.3">
      <c r="A7" s="3"/>
      <c r="B7" s="130" t="s">
        <v>4</v>
      </c>
      <c r="C7" s="226">
        <v>4.8999999999999998E-3</v>
      </c>
      <c r="D7" s="226">
        <v>0</v>
      </c>
      <c r="E7" s="313">
        <f t="shared" si="0"/>
        <v>-4.8999999999999998E-3</v>
      </c>
    </row>
    <row r="8" spans="1:15" x14ac:dyDescent="0.3">
      <c r="A8" s="3"/>
      <c r="B8" s="130" t="s">
        <v>5</v>
      </c>
      <c r="C8" s="235">
        <v>3.8E-3</v>
      </c>
      <c r="D8" s="234">
        <v>3.5999999999999999E-3</v>
      </c>
      <c r="E8" s="314">
        <f t="shared" si="0"/>
        <v>-2.0000000000000009E-4</v>
      </c>
    </row>
    <row r="9" spans="1:15" x14ac:dyDescent="0.3">
      <c r="A9" s="3"/>
      <c r="B9" s="130" t="s">
        <v>6</v>
      </c>
      <c r="C9" s="226">
        <v>7.2100000000000003E-3</v>
      </c>
      <c r="D9" s="226">
        <v>7.2100000000000003E-3</v>
      </c>
      <c r="E9" s="313">
        <f t="shared" si="0"/>
        <v>0</v>
      </c>
    </row>
    <row r="10" spans="1:15" x14ac:dyDescent="0.3">
      <c r="A10" s="3"/>
      <c r="B10" s="130" t="s">
        <v>7</v>
      </c>
      <c r="C10" s="226">
        <v>0</v>
      </c>
      <c r="D10" s="226">
        <v>0</v>
      </c>
      <c r="E10" s="313">
        <f t="shared" si="0"/>
        <v>0</v>
      </c>
    </row>
    <row r="11" spans="1:15" x14ac:dyDescent="0.3">
      <c r="A11" s="3"/>
      <c r="B11" s="130" t="s">
        <v>8</v>
      </c>
      <c r="C11" s="348">
        <v>5.5399999999999998E-3</v>
      </c>
      <c r="D11" s="348">
        <v>5.5399999999999998E-3</v>
      </c>
      <c r="E11" s="313">
        <f t="shared" si="0"/>
        <v>0</v>
      </c>
    </row>
    <row r="12" spans="1:15" x14ac:dyDescent="0.3">
      <c r="A12" s="3"/>
      <c r="B12" s="233" t="s">
        <v>11</v>
      </c>
      <c r="C12" s="234">
        <f>SUM(C5:C11)</f>
        <v>9.7949999999999995E-2</v>
      </c>
      <c r="D12" s="234">
        <f>SUM(D5:D11)</f>
        <v>9.2850000000000002E-2</v>
      </c>
      <c r="E12" s="315">
        <f>D12-C12</f>
        <v>-5.0999999999999934E-3</v>
      </c>
      <c r="M12" s="320"/>
    </row>
    <row r="13" spans="1:15" x14ac:dyDescent="0.3">
      <c r="A13" s="3"/>
      <c r="B13" s="231" t="s">
        <v>9</v>
      </c>
      <c r="C13" s="226">
        <f>SUM(C5:C8)</f>
        <v>8.5199999999999998E-2</v>
      </c>
      <c r="D13" s="226">
        <f>SUM(D5:D8)</f>
        <v>8.0100000000000005E-2</v>
      </c>
      <c r="E13" s="313">
        <f t="shared" si="0"/>
        <v>-5.0999999999999934E-3</v>
      </c>
      <c r="F13" s="8"/>
    </row>
    <row r="14" spans="1:15" x14ac:dyDescent="0.3">
      <c r="A14" s="230"/>
      <c r="B14" s="232" t="s">
        <v>102</v>
      </c>
      <c r="C14" s="226">
        <f>SUM(C5:C6,C8:C9)</f>
        <v>8.7509999999999991E-2</v>
      </c>
      <c r="D14" s="226">
        <f>SUM(D5:D6,D8:D9)</f>
        <v>8.7309999999999999E-2</v>
      </c>
      <c r="E14" s="313">
        <f>D14-C14</f>
        <v>-1.9999999999999185E-4</v>
      </c>
      <c r="M14" s="320"/>
    </row>
    <row r="15" spans="1:15" x14ac:dyDescent="0.3">
      <c r="A15" s="3"/>
      <c r="B15" s="231" t="s">
        <v>12</v>
      </c>
      <c r="C15" s="228">
        <v>11650</v>
      </c>
      <c r="D15" s="228">
        <v>11650</v>
      </c>
      <c r="E15" s="311">
        <f t="shared" si="0"/>
        <v>0</v>
      </c>
      <c r="L15" s="8"/>
      <c r="O15" s="9"/>
    </row>
    <row r="16" spans="1:15" x14ac:dyDescent="0.3">
      <c r="A16" s="3"/>
      <c r="B16" s="231" t="s">
        <v>82</v>
      </c>
      <c r="C16" s="229">
        <v>9320</v>
      </c>
      <c r="D16" s="229">
        <v>9320</v>
      </c>
      <c r="E16" s="312">
        <f>PTHealthBY-PTHealth</f>
        <v>0</v>
      </c>
      <c r="H16" s="319"/>
      <c r="L16" s="8"/>
      <c r="O16" s="9"/>
    </row>
    <row r="17" spans="1:11" x14ac:dyDescent="0.3">
      <c r="B17" s="130"/>
      <c r="D17" s="1" t="s">
        <v>45</v>
      </c>
      <c r="K17" s="319"/>
    </row>
    <row r="18" spans="1:11" ht="12" customHeight="1" x14ac:dyDescent="0.3">
      <c r="C18" s="1" t="s">
        <v>45</v>
      </c>
    </row>
    <row r="19" spans="1:11" ht="39" x14ac:dyDescent="0.3">
      <c r="B19" s="10" t="s">
        <v>81</v>
      </c>
      <c r="C19" s="227">
        <f>C4</f>
        <v>2022</v>
      </c>
      <c r="D19" s="227">
        <f>BudgetYear</f>
        <v>2023</v>
      </c>
      <c r="E19" s="11" t="str">
        <f>E4</f>
        <v>DIFFERENCE 2023 - 2022</v>
      </c>
    </row>
    <row r="20" spans="1:11" x14ac:dyDescent="0.3">
      <c r="A20" s="1" t="s">
        <v>68</v>
      </c>
      <c r="B20" s="216" t="s">
        <v>75</v>
      </c>
      <c r="C20" s="362">
        <v>0.11940000000000001</v>
      </c>
      <c r="D20" s="362">
        <v>0.11940000000000001</v>
      </c>
      <c r="E20" s="363">
        <f>D20-C20</f>
        <v>0</v>
      </c>
    </row>
    <row r="21" spans="1:11" x14ac:dyDescent="0.3">
      <c r="A21" s="1" t="s">
        <v>70</v>
      </c>
      <c r="B21" s="1" t="s">
        <v>76</v>
      </c>
      <c r="C21" s="362">
        <v>0.12280000000000001</v>
      </c>
      <c r="D21" s="362">
        <v>0.12280000000000001</v>
      </c>
      <c r="E21" s="363">
        <f t="shared" ref="E21" si="1">D21-C21</f>
        <v>0</v>
      </c>
    </row>
    <row r="22" spans="1:11" x14ac:dyDescent="0.3">
      <c r="A22" s="1" t="s">
        <v>71</v>
      </c>
      <c r="B22" s="1" t="s">
        <v>77</v>
      </c>
      <c r="C22" s="362">
        <v>0.11940000000000001</v>
      </c>
      <c r="D22" s="362">
        <v>0.11940000000000001</v>
      </c>
      <c r="E22" s="363">
        <f>D22-C22</f>
        <v>0</v>
      </c>
    </row>
    <row r="23" spans="1:11" hidden="1" x14ac:dyDescent="0.3">
      <c r="A23" s="1" t="s">
        <v>72</v>
      </c>
      <c r="B23" s="1" t="s">
        <v>78</v>
      </c>
      <c r="C23" s="362">
        <v>0</v>
      </c>
      <c r="D23" s="362">
        <v>0</v>
      </c>
      <c r="E23" s="363">
        <v>0</v>
      </c>
    </row>
    <row r="24" spans="1:11" x14ac:dyDescent="0.3">
      <c r="A24" s="1" t="s">
        <v>69</v>
      </c>
      <c r="B24" s="1" t="s">
        <v>79</v>
      </c>
      <c r="C24" s="362">
        <v>0.62529999999999997</v>
      </c>
      <c r="D24" s="362">
        <v>0.62529999999999997</v>
      </c>
      <c r="E24" s="363">
        <f>D24-C24</f>
        <v>0</v>
      </c>
    </row>
    <row r="25" spans="1:11" x14ac:dyDescent="0.3">
      <c r="A25" s="1" t="s">
        <v>74</v>
      </c>
      <c r="B25" s="1" t="s">
        <v>80</v>
      </c>
      <c r="C25" s="362">
        <v>0.1084</v>
      </c>
      <c r="D25" s="362">
        <v>0.1084</v>
      </c>
      <c r="E25" s="363">
        <f>D25-C25</f>
        <v>0</v>
      </c>
    </row>
    <row r="26" spans="1:11" x14ac:dyDescent="0.3">
      <c r="A26" s="1" t="s">
        <v>73</v>
      </c>
      <c r="B26" s="1" t="s">
        <v>80</v>
      </c>
      <c r="C26" s="362">
        <v>0.1084</v>
      </c>
      <c r="D26" s="362">
        <v>0.1084</v>
      </c>
      <c r="E26" s="363">
        <f>D26-C26</f>
        <v>0</v>
      </c>
    </row>
    <row r="28" spans="1:11" x14ac:dyDescent="0.3">
      <c r="A28" s="479" t="s">
        <v>110</v>
      </c>
      <c r="B28" s="479"/>
      <c r="C28" s="479"/>
      <c r="D28" s="479"/>
      <c r="E28" s="479"/>
    </row>
    <row r="29" spans="1:11" x14ac:dyDescent="0.3">
      <c r="A29" s="479" t="s">
        <v>111</v>
      </c>
      <c r="B29" s="479"/>
      <c r="C29" s="479"/>
      <c r="D29" s="479"/>
      <c r="E29" s="479"/>
    </row>
    <row r="30" spans="1:11" ht="12.75" customHeight="1" x14ac:dyDescent="0.3">
      <c r="A30" s="247"/>
      <c r="B30" s="247"/>
      <c r="C30" s="247"/>
      <c r="D30" s="247"/>
      <c r="E30" s="247"/>
    </row>
    <row r="31" spans="1:11" x14ac:dyDescent="0.3">
      <c r="A31" s="316" t="s">
        <v>88</v>
      </c>
      <c r="B31" s="316"/>
      <c r="C31" s="247"/>
      <c r="D31" s="247"/>
      <c r="E31" s="247"/>
    </row>
    <row r="32" spans="1:11" x14ac:dyDescent="0.3">
      <c r="A32" s="316"/>
      <c r="B32" s="316" t="s">
        <v>89</v>
      </c>
      <c r="C32" s="247"/>
      <c r="D32" s="247"/>
      <c r="E32" s="247"/>
    </row>
    <row r="33" spans="1:5" x14ac:dyDescent="0.3">
      <c r="A33" s="316"/>
      <c r="B33" s="316" t="s">
        <v>90</v>
      </c>
      <c r="C33" s="247"/>
      <c r="D33" s="247"/>
      <c r="E33" s="247"/>
    </row>
    <row r="34" spans="1:5" x14ac:dyDescent="0.3">
      <c r="A34" s="316"/>
      <c r="B34" s="316" t="s">
        <v>91</v>
      </c>
      <c r="C34" s="247"/>
      <c r="D34" s="247"/>
      <c r="E34" s="247"/>
    </row>
    <row r="35" spans="1:5" x14ac:dyDescent="0.3">
      <c r="A35" s="316"/>
      <c r="B35" s="316" t="s">
        <v>92</v>
      </c>
      <c r="C35" s="247"/>
      <c r="D35" s="247"/>
      <c r="E35" s="247"/>
    </row>
    <row r="36" spans="1:5" x14ac:dyDescent="0.3">
      <c r="A36" s="316"/>
      <c r="B36" s="316" t="s">
        <v>93</v>
      </c>
      <c r="C36" s="247"/>
      <c r="D36" s="247"/>
      <c r="E36" s="247"/>
    </row>
    <row r="38" spans="1:5" x14ac:dyDescent="0.3">
      <c r="B38" s="317" t="s">
        <v>103</v>
      </c>
      <c r="C38" s="318">
        <v>0.01</v>
      </c>
    </row>
    <row r="39" spans="1:5" x14ac:dyDescent="0.3">
      <c r="B39" s="341" t="s">
        <v>104</v>
      </c>
      <c r="C39" s="340">
        <v>0.01</v>
      </c>
    </row>
    <row r="40" spans="1:5" x14ac:dyDescent="0.3">
      <c r="B40" s="342" t="s">
        <v>109</v>
      </c>
      <c r="C40" s="343">
        <v>1</v>
      </c>
    </row>
  </sheetData>
  <mergeCells count="3">
    <mergeCell ref="A1:E1"/>
    <mergeCell ref="A28:E28"/>
    <mergeCell ref="A29:E29"/>
  </mergeCells>
  <pageMargins left="0.7" right="0.7" top="0.75" bottom="0.75" header="0.3" footer="0.3"/>
  <pageSetup scale="7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pageSetUpPr fitToPage="1"/>
  </sheetPr>
  <dimension ref="A1:CP80"/>
  <sheetViews>
    <sheetView showGridLines="0" zoomScaleNormal="100" workbookViewId="0">
      <selection sqref="A1:XFD1048576"/>
    </sheetView>
  </sheetViews>
  <sheetFormatPr defaultColWidth="9.140625" defaultRowHeight="15.75" x14ac:dyDescent="0.25"/>
  <cols>
    <col min="1" max="1" width="7.85546875" style="124" customWidth="1"/>
    <col min="2" max="2" width="7.7109375" style="125" customWidth="1"/>
    <col min="3" max="3" width="9" style="125" customWidth="1"/>
    <col min="4" max="4" width="39.28515625" style="53" customWidth="1"/>
    <col min="5" max="5" width="13" style="126" customWidth="1"/>
    <col min="6" max="6" width="12.28515625" style="127" customWidth="1"/>
    <col min="7" max="7" width="12.140625" style="127" bestFit="1" customWidth="1"/>
    <col min="8" max="8" width="14.5703125" style="127" customWidth="1"/>
    <col min="9" max="9" width="19.5703125" style="128" bestFit="1" customWidth="1"/>
    <col min="10" max="10" width="13.7109375" style="129" customWidth="1"/>
    <col min="11" max="11" width="13.7109375" style="129" hidden="1" customWidth="1"/>
    <col min="12" max="12" width="18.42578125" style="129" customWidth="1"/>
    <col min="13" max="13" width="16.42578125" style="129" customWidth="1"/>
    <col min="14" max="14" width="16.140625" style="128" customWidth="1"/>
    <col min="15" max="25" width="16.140625" customWidth="1"/>
    <col min="26" max="26" width="16.140625" style="344" customWidth="1"/>
    <col min="27" max="27" width="22.140625" style="334" bestFit="1" customWidth="1"/>
    <col min="28" max="28" width="31.140625" style="334" bestFit="1" customWidth="1"/>
    <col min="29" max="29" width="7.85546875" style="334" bestFit="1" customWidth="1"/>
    <col min="30" max="30" width="9.140625" style="110" customWidth="1"/>
    <col min="31" max="94" width="9.140625" style="17"/>
    <col min="95" max="16384" width="9.140625" style="18"/>
  </cols>
  <sheetData>
    <row r="1" spans="1:94" x14ac:dyDescent="0.25">
      <c r="A1" s="12" t="s">
        <v>13</v>
      </c>
      <c r="B1" s="13"/>
      <c r="C1" s="13"/>
      <c r="D1" s="14"/>
      <c r="E1" s="15"/>
      <c r="F1" s="15"/>
      <c r="G1" s="15"/>
      <c r="H1" s="15"/>
      <c r="I1" s="15"/>
      <c r="J1" s="15"/>
      <c r="K1" s="15"/>
      <c r="L1" s="16" t="s">
        <v>14</v>
      </c>
      <c r="M1" s="468"/>
      <c r="N1" s="469"/>
      <c r="AA1" s="337"/>
      <c r="AB1" s="333"/>
      <c r="AC1" s="333"/>
      <c r="AD1" s="325"/>
    </row>
    <row r="2" spans="1:94" ht="20.25" x14ac:dyDescent="0.25">
      <c r="A2" s="19" t="s">
        <v>116</v>
      </c>
      <c r="B2" s="20"/>
      <c r="C2" s="20"/>
      <c r="D2" s="14"/>
      <c r="E2" s="21"/>
      <c r="F2" s="21"/>
      <c r="G2" s="21"/>
      <c r="H2" s="21"/>
      <c r="I2" s="21"/>
      <c r="J2" s="20"/>
      <c r="K2" s="20"/>
      <c r="L2" s="22" t="s">
        <v>113</v>
      </c>
      <c r="M2" s="470"/>
      <c r="N2" s="471"/>
      <c r="AA2" s="333"/>
      <c r="AB2" s="333"/>
      <c r="AC2" s="333"/>
      <c r="AD2" s="325"/>
    </row>
    <row r="3" spans="1:94" x14ac:dyDescent="0.25">
      <c r="A3" s="19" t="s">
        <v>117</v>
      </c>
      <c r="B3" s="20"/>
      <c r="C3" s="20"/>
      <c r="D3" s="23"/>
      <c r="E3" s="24"/>
      <c r="F3" s="25"/>
      <c r="G3" s="25"/>
      <c r="H3" s="25"/>
      <c r="I3" s="26"/>
      <c r="J3" s="20"/>
      <c r="K3" s="20"/>
      <c r="L3" s="22" t="s">
        <v>114</v>
      </c>
      <c r="M3" s="468"/>
      <c r="N3" s="469"/>
      <c r="AA3" s="337"/>
      <c r="AB3" s="333"/>
      <c r="AC3" s="333"/>
      <c r="AD3" s="325"/>
    </row>
    <row r="4" spans="1:94" x14ac:dyDescent="0.25">
      <c r="A4" s="19"/>
      <c r="B4" s="20"/>
      <c r="C4" s="20"/>
      <c r="D4" s="27"/>
      <c r="E4" s="24"/>
      <c r="F4" s="25"/>
      <c r="G4" s="25"/>
      <c r="H4" s="25"/>
      <c r="I4" s="28"/>
      <c r="J4" s="26"/>
      <c r="K4" s="26"/>
      <c r="L4" s="22" t="s">
        <v>15</v>
      </c>
      <c r="M4" s="468">
        <v>2023</v>
      </c>
      <c r="N4" s="469"/>
      <c r="AA4" s="337"/>
      <c r="AB4" s="333"/>
      <c r="AC4" s="333"/>
      <c r="AD4" s="325"/>
    </row>
    <row r="5" spans="1:94" s="34" customFormat="1" ht="18" customHeight="1" x14ac:dyDescent="0.25">
      <c r="A5" s="19" t="s">
        <v>16</v>
      </c>
      <c r="B5" s="20"/>
      <c r="C5" s="20"/>
      <c r="D5" s="351">
        <v>44440</v>
      </c>
      <c r="E5" s="27"/>
      <c r="F5" s="30"/>
      <c r="G5" s="31"/>
      <c r="H5" s="31" t="s">
        <v>17</v>
      </c>
      <c r="I5" s="470"/>
      <c r="J5" s="472"/>
      <c r="K5" s="472"/>
      <c r="L5" s="471"/>
      <c r="M5" s="352" t="s">
        <v>115</v>
      </c>
      <c r="N5" s="32"/>
      <c r="O5"/>
      <c r="P5"/>
      <c r="Q5"/>
      <c r="R5"/>
      <c r="S5"/>
      <c r="T5"/>
      <c r="U5"/>
      <c r="V5"/>
      <c r="W5"/>
      <c r="X5"/>
      <c r="Y5"/>
      <c r="Z5" s="344"/>
      <c r="AA5" s="337"/>
      <c r="AB5" s="333"/>
      <c r="AC5" s="333"/>
      <c r="AD5" s="326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R5" s="33"/>
      <c r="AS5" s="33"/>
      <c r="AT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H5" s="33"/>
      <c r="BI5" s="33"/>
      <c r="BJ5" s="33"/>
      <c r="BK5" s="33"/>
      <c r="BL5" s="33"/>
      <c r="BM5" s="33"/>
      <c r="BN5" s="33"/>
      <c r="BO5" s="33"/>
      <c r="BP5" s="33"/>
      <c r="BQ5" s="33"/>
      <c r="BR5" s="33"/>
      <c r="BS5" s="33"/>
      <c r="BT5" s="33"/>
      <c r="BU5" s="33"/>
      <c r="BV5" s="33"/>
      <c r="BW5" s="33"/>
      <c r="BX5" s="33"/>
      <c r="BY5" s="33"/>
      <c r="BZ5" s="33"/>
      <c r="CA5" s="33"/>
      <c r="CB5" s="33"/>
      <c r="CC5" s="33"/>
      <c r="CD5" s="33"/>
      <c r="CE5" s="33"/>
      <c r="CF5" s="33"/>
      <c r="CG5" s="33"/>
      <c r="CH5" s="33"/>
      <c r="CI5" s="33"/>
      <c r="CJ5" s="33"/>
      <c r="CK5" s="33"/>
      <c r="CL5" s="33"/>
      <c r="CM5" s="33"/>
      <c r="CN5" s="33"/>
      <c r="CO5" s="33"/>
      <c r="CP5" s="33"/>
    </row>
    <row r="6" spans="1:94" ht="23.25" customHeight="1" x14ac:dyDescent="0.25">
      <c r="A6" s="19"/>
      <c r="B6" s="20" t="s">
        <v>18</v>
      </c>
      <c r="C6" s="20"/>
      <c r="D6" s="29"/>
      <c r="E6" s="35" t="s">
        <v>19</v>
      </c>
      <c r="F6" s="36"/>
      <c r="G6" s="25"/>
      <c r="H6" s="25"/>
      <c r="I6" s="37"/>
      <c r="J6" s="31" t="s">
        <v>84</v>
      </c>
      <c r="K6" s="31"/>
      <c r="L6" s="353"/>
      <c r="M6" s="354" t="s">
        <v>85</v>
      </c>
      <c r="N6" s="306"/>
      <c r="AA6" s="337"/>
      <c r="AB6" s="333"/>
      <c r="AC6" s="333"/>
      <c r="AD6" s="325"/>
    </row>
    <row r="7" spans="1:94" x14ac:dyDescent="0.25">
      <c r="A7" s="38"/>
      <c r="B7" s="39"/>
      <c r="C7" s="40"/>
      <c r="D7" s="41"/>
      <c r="E7" s="42"/>
      <c r="F7" s="40"/>
      <c r="G7" s="43"/>
      <c r="H7" s="44"/>
      <c r="I7" s="45"/>
      <c r="J7" s="46"/>
      <c r="K7" s="46"/>
      <c r="L7" s="46"/>
      <c r="M7" s="46"/>
      <c r="N7" s="47"/>
    </row>
    <row r="8" spans="1:94" s="52" customFormat="1" ht="40.5" customHeight="1" x14ac:dyDescent="0.25">
      <c r="A8" s="48" t="s">
        <v>20</v>
      </c>
      <c r="B8" s="256" t="s">
        <v>21</v>
      </c>
      <c r="C8" s="473" t="s">
        <v>22</v>
      </c>
      <c r="D8" s="474"/>
      <c r="E8" s="332" t="s">
        <v>23</v>
      </c>
      <c r="F8" s="49" t="s">
        <v>24</v>
      </c>
      <c r="G8" s="50" t="str">
        <f>"FY "&amp;[0]!FiscalYear-1&amp;" SALARY"</f>
        <v>FY 2022 SALARY</v>
      </c>
      <c r="H8" s="50" t="str">
        <f>"FY "&amp;[0]!FiscalYear-1&amp;" HEALTH BENEFITS"</f>
        <v>FY 2022 HEALTH BENEFITS</v>
      </c>
      <c r="I8" s="50" t="str">
        <f>"FY "&amp;[0]!FiscalYear-1&amp;" VAR BENEFITS"</f>
        <v>FY 2022 VAR BENEFITS</v>
      </c>
      <c r="J8" s="50" t="str">
        <f>"FY "&amp;[0]!FiscalYear-1&amp;" TOTAL"</f>
        <v>FY 2022 TOTAL</v>
      </c>
      <c r="K8" s="50" t="str">
        <f>"FY "&amp;[0]!FiscalYear&amp;" SALARY CHANGE"</f>
        <v>FY 2023 SALARY CHANGE</v>
      </c>
      <c r="L8" s="50" t="str">
        <f>"FY "&amp;[0]!FiscalYear&amp;" CHG HEALTH BENEFITS"</f>
        <v>FY 2023 CHG HEALTH BENEFITS</v>
      </c>
      <c r="M8" s="50" t="str">
        <f>"FY "&amp;[0]!FiscalYear&amp;" CHG VAR BENEFITS"</f>
        <v>FY 2023 CHG VAR BENEFITS</v>
      </c>
      <c r="N8" s="50" t="s">
        <v>25</v>
      </c>
      <c r="O8"/>
      <c r="P8"/>
      <c r="Q8"/>
      <c r="R8"/>
      <c r="S8"/>
      <c r="T8"/>
      <c r="U8"/>
      <c r="V8"/>
      <c r="W8"/>
      <c r="X8"/>
      <c r="Y8"/>
      <c r="Z8" s="344"/>
      <c r="AA8" s="464" t="s">
        <v>105</v>
      </c>
      <c r="AB8" s="464"/>
      <c r="AC8" s="464"/>
      <c r="AD8" s="327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  <c r="AZ8" s="51"/>
      <c r="BA8" s="51"/>
      <c r="BB8" s="51"/>
      <c r="BC8" s="51"/>
      <c r="BD8" s="51"/>
      <c r="BE8" s="51"/>
      <c r="BF8" s="51"/>
      <c r="BG8" s="51"/>
      <c r="BH8" s="51"/>
      <c r="BI8" s="51"/>
      <c r="BJ8" s="51"/>
      <c r="BK8" s="51"/>
      <c r="BL8" s="51"/>
      <c r="BM8" s="51"/>
      <c r="BN8" s="51"/>
      <c r="BO8" s="51"/>
      <c r="BP8" s="51"/>
      <c r="BQ8" s="51"/>
      <c r="BR8" s="51"/>
      <c r="BS8" s="51"/>
      <c r="BT8" s="51"/>
      <c r="BU8" s="51"/>
      <c r="BV8" s="51"/>
      <c r="BW8" s="51"/>
      <c r="BX8" s="51"/>
      <c r="BY8" s="51"/>
      <c r="BZ8" s="51"/>
      <c r="CA8" s="51"/>
      <c r="CB8" s="51"/>
      <c r="CC8" s="51"/>
      <c r="CD8" s="51"/>
      <c r="CE8" s="51"/>
      <c r="CF8" s="51"/>
      <c r="CG8" s="51"/>
      <c r="CH8" s="51"/>
      <c r="CI8" s="51"/>
      <c r="CJ8" s="51"/>
      <c r="CK8" s="51"/>
      <c r="CL8" s="51"/>
      <c r="CM8" s="51"/>
      <c r="CN8" s="51"/>
      <c r="CO8" s="51"/>
      <c r="CP8" s="51"/>
    </row>
    <row r="9" spans="1:94" s="149" customFormat="1" x14ac:dyDescent="0.25">
      <c r="A9" s="139"/>
      <c r="B9" s="140"/>
      <c r="C9" s="465" t="s">
        <v>26</v>
      </c>
      <c r="D9" s="466"/>
      <c r="E9" s="141"/>
      <c r="F9" s="142"/>
      <c r="G9" s="143"/>
      <c r="H9" s="143"/>
      <c r="I9" s="143"/>
      <c r="J9" s="144"/>
      <c r="K9" s="144"/>
      <c r="L9" s="145"/>
      <c r="M9" s="146"/>
      <c r="N9" s="144"/>
      <c r="O9"/>
      <c r="P9"/>
      <c r="Q9"/>
      <c r="R9"/>
      <c r="S9"/>
      <c r="T9"/>
      <c r="U9"/>
      <c r="V9"/>
      <c r="W9"/>
      <c r="X9"/>
      <c r="Y9"/>
      <c r="Z9" s="344"/>
      <c r="AA9" s="337" t="s">
        <v>94</v>
      </c>
      <c r="AB9" s="333" t="s">
        <v>95</v>
      </c>
      <c r="AC9" s="333" t="s">
        <v>106</v>
      </c>
      <c r="AD9" s="328"/>
      <c r="AE9" s="148"/>
      <c r="AF9" s="148"/>
      <c r="AG9" s="148"/>
      <c r="AH9" s="148"/>
      <c r="AI9" s="148"/>
      <c r="AJ9" s="148"/>
      <c r="AK9" s="148"/>
      <c r="AL9" s="148"/>
      <c r="AM9" s="148"/>
      <c r="AN9" s="148"/>
      <c r="AO9" s="148"/>
      <c r="AP9" s="148"/>
      <c r="AQ9" s="148"/>
      <c r="AR9" s="148"/>
      <c r="AS9" s="148"/>
      <c r="AT9" s="148"/>
      <c r="AU9" s="148"/>
      <c r="AV9" s="148"/>
      <c r="AW9" s="148"/>
      <c r="AX9" s="148"/>
      <c r="AY9" s="148"/>
      <c r="AZ9" s="148"/>
      <c r="BA9" s="148"/>
      <c r="BB9" s="148"/>
      <c r="BC9" s="148"/>
      <c r="BD9" s="148"/>
      <c r="BE9" s="148"/>
      <c r="BF9" s="148"/>
      <c r="BG9" s="148"/>
      <c r="BH9" s="148"/>
      <c r="BI9" s="148"/>
      <c r="BJ9" s="148"/>
      <c r="BK9" s="148"/>
      <c r="BL9" s="148"/>
      <c r="BM9" s="148"/>
      <c r="BN9" s="148"/>
      <c r="BO9" s="148"/>
      <c r="BP9" s="148"/>
      <c r="BQ9" s="148"/>
      <c r="BR9" s="148"/>
      <c r="BS9" s="148"/>
      <c r="BT9" s="148"/>
      <c r="BU9" s="148"/>
      <c r="BV9" s="148"/>
      <c r="BW9" s="148"/>
      <c r="BX9" s="148"/>
      <c r="BY9" s="148"/>
      <c r="BZ9" s="148"/>
      <c r="CA9" s="148"/>
      <c r="CB9" s="148"/>
      <c r="CC9" s="148"/>
      <c r="CD9" s="148"/>
      <c r="CE9" s="148"/>
      <c r="CF9" s="148"/>
      <c r="CG9" s="148"/>
      <c r="CH9" s="148"/>
      <c r="CI9" s="148"/>
      <c r="CJ9" s="148"/>
      <c r="CK9" s="148"/>
      <c r="CL9" s="148"/>
      <c r="CM9" s="148"/>
      <c r="CN9" s="148"/>
      <c r="CO9" s="148"/>
      <c r="CP9" s="148"/>
    </row>
    <row r="10" spans="1:94" s="149" customFormat="1" x14ac:dyDescent="0.25">
      <c r="A10" s="139"/>
      <c r="B10" s="139"/>
      <c r="C10" s="444" t="s">
        <v>27</v>
      </c>
      <c r="D10" s="467"/>
      <c r="E10" s="217">
        <v>1</v>
      </c>
      <c r="F10" s="288">
        <v>0</v>
      </c>
      <c r="G10" s="218">
        <v>0</v>
      </c>
      <c r="H10" s="218">
        <v>0</v>
      </c>
      <c r="I10" s="218">
        <v>0</v>
      </c>
      <c r="J10" s="219">
        <f>SUM(G10:I10)</f>
        <v>0</v>
      </c>
      <c r="K10" s="219">
        <v>0</v>
      </c>
      <c r="L10" s="218">
        <v>0</v>
      </c>
      <c r="M10" s="218">
        <v>0</v>
      </c>
      <c r="N10" s="218">
        <f>SUM(L10:M10)</f>
        <v>0</v>
      </c>
      <c r="O10"/>
      <c r="P10"/>
      <c r="Q10"/>
      <c r="R10"/>
      <c r="S10"/>
      <c r="T10"/>
      <c r="U10"/>
      <c r="V10"/>
      <c r="W10"/>
      <c r="X10"/>
      <c r="Y10"/>
      <c r="Z10" s="344"/>
      <c r="AA10" s="338">
        <f>ROUND(CECPerm*PermSalary,-2)</f>
        <v>0</v>
      </c>
      <c r="AB10" s="335">
        <f>ROUND(PermVarBen*CECPerm+(CECPerm*PermVarBenChg),-2)</f>
        <v>0</v>
      </c>
      <c r="AC10" s="335">
        <f>SUM(AA10:AB10)</f>
        <v>0</v>
      </c>
      <c r="AD10" s="328"/>
      <c r="AE10" s="148"/>
      <c r="AF10" s="148"/>
      <c r="AG10" s="148"/>
      <c r="AH10" s="148"/>
      <c r="AI10" s="148"/>
      <c r="AJ10" s="148"/>
      <c r="AK10" s="148"/>
      <c r="AL10" s="148"/>
      <c r="AM10" s="148"/>
      <c r="AN10" s="148"/>
      <c r="AO10" s="148"/>
      <c r="AP10" s="148"/>
      <c r="AQ10" s="148"/>
      <c r="AR10" s="148"/>
      <c r="AS10" s="148"/>
      <c r="AT10" s="148"/>
      <c r="AU10" s="148"/>
      <c r="AV10" s="148"/>
      <c r="AW10" s="148"/>
      <c r="AX10" s="148"/>
      <c r="AY10" s="148"/>
      <c r="AZ10" s="148"/>
      <c r="BA10" s="148"/>
      <c r="BB10" s="148"/>
      <c r="BC10" s="148"/>
      <c r="BD10" s="148"/>
      <c r="BE10" s="148"/>
      <c r="BF10" s="148"/>
      <c r="BG10" s="148"/>
      <c r="BH10" s="148"/>
      <c r="BI10" s="148"/>
      <c r="BJ10" s="148"/>
      <c r="BK10" s="148"/>
      <c r="BL10" s="148"/>
      <c r="BM10" s="148"/>
      <c r="BN10" s="148"/>
      <c r="BO10" s="148"/>
      <c r="BP10" s="148"/>
      <c r="BQ10" s="148"/>
      <c r="BR10" s="148"/>
      <c r="BS10" s="148"/>
      <c r="BT10" s="148"/>
      <c r="BU10" s="148"/>
      <c r="BV10" s="148"/>
      <c r="BW10" s="148"/>
      <c r="BX10" s="148"/>
      <c r="BY10" s="148"/>
      <c r="BZ10" s="148"/>
      <c r="CA10" s="148"/>
      <c r="CB10" s="148"/>
      <c r="CC10" s="148"/>
      <c r="CD10" s="148"/>
      <c r="CE10" s="148"/>
      <c r="CF10" s="148"/>
      <c r="CG10" s="148"/>
      <c r="CH10" s="148"/>
      <c r="CI10" s="148"/>
      <c r="CJ10" s="148"/>
      <c r="CK10" s="148"/>
      <c r="CL10" s="148"/>
      <c r="CM10" s="148"/>
      <c r="CN10" s="148"/>
      <c r="CO10" s="148"/>
      <c r="CP10" s="148"/>
    </row>
    <row r="11" spans="1:94" s="149" customFormat="1" x14ac:dyDescent="0.25">
      <c r="A11" s="139"/>
      <c r="B11" s="139"/>
      <c r="C11" s="444" t="s">
        <v>28</v>
      </c>
      <c r="D11" s="467"/>
      <c r="E11" s="217">
        <v>2</v>
      </c>
      <c r="F11" s="288"/>
      <c r="G11" s="218">
        <v>0</v>
      </c>
      <c r="H11" s="218">
        <v>0</v>
      </c>
      <c r="I11" s="218">
        <v>0</v>
      </c>
      <c r="J11" s="219">
        <f>SUM(G11:I11)</f>
        <v>0</v>
      </c>
      <c r="K11" s="268"/>
      <c r="L11" s="218"/>
      <c r="M11" s="218"/>
      <c r="N11" s="218"/>
      <c r="O11"/>
      <c r="P11"/>
      <c r="Q11"/>
      <c r="R11"/>
      <c r="S11"/>
      <c r="T11"/>
      <c r="U11"/>
      <c r="V11"/>
      <c r="W11"/>
      <c r="X11"/>
      <c r="Y11"/>
      <c r="Z11" s="344"/>
      <c r="AA11" s="338">
        <f>ROUND(GroupSalary*CECGroup,-2)</f>
        <v>0</v>
      </c>
      <c r="AB11" s="335">
        <f>ROUND((GroupSalary*GroupVBBY)*CECGroup,-2)</f>
        <v>0</v>
      </c>
      <c r="AC11" s="335">
        <f>SUM(AA12:AB12)</f>
        <v>0</v>
      </c>
      <c r="AD11" s="328"/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48"/>
      <c r="AW11" s="148"/>
      <c r="AX11" s="148"/>
      <c r="AY11" s="148"/>
      <c r="AZ11" s="148"/>
      <c r="BA11" s="148"/>
      <c r="BB11" s="148"/>
      <c r="BC11" s="148"/>
      <c r="BD11" s="148"/>
      <c r="BE11" s="148"/>
      <c r="BF11" s="148"/>
      <c r="BG11" s="148"/>
      <c r="BH11" s="148"/>
      <c r="BI11" s="148"/>
      <c r="BJ11" s="148"/>
      <c r="BK11" s="148"/>
      <c r="BL11" s="148"/>
      <c r="BM11" s="148"/>
      <c r="BN11" s="148"/>
      <c r="BO11" s="148"/>
      <c r="BP11" s="148"/>
      <c r="BQ11" s="148"/>
      <c r="BR11" s="148"/>
      <c r="BS11" s="148"/>
      <c r="BT11" s="148"/>
      <c r="BU11" s="148"/>
      <c r="BV11" s="148"/>
      <c r="BW11" s="148"/>
      <c r="BX11" s="148"/>
      <c r="BY11" s="148"/>
      <c r="BZ11" s="148"/>
      <c r="CA11" s="148"/>
      <c r="CB11" s="148"/>
      <c r="CC11" s="148"/>
      <c r="CD11" s="148"/>
      <c r="CE11" s="148"/>
      <c r="CF11" s="148"/>
      <c r="CG11" s="148"/>
      <c r="CH11" s="148"/>
      <c r="CI11" s="148"/>
      <c r="CJ11" s="148"/>
      <c r="CK11" s="148"/>
      <c r="CL11" s="148"/>
      <c r="CM11" s="148"/>
      <c r="CN11" s="148"/>
      <c r="CO11" s="148"/>
      <c r="CP11" s="148"/>
    </row>
    <row r="12" spans="1:94" s="149" customFormat="1" x14ac:dyDescent="0.25">
      <c r="A12" s="139"/>
      <c r="B12" s="139"/>
      <c r="C12" s="444" t="s">
        <v>29</v>
      </c>
      <c r="D12" s="445"/>
      <c r="E12" s="217">
        <v>3</v>
      </c>
      <c r="F12" s="288">
        <v>0</v>
      </c>
      <c r="G12" s="218">
        <v>0</v>
      </c>
      <c r="H12" s="218">
        <v>0</v>
      </c>
      <c r="I12" s="218">
        <v>0</v>
      </c>
      <c r="J12" s="219">
        <f>SUM(G12:I12)</f>
        <v>0</v>
      </c>
      <c r="K12" s="268"/>
      <c r="L12" s="218">
        <v>0</v>
      </c>
      <c r="M12" s="218">
        <v>0</v>
      </c>
      <c r="N12" s="219">
        <f>SUM(L12:M12)</f>
        <v>0</v>
      </c>
      <c r="O12"/>
      <c r="P12"/>
      <c r="Q12"/>
      <c r="R12"/>
      <c r="S12"/>
      <c r="T12"/>
      <c r="U12"/>
      <c r="V12"/>
      <c r="W12"/>
      <c r="X12"/>
      <c r="Y12"/>
      <c r="Z12" s="344"/>
      <c r="AA12" s="336"/>
      <c r="AB12" s="336"/>
      <c r="AC12" s="336"/>
      <c r="AD12" s="328"/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48"/>
      <c r="AW12" s="148"/>
      <c r="AX12" s="148"/>
      <c r="AY12" s="148"/>
      <c r="AZ12" s="148"/>
      <c r="BA12" s="148"/>
      <c r="BB12" s="148"/>
      <c r="BC12" s="148"/>
      <c r="BD12" s="148"/>
      <c r="BE12" s="148"/>
      <c r="BF12" s="148"/>
      <c r="BG12" s="148"/>
      <c r="BH12" s="148"/>
      <c r="BI12" s="148"/>
      <c r="BJ12" s="148"/>
      <c r="BK12" s="148"/>
      <c r="BL12" s="148"/>
      <c r="BM12" s="148"/>
      <c r="BN12" s="148"/>
      <c r="BO12" s="148"/>
      <c r="BP12" s="148"/>
      <c r="BQ12" s="148"/>
      <c r="BR12" s="148"/>
      <c r="BS12" s="148"/>
      <c r="BT12" s="148"/>
      <c r="BU12" s="148"/>
      <c r="BV12" s="148"/>
      <c r="BW12" s="148"/>
      <c r="BX12" s="148"/>
      <c r="BY12" s="148"/>
      <c r="BZ12" s="148"/>
      <c r="CA12" s="148"/>
      <c r="CB12" s="148"/>
      <c r="CC12" s="148"/>
      <c r="CD12" s="148"/>
      <c r="CE12" s="148"/>
      <c r="CF12" s="148"/>
      <c r="CG12" s="148"/>
      <c r="CH12" s="148"/>
      <c r="CI12" s="148"/>
      <c r="CJ12" s="148"/>
      <c r="CK12" s="148"/>
      <c r="CL12" s="148"/>
      <c r="CM12" s="148"/>
      <c r="CN12" s="148"/>
      <c r="CO12" s="148"/>
      <c r="CP12" s="148"/>
    </row>
    <row r="13" spans="1:94" s="153" customFormat="1" x14ac:dyDescent="0.25">
      <c r="A13" s="139"/>
      <c r="B13" s="139"/>
      <c r="C13" s="444" t="s">
        <v>30</v>
      </c>
      <c r="D13" s="467"/>
      <c r="E13" s="217"/>
      <c r="F13" s="220">
        <f>SUM(F10:F12)</f>
        <v>0</v>
      </c>
      <c r="G13" s="221">
        <f>SUM(G10:G12)</f>
        <v>0</v>
      </c>
      <c r="H13" s="221">
        <f>SUM(H10:H12)</f>
        <v>0</v>
      </c>
      <c r="I13" s="221">
        <f>SUM(I10:I12)</f>
        <v>0</v>
      </c>
      <c r="J13" s="219">
        <f>SUM(G13:I13)</f>
        <v>0</v>
      </c>
      <c r="K13" s="268"/>
      <c r="L13" s="219">
        <f>SUM(L10:L12)</f>
        <v>0</v>
      </c>
      <c r="M13" s="219">
        <f>SUM(M10:M12)</f>
        <v>0</v>
      </c>
      <c r="N13" s="219">
        <f>SUM(N10:N12)</f>
        <v>0</v>
      </c>
      <c r="O13"/>
      <c r="P13"/>
      <c r="Q13"/>
      <c r="R13"/>
      <c r="S13"/>
      <c r="T13"/>
      <c r="U13"/>
      <c r="V13"/>
      <c r="W13"/>
      <c r="X13"/>
      <c r="Y13"/>
      <c r="Z13" s="344"/>
      <c r="AA13" s="336"/>
      <c r="AB13" s="336"/>
      <c r="AC13" s="336"/>
      <c r="AD13" s="329"/>
      <c r="AE13" s="147"/>
      <c r="AF13" s="147"/>
      <c r="AG13" s="147"/>
      <c r="AH13" s="147"/>
      <c r="AI13" s="147"/>
      <c r="AJ13" s="147"/>
      <c r="AK13" s="147"/>
      <c r="AL13" s="147"/>
      <c r="AM13" s="147"/>
      <c r="AN13" s="147"/>
      <c r="AO13" s="147"/>
      <c r="AP13" s="147"/>
      <c r="AQ13" s="147"/>
      <c r="AR13" s="147"/>
      <c r="AS13" s="147"/>
      <c r="AT13" s="147"/>
      <c r="AU13" s="147"/>
      <c r="AV13" s="147"/>
      <c r="AW13" s="147"/>
      <c r="AX13" s="147"/>
      <c r="AY13" s="147"/>
      <c r="AZ13" s="147"/>
      <c r="BA13" s="147"/>
      <c r="BB13" s="147"/>
      <c r="BC13" s="147"/>
      <c r="BD13" s="147"/>
      <c r="BE13" s="147"/>
      <c r="BF13" s="147"/>
      <c r="BG13" s="147"/>
      <c r="BH13" s="147"/>
      <c r="BI13" s="147"/>
      <c r="BJ13" s="147"/>
      <c r="BK13" s="147"/>
      <c r="BL13" s="147"/>
      <c r="BM13" s="147"/>
      <c r="BN13" s="147"/>
      <c r="BO13" s="147"/>
      <c r="BP13" s="147"/>
      <c r="BQ13" s="147"/>
      <c r="BR13" s="147"/>
      <c r="BS13" s="147"/>
      <c r="BT13" s="147"/>
      <c r="BU13" s="147"/>
      <c r="BV13" s="147"/>
      <c r="BW13" s="147"/>
      <c r="BX13" s="147"/>
      <c r="BY13" s="147"/>
      <c r="BZ13" s="147"/>
      <c r="CA13" s="147"/>
      <c r="CB13" s="147"/>
      <c r="CC13" s="147"/>
      <c r="CD13" s="147"/>
      <c r="CE13" s="147"/>
      <c r="CF13" s="147"/>
      <c r="CG13" s="147"/>
      <c r="CH13" s="147"/>
      <c r="CI13" s="147"/>
      <c r="CJ13" s="147"/>
      <c r="CK13" s="147"/>
      <c r="CL13" s="147"/>
      <c r="CM13" s="147"/>
      <c r="CN13" s="147"/>
      <c r="CO13" s="147"/>
      <c r="CP13" s="147"/>
    </row>
    <row r="14" spans="1:94" s="153" customFormat="1" ht="5.45" customHeight="1" x14ac:dyDescent="0.25">
      <c r="A14" s="139"/>
      <c r="B14" s="139"/>
      <c r="C14" s="154"/>
      <c r="D14" s="155"/>
      <c r="E14" s="217"/>
      <c r="F14" s="220"/>
      <c r="G14" s="219"/>
      <c r="H14" s="219"/>
      <c r="I14" s="219"/>
      <c r="J14" s="219"/>
      <c r="K14" s="268"/>
      <c r="L14" s="219"/>
      <c r="M14" s="222"/>
      <c r="N14" s="222"/>
      <c r="O14"/>
      <c r="P14"/>
      <c r="Q14"/>
      <c r="R14"/>
      <c r="S14"/>
      <c r="T14"/>
      <c r="U14"/>
      <c r="V14"/>
      <c r="W14"/>
      <c r="X14"/>
      <c r="Y14"/>
      <c r="Z14" s="344"/>
      <c r="AA14" s="336"/>
      <c r="AB14" s="336"/>
      <c r="AC14" s="336"/>
      <c r="AD14" s="329"/>
      <c r="AE14" s="147"/>
      <c r="AF14" s="147"/>
      <c r="AG14" s="147"/>
      <c r="AH14" s="147"/>
      <c r="AI14" s="147"/>
      <c r="AJ14" s="147"/>
      <c r="AK14" s="147"/>
      <c r="AL14" s="147"/>
      <c r="AM14" s="147"/>
      <c r="AN14" s="147"/>
      <c r="AO14" s="147"/>
      <c r="AP14" s="147"/>
      <c r="AQ14" s="147"/>
      <c r="AR14" s="147"/>
      <c r="AS14" s="147"/>
      <c r="AT14" s="147"/>
      <c r="AU14" s="147"/>
      <c r="AV14" s="147"/>
      <c r="AW14" s="147"/>
      <c r="AX14" s="147"/>
      <c r="AY14" s="147"/>
      <c r="AZ14" s="147"/>
      <c r="BA14" s="147"/>
      <c r="BB14" s="147"/>
      <c r="BC14" s="147"/>
      <c r="BD14" s="147"/>
      <c r="BE14" s="147"/>
      <c r="BF14" s="147"/>
      <c r="BG14" s="147"/>
      <c r="BH14" s="147"/>
      <c r="BI14" s="147"/>
      <c r="BJ14" s="147"/>
      <c r="BK14" s="147"/>
      <c r="BL14" s="147"/>
      <c r="BM14" s="147"/>
      <c r="BN14" s="147"/>
      <c r="BO14" s="147"/>
      <c r="BP14" s="147"/>
      <c r="BQ14" s="147"/>
      <c r="BR14" s="147"/>
      <c r="BS14" s="147"/>
      <c r="BT14" s="147"/>
      <c r="BU14" s="147"/>
      <c r="BV14" s="147"/>
      <c r="BW14" s="147"/>
      <c r="BX14" s="147"/>
      <c r="BY14" s="147"/>
      <c r="BZ14" s="147"/>
      <c r="CA14" s="147"/>
      <c r="CB14" s="147"/>
      <c r="CC14" s="147"/>
      <c r="CD14" s="147"/>
      <c r="CE14" s="147"/>
      <c r="CF14" s="147"/>
      <c r="CG14" s="147"/>
      <c r="CH14" s="147"/>
      <c r="CI14" s="147"/>
      <c r="CJ14" s="147"/>
      <c r="CK14" s="147"/>
      <c r="CL14" s="147"/>
      <c r="CM14" s="147"/>
      <c r="CN14" s="147"/>
      <c r="CO14" s="147"/>
      <c r="CP14" s="147"/>
    </row>
    <row r="15" spans="1:94" s="153" customFormat="1" ht="15.75" customHeight="1" x14ac:dyDescent="0.25">
      <c r="A15" s="139"/>
      <c r="B15" s="156"/>
      <c r="C15" s="157" t="str">
        <f>"FY "&amp;[0]!FiscalYear-1</f>
        <v>FY 2022</v>
      </c>
      <c r="D15" s="158" t="s">
        <v>31</v>
      </c>
      <c r="E15" s="355">
        <v>0</v>
      </c>
      <c r="F15" s="55">
        <v>0</v>
      </c>
      <c r="G15" s="223">
        <f>IF(OrigApprop=0,0,(G13/$J$13)*OrigApprop)</f>
        <v>0</v>
      </c>
      <c r="H15" s="223">
        <f>IF(OrigApprop=0,0,(H13/$J$13)*OrigApprop)</f>
        <v>0</v>
      </c>
      <c r="I15" s="223">
        <f>IF(G15=0,0,(I13/$J$13)*OrigApprop)</f>
        <v>0</v>
      </c>
      <c r="J15" s="223">
        <f>SUM(G15:I15)</f>
        <v>0</v>
      </c>
      <c r="K15" s="268"/>
      <c r="L15" s="224"/>
      <c r="M15" s="224"/>
      <c r="N15" s="224"/>
      <c r="O15"/>
      <c r="P15"/>
      <c r="Q15"/>
      <c r="R15"/>
      <c r="S15"/>
      <c r="T15"/>
      <c r="U15"/>
      <c r="V15"/>
      <c r="W15"/>
      <c r="X15"/>
      <c r="Y15"/>
      <c r="Z15" s="344"/>
      <c r="AA15" s="336"/>
      <c r="AB15" s="336"/>
      <c r="AC15" s="336"/>
      <c r="AD15" s="329"/>
      <c r="AE15" s="147"/>
      <c r="AF15" s="147"/>
      <c r="AG15" s="147"/>
      <c r="AH15" s="147"/>
      <c r="AI15" s="147"/>
      <c r="AJ15" s="147"/>
      <c r="AK15" s="147"/>
      <c r="AL15" s="147"/>
      <c r="AM15" s="147"/>
      <c r="AN15" s="147"/>
      <c r="AO15" s="147"/>
      <c r="AP15" s="147"/>
      <c r="AQ15" s="147"/>
      <c r="AR15" s="147"/>
      <c r="AS15" s="147"/>
      <c r="AT15" s="147"/>
      <c r="AU15" s="147"/>
      <c r="AV15" s="147"/>
      <c r="AW15" s="147"/>
      <c r="AX15" s="147"/>
      <c r="AY15" s="147"/>
      <c r="AZ15" s="147"/>
      <c r="BA15" s="147"/>
      <c r="BB15" s="147"/>
      <c r="BC15" s="147"/>
      <c r="BD15" s="147"/>
      <c r="BE15" s="147"/>
      <c r="BF15" s="147"/>
      <c r="BG15" s="147"/>
      <c r="BH15" s="147"/>
      <c r="BI15" s="147"/>
      <c r="BJ15" s="147"/>
      <c r="BK15" s="147"/>
      <c r="BL15" s="147"/>
      <c r="BM15" s="147"/>
      <c r="BN15" s="147"/>
      <c r="BO15" s="147"/>
      <c r="BP15" s="147"/>
      <c r="BQ15" s="147"/>
      <c r="BR15" s="147"/>
      <c r="BS15" s="147"/>
      <c r="BT15" s="147"/>
      <c r="BU15" s="147"/>
      <c r="BV15" s="147"/>
      <c r="BW15" s="147"/>
      <c r="BX15" s="147"/>
      <c r="BY15" s="147"/>
      <c r="BZ15" s="147"/>
      <c r="CA15" s="147"/>
      <c r="CB15" s="147"/>
      <c r="CC15" s="147"/>
      <c r="CD15" s="147"/>
      <c r="CE15" s="147"/>
      <c r="CF15" s="147"/>
      <c r="CG15" s="147"/>
      <c r="CH15" s="147"/>
      <c r="CI15" s="147"/>
      <c r="CJ15" s="147"/>
      <c r="CK15" s="147"/>
      <c r="CL15" s="147"/>
      <c r="CM15" s="147"/>
      <c r="CN15" s="147"/>
      <c r="CO15" s="147"/>
      <c r="CP15" s="147"/>
    </row>
    <row r="16" spans="1:94" s="153" customFormat="1" ht="15.75" customHeight="1" x14ac:dyDescent="0.25">
      <c r="A16" s="139"/>
      <c r="B16" s="139"/>
      <c r="C16" s="454" t="s">
        <v>32</v>
      </c>
      <c r="D16" s="455"/>
      <c r="E16" s="160" t="s">
        <v>33</v>
      </c>
      <c r="F16" s="161">
        <f>F15-F13</f>
        <v>0</v>
      </c>
      <c r="G16" s="162">
        <f>G15-G13</f>
        <v>0</v>
      </c>
      <c r="H16" s="162">
        <f>H15-H13</f>
        <v>0</v>
      </c>
      <c r="I16" s="162">
        <f>I15-I13</f>
        <v>0</v>
      </c>
      <c r="J16" s="162">
        <f>J15-J13</f>
        <v>0</v>
      </c>
      <c r="K16" s="269"/>
      <c r="L16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M16" s="163"/>
      <c r="N16" s="164"/>
      <c r="O16"/>
      <c r="P16"/>
      <c r="Q16"/>
      <c r="R16"/>
      <c r="S16"/>
      <c r="T16"/>
      <c r="U16"/>
      <c r="V16"/>
      <c r="W16"/>
      <c r="X16"/>
      <c r="Y16"/>
      <c r="Z16" s="344"/>
      <c r="AA16" s="336"/>
      <c r="AB16" s="336"/>
      <c r="AC16" s="336"/>
      <c r="AD16" s="329"/>
      <c r="AE16" s="147"/>
      <c r="AF16" s="147"/>
      <c r="AG16" s="147"/>
      <c r="AH16" s="147"/>
      <c r="AI16" s="147"/>
      <c r="AJ16" s="147"/>
      <c r="AK16" s="147"/>
      <c r="AL16" s="147"/>
      <c r="AM16" s="147"/>
      <c r="AN16" s="147"/>
      <c r="AO16" s="147"/>
      <c r="AP16" s="147"/>
      <c r="AQ16" s="147"/>
      <c r="AR16" s="147"/>
      <c r="AS16" s="147"/>
      <c r="AT16" s="147"/>
      <c r="AU16" s="147"/>
      <c r="AV16" s="147"/>
      <c r="AW16" s="147"/>
      <c r="AX16" s="147"/>
      <c r="AY16" s="147"/>
      <c r="AZ16" s="147"/>
      <c r="BA16" s="147"/>
      <c r="BB16" s="147"/>
      <c r="BC16" s="147"/>
      <c r="BD16" s="147"/>
      <c r="BE16" s="147"/>
      <c r="BF16" s="147"/>
      <c r="BG16" s="147"/>
      <c r="BH16" s="147"/>
      <c r="BI16" s="147"/>
      <c r="BJ16" s="147"/>
      <c r="BK16" s="147"/>
      <c r="BL16" s="147"/>
      <c r="BM16" s="147"/>
      <c r="BN16" s="147"/>
      <c r="BO16" s="147"/>
      <c r="BP16" s="147"/>
      <c r="BQ16" s="147"/>
      <c r="BR16" s="147"/>
      <c r="BS16" s="147"/>
      <c r="BT16" s="147"/>
      <c r="BU16" s="147"/>
      <c r="BV16" s="147"/>
      <c r="BW16" s="147"/>
      <c r="BX16" s="147"/>
      <c r="BY16" s="147"/>
      <c r="BZ16" s="147"/>
      <c r="CA16" s="147"/>
      <c r="CB16" s="147"/>
      <c r="CC16" s="147"/>
      <c r="CD16" s="147"/>
      <c r="CE16" s="147"/>
      <c r="CF16" s="147"/>
      <c r="CG16" s="147"/>
      <c r="CH16" s="147"/>
      <c r="CI16" s="147"/>
      <c r="CJ16" s="147"/>
      <c r="CK16" s="147"/>
      <c r="CL16" s="147"/>
      <c r="CM16" s="147"/>
      <c r="CN16" s="147"/>
      <c r="CO16" s="147"/>
      <c r="CP16" s="147"/>
    </row>
    <row r="17" spans="1:94" s="153" customFormat="1" x14ac:dyDescent="0.25">
      <c r="A17" s="139"/>
      <c r="B17" s="139"/>
      <c r="C17" s="456" t="s">
        <v>34</v>
      </c>
      <c r="D17" s="457"/>
      <c r="E17" s="147"/>
      <c r="F17" s="258"/>
      <c r="G17" s="147"/>
      <c r="H17" s="166"/>
      <c r="I17" s="167"/>
      <c r="J17" s="166"/>
      <c r="K17" s="166"/>
      <c r="L17" s="166"/>
      <c r="M17" s="166"/>
      <c r="N17" s="166"/>
      <c r="O17"/>
      <c r="P17"/>
      <c r="Q17"/>
      <c r="R17"/>
      <c r="S17"/>
      <c r="T17"/>
      <c r="U17"/>
      <c r="V17"/>
      <c r="W17"/>
      <c r="X17"/>
      <c r="Y17"/>
      <c r="Z17" s="344"/>
      <c r="AA17" s="336"/>
      <c r="AB17" s="336"/>
      <c r="AC17" s="336"/>
      <c r="AD17" s="329"/>
      <c r="AE17" s="147"/>
      <c r="AF17" s="147"/>
      <c r="AG17" s="147"/>
      <c r="AH17" s="147"/>
      <c r="AI17" s="147"/>
      <c r="AJ17" s="147"/>
      <c r="AK17" s="147"/>
      <c r="AL17" s="147"/>
      <c r="AM17" s="147"/>
      <c r="AN17" s="147"/>
      <c r="AO17" s="147"/>
      <c r="AP17" s="147"/>
      <c r="AQ17" s="147"/>
      <c r="AR17" s="147"/>
      <c r="AS17" s="147"/>
      <c r="AT17" s="147"/>
      <c r="AU17" s="147"/>
      <c r="AV17" s="147"/>
      <c r="AW17" s="147"/>
      <c r="AX17" s="147"/>
      <c r="AY17" s="147"/>
      <c r="AZ17" s="147"/>
      <c r="BA17" s="147"/>
      <c r="BB17" s="147"/>
      <c r="BC17" s="147"/>
      <c r="BD17" s="147"/>
      <c r="BE17" s="147"/>
      <c r="BF17" s="147"/>
      <c r="BG17" s="147"/>
      <c r="BH17" s="147"/>
      <c r="BI17" s="147"/>
      <c r="BJ17" s="147"/>
      <c r="BK17" s="147"/>
      <c r="BL17" s="147"/>
      <c r="BM17" s="147"/>
      <c r="BN17" s="147"/>
      <c r="BO17" s="147"/>
      <c r="BP17" s="147"/>
      <c r="BQ17" s="147"/>
      <c r="BR17" s="147"/>
      <c r="BS17" s="147"/>
      <c r="BT17" s="147"/>
      <c r="BU17" s="147"/>
      <c r="BV17" s="147"/>
      <c r="BW17" s="147"/>
      <c r="BX17" s="147"/>
      <c r="BY17" s="147"/>
      <c r="BZ17" s="147"/>
      <c r="CA17" s="147"/>
      <c r="CB17" s="147"/>
      <c r="CC17" s="147"/>
      <c r="CD17" s="147"/>
      <c r="CE17" s="147"/>
      <c r="CF17" s="147"/>
      <c r="CG17" s="147"/>
      <c r="CH17" s="147"/>
      <c r="CI17" s="147"/>
      <c r="CJ17" s="147"/>
      <c r="CK17" s="147"/>
      <c r="CL17" s="147"/>
      <c r="CM17" s="147"/>
      <c r="CN17" s="147"/>
      <c r="CO17" s="147"/>
      <c r="CP17" s="147"/>
    </row>
    <row r="18" spans="1:94" s="153" customFormat="1" ht="26.25" customHeight="1" x14ac:dyDescent="0.25">
      <c r="A18" s="139"/>
      <c r="B18" s="168"/>
      <c r="C18" s="458" t="s">
        <v>35</v>
      </c>
      <c r="D18" s="459"/>
      <c r="E18" s="150"/>
      <c r="F18" s="165"/>
      <c r="G18" s="166"/>
      <c r="H18" s="169"/>
      <c r="I18" s="166"/>
      <c r="J18" s="166"/>
      <c r="K18" s="166"/>
      <c r="L18" s="166"/>
      <c r="M18" s="166"/>
      <c r="N18" s="166"/>
      <c r="O18"/>
      <c r="P18"/>
      <c r="Q18"/>
      <c r="R18"/>
      <c r="S18"/>
      <c r="T18"/>
      <c r="U18"/>
      <c r="V18"/>
      <c r="W18"/>
      <c r="X18"/>
      <c r="Y18"/>
      <c r="Z18" s="344"/>
      <c r="AA18" s="336"/>
      <c r="AB18" s="336"/>
      <c r="AC18" s="336"/>
      <c r="AD18" s="329"/>
      <c r="AE18" s="147"/>
      <c r="AF18" s="147"/>
      <c r="AG18" s="147"/>
      <c r="AH18" s="147"/>
      <c r="AI18" s="147"/>
      <c r="AJ18" s="147"/>
      <c r="AK18" s="147"/>
      <c r="AL18" s="147"/>
      <c r="AM18" s="147"/>
      <c r="AN18" s="147"/>
      <c r="AO18" s="147"/>
      <c r="AP18" s="147"/>
      <c r="AQ18" s="147"/>
      <c r="AR18" s="147"/>
      <c r="AS18" s="147"/>
      <c r="AT18" s="147"/>
      <c r="AU18" s="147"/>
      <c r="AV18" s="147"/>
      <c r="AW18" s="147"/>
      <c r="AX18" s="147"/>
      <c r="AY18" s="147"/>
      <c r="AZ18" s="147"/>
      <c r="BA18" s="147"/>
      <c r="BB18" s="147"/>
      <c r="BC18" s="147"/>
      <c r="BD18" s="147"/>
      <c r="BE18" s="147"/>
      <c r="BF18" s="147"/>
      <c r="BG18" s="147"/>
      <c r="BH18" s="147"/>
      <c r="BI18" s="147"/>
      <c r="BJ18" s="147"/>
      <c r="BK18" s="147"/>
      <c r="BL18" s="147"/>
      <c r="BM18" s="147"/>
      <c r="BN18" s="147"/>
      <c r="BO18" s="147"/>
      <c r="BP18" s="147"/>
      <c r="BQ18" s="147"/>
      <c r="BR18" s="147"/>
      <c r="BS18" s="147"/>
      <c r="BT18" s="147"/>
      <c r="BU18" s="147"/>
      <c r="BV18" s="147"/>
      <c r="BW18" s="147"/>
      <c r="BX18" s="147"/>
      <c r="BY18" s="147"/>
      <c r="BZ18" s="147"/>
      <c r="CA18" s="147"/>
      <c r="CB18" s="147"/>
      <c r="CC18" s="147"/>
      <c r="CD18" s="147"/>
      <c r="CE18" s="147"/>
      <c r="CF18" s="147"/>
      <c r="CG18" s="147"/>
      <c r="CH18" s="147"/>
      <c r="CI18" s="147"/>
      <c r="CJ18" s="147"/>
      <c r="CK18" s="147"/>
      <c r="CL18" s="147"/>
    </row>
    <row r="19" spans="1:94" s="153" customFormat="1" ht="25.5" x14ac:dyDescent="0.25">
      <c r="A19" s="238"/>
      <c r="B19" s="202"/>
      <c r="C19" s="239" t="s">
        <v>86</v>
      </c>
      <c r="D19" s="240" t="s">
        <v>87</v>
      </c>
      <c r="E19" s="241"/>
      <c r="F19" s="165"/>
      <c r="G19" s="166"/>
      <c r="H19" s="169"/>
      <c r="I19" s="170"/>
      <c r="J19" s="166"/>
      <c r="K19" s="166"/>
      <c r="L19" s="169"/>
      <c r="M19" s="166"/>
      <c r="N19" s="166"/>
      <c r="O19"/>
      <c r="P19"/>
      <c r="Q19"/>
      <c r="R19"/>
      <c r="S19"/>
      <c r="T19"/>
      <c r="U19"/>
      <c r="V19"/>
      <c r="W19"/>
      <c r="X19"/>
      <c r="Y19"/>
      <c r="Z19" s="344"/>
      <c r="AA19" s="337"/>
      <c r="AB19" s="337"/>
      <c r="AC19" s="337"/>
      <c r="AD19" s="329"/>
      <c r="AE19" s="147"/>
      <c r="AF19" s="147"/>
      <c r="AG19" s="147"/>
      <c r="AH19" s="147"/>
      <c r="AI19" s="147"/>
      <c r="AJ19" s="147"/>
      <c r="AK19" s="147"/>
      <c r="AL19" s="147"/>
      <c r="AM19" s="147"/>
      <c r="AN19" s="147"/>
      <c r="AO19" s="147"/>
      <c r="AP19" s="147"/>
      <c r="AQ19" s="147"/>
      <c r="AR19" s="147"/>
      <c r="AS19" s="147"/>
      <c r="AT19" s="147"/>
      <c r="AU19" s="147"/>
      <c r="AV19" s="147"/>
      <c r="AW19" s="147"/>
      <c r="AX19" s="147"/>
      <c r="AY19" s="147"/>
      <c r="AZ19" s="147"/>
      <c r="BA19" s="147"/>
      <c r="BB19" s="147"/>
      <c r="BC19" s="147"/>
      <c r="BD19" s="147"/>
      <c r="BE19" s="147"/>
      <c r="BF19" s="147"/>
      <c r="BG19" s="147"/>
      <c r="BH19" s="147"/>
      <c r="BI19" s="147"/>
      <c r="BJ19" s="147"/>
      <c r="BK19" s="147"/>
      <c r="BL19" s="147"/>
      <c r="BM19" s="147"/>
      <c r="BN19" s="147"/>
      <c r="BO19" s="147"/>
      <c r="BP19" s="147"/>
      <c r="BQ19" s="147"/>
      <c r="BR19" s="147"/>
      <c r="BS19" s="147"/>
      <c r="BT19" s="147"/>
      <c r="BU19" s="147"/>
      <c r="BV19" s="147"/>
      <c r="BW19" s="147"/>
      <c r="BX19" s="147"/>
      <c r="BY19" s="147"/>
      <c r="BZ19" s="147"/>
      <c r="CA19" s="147"/>
      <c r="CB19" s="147"/>
      <c r="CC19" s="147"/>
      <c r="CD19" s="147"/>
      <c r="CE19" s="147"/>
      <c r="CF19" s="147"/>
      <c r="CG19" s="147"/>
      <c r="CH19" s="147"/>
      <c r="CI19" s="147"/>
      <c r="CJ19" s="147"/>
      <c r="CK19" s="147"/>
      <c r="CL19" s="147"/>
      <c r="CM19" s="147"/>
      <c r="CN19" s="147"/>
      <c r="CO19" s="147"/>
      <c r="CP19" s="147"/>
    </row>
    <row r="20" spans="1:94" s="177" customFormat="1" ht="15" x14ac:dyDescent="0.25">
      <c r="A20" s="171"/>
      <c r="B20" s="172"/>
      <c r="C20" s="244"/>
      <c r="D20" s="242"/>
      <c r="E20" s="173"/>
      <c r="F20" s="174">
        <v>0</v>
      </c>
      <c r="G20" s="175">
        <v>0</v>
      </c>
      <c r="H20" s="176">
        <f t="shared" ref="H20:H30" si="0">IF(AND($F20&lt;&gt;0,$G20&lt;&gt;0,OR($E20=1,$E20=3)),$F20*Health,0)</f>
        <v>0</v>
      </c>
      <c r="I20" s="176">
        <f t="shared" ref="I20:I30" si="1">IF(AND($E20=1,$C20=""),$G20*PermVB+$G20*Retire1,IF($E20=1,$G20*PermVB+$G20*VLOOKUP($C20,Retirement_Rates,3,FALSE),IF($E20=2,$G20*GroupVB,IF(AND($E20=3,$C20=""),$G20*ElectVB+$G20*Retire1,IF($E20=3,$G20*ElectVB+$G20*VLOOKUP($C20,Retirement_Rates,3,FALSE),0)))))</f>
        <v>0</v>
      </c>
      <c r="J20" s="159">
        <f>IF($E20&gt;0,SUM($G20:$I20),0)</f>
        <v>0</v>
      </c>
      <c r="K20" s="166"/>
      <c r="L20" s="176">
        <f t="shared" ref="L20:L30" si="2">IF(AND($F20&lt;&gt;0,$G20&lt;&gt;0,OR($E20=1,$E20=3)),$F20*HealthCHG,0)</f>
        <v>0</v>
      </c>
      <c r="M20" s="176">
        <f>IF(AND($E20=1,$C20=""),$G20*PermVBCHG+$G20*Retire1CHG,IF($E20=1,$G20*PermVBCHG+$G20*VLOOKUP($C20,Retirement_Rates,5,FALSE),IF($E20=2,0,IF(AND($E20=3,$C20=""),$G20*ElectVBCHG+$G20*Retire1CHG,IF($E20=3,$G20*ElectVBCHG+$G20*VLOOKUP($C20,Retirement_Rates,5,FALSE),0)))))</f>
        <v>0</v>
      </c>
      <c r="N20" s="176">
        <f>SUM(L20:M20)</f>
        <v>0</v>
      </c>
      <c r="O20"/>
      <c r="P20"/>
      <c r="Q20"/>
      <c r="R20"/>
      <c r="S20"/>
      <c r="T20"/>
      <c r="U20"/>
      <c r="V20"/>
      <c r="W20"/>
      <c r="X20"/>
      <c r="Y20"/>
      <c r="Z20" s="344"/>
      <c r="AA20" s="337"/>
      <c r="AB20" s="337"/>
      <c r="AC20" s="337"/>
      <c r="AD20" s="329"/>
      <c r="AE20" s="147"/>
      <c r="AF20" s="147"/>
      <c r="AG20" s="147"/>
      <c r="AH20" s="147"/>
      <c r="AI20" s="147"/>
      <c r="AJ20" s="147"/>
      <c r="AK20" s="147"/>
      <c r="AL20" s="147"/>
      <c r="AM20" s="147"/>
      <c r="AN20" s="147"/>
      <c r="AO20" s="147"/>
      <c r="AP20" s="147"/>
      <c r="AQ20" s="147"/>
      <c r="AR20" s="147"/>
      <c r="AS20" s="147"/>
      <c r="AT20" s="147"/>
      <c r="AU20" s="147"/>
      <c r="AV20" s="147"/>
      <c r="AW20" s="147"/>
      <c r="AX20" s="147"/>
      <c r="AY20" s="147"/>
      <c r="AZ20" s="147"/>
      <c r="BA20" s="147"/>
      <c r="BB20" s="147"/>
      <c r="BC20" s="147"/>
      <c r="BD20" s="147"/>
      <c r="BE20" s="147"/>
      <c r="BF20" s="147"/>
      <c r="BG20" s="147"/>
      <c r="BH20" s="147"/>
      <c r="BI20" s="147"/>
      <c r="BJ20" s="147"/>
      <c r="BK20" s="147"/>
      <c r="BL20" s="147"/>
      <c r="BM20" s="147"/>
      <c r="BN20" s="147"/>
      <c r="BO20" s="147"/>
      <c r="BP20" s="147"/>
      <c r="BQ20" s="147"/>
      <c r="BR20" s="147"/>
      <c r="BS20" s="147"/>
      <c r="BT20" s="147"/>
      <c r="BU20" s="147"/>
      <c r="BV20" s="147"/>
      <c r="BW20" s="147"/>
      <c r="BX20" s="147"/>
      <c r="BY20" s="147"/>
      <c r="BZ20" s="147"/>
      <c r="CA20" s="147"/>
      <c r="CB20" s="147"/>
      <c r="CC20" s="147"/>
      <c r="CD20" s="147"/>
      <c r="CE20" s="147"/>
      <c r="CF20" s="147"/>
      <c r="CG20" s="147"/>
      <c r="CH20" s="147"/>
      <c r="CI20" s="147"/>
      <c r="CJ20" s="147"/>
      <c r="CK20" s="147"/>
      <c r="CL20" s="147"/>
      <c r="CM20" s="147"/>
      <c r="CN20" s="147"/>
      <c r="CO20" s="147"/>
      <c r="CP20" s="147"/>
    </row>
    <row r="21" spans="1:94" s="177" customFormat="1" ht="15" x14ac:dyDescent="0.25">
      <c r="A21" s="178"/>
      <c r="B21" s="179"/>
      <c r="C21" s="244"/>
      <c r="D21" s="242"/>
      <c r="E21" s="180"/>
      <c r="F21" s="181">
        <v>0</v>
      </c>
      <c r="G21" s="175">
        <v>0</v>
      </c>
      <c r="H21" s="176">
        <f t="shared" si="0"/>
        <v>0</v>
      </c>
      <c r="I21" s="176">
        <f t="shared" si="1"/>
        <v>0</v>
      </c>
      <c r="J21" s="159">
        <f t="shared" ref="J21:J35" si="3">IF($E21&gt;0,SUM($G21:$I21),0)</f>
        <v>0</v>
      </c>
      <c r="K21" s="166"/>
      <c r="L21" s="176">
        <f t="shared" si="2"/>
        <v>0</v>
      </c>
      <c r="M21" s="176">
        <f t="shared" ref="M21:M30" si="4">IF(AND($E21=1,$C21=""),$G21*PermVBCHG+$G21*Retire1CHG,IF($E21=1,$G21*PermVBCHG+$G21*VLOOKUP($C21,Retirement_Rates,5,FALSE),IF($E21=2,0,IF(AND($E21=3,$C21=""),$G21*ElectVBCHG+$G21*Retire1CHG,IF($E21=3,$G21*ElectVBCHG+$G21*VLOOKUP($C21,Retirement_Rates,5,FALSE),0)))))</f>
        <v>0</v>
      </c>
      <c r="N21" s="183">
        <f t="shared" ref="N21:N30" si="5">SUM(L21:M21)</f>
        <v>0</v>
      </c>
      <c r="O21"/>
      <c r="P21"/>
      <c r="Q21"/>
      <c r="R21"/>
      <c r="S21"/>
      <c r="T21"/>
      <c r="U21"/>
      <c r="V21"/>
      <c r="W21"/>
      <c r="X21"/>
      <c r="Y21"/>
      <c r="Z21" s="344"/>
      <c r="AA21" s="337"/>
      <c r="AB21" s="337"/>
      <c r="AC21" s="337"/>
      <c r="AD21" s="329"/>
      <c r="AE21" s="147"/>
      <c r="AF21" s="147"/>
      <c r="AG21" s="147"/>
      <c r="AH21" s="147"/>
      <c r="AI21" s="147"/>
      <c r="AJ21" s="147"/>
      <c r="AK21" s="147"/>
      <c r="AL21" s="147"/>
      <c r="AM21" s="147"/>
      <c r="AN21" s="147"/>
      <c r="AO21" s="147"/>
      <c r="AP21" s="147"/>
      <c r="AQ21" s="147"/>
      <c r="AR21" s="147"/>
      <c r="AS21" s="147"/>
      <c r="AT21" s="147"/>
      <c r="AU21" s="147"/>
      <c r="AV21" s="147"/>
      <c r="AW21" s="147"/>
      <c r="AX21" s="147"/>
      <c r="AY21" s="147"/>
      <c r="AZ21" s="147"/>
      <c r="BA21" s="147"/>
      <c r="BB21" s="147"/>
      <c r="BC21" s="147"/>
      <c r="BD21" s="147"/>
      <c r="BE21" s="147"/>
      <c r="BF21" s="147"/>
      <c r="BG21" s="147"/>
      <c r="BH21" s="147"/>
      <c r="BI21" s="147"/>
      <c r="BJ21" s="147"/>
      <c r="BK21" s="147"/>
      <c r="BL21" s="147"/>
      <c r="BM21" s="147"/>
      <c r="BN21" s="147"/>
      <c r="BO21" s="147"/>
      <c r="BP21" s="147"/>
      <c r="BQ21" s="147"/>
      <c r="BR21" s="147"/>
      <c r="BS21" s="147"/>
      <c r="BT21" s="147"/>
      <c r="BU21" s="147"/>
      <c r="BV21" s="147"/>
      <c r="BW21" s="147"/>
      <c r="BX21" s="147"/>
      <c r="BY21" s="147"/>
      <c r="BZ21" s="147"/>
      <c r="CA21" s="147"/>
      <c r="CB21" s="147"/>
      <c r="CC21" s="147"/>
      <c r="CD21" s="147"/>
      <c r="CE21" s="147"/>
      <c r="CF21" s="147"/>
      <c r="CG21" s="147"/>
      <c r="CH21" s="147"/>
      <c r="CI21" s="147"/>
      <c r="CJ21" s="147"/>
      <c r="CK21" s="147"/>
      <c r="CL21" s="147"/>
      <c r="CM21" s="147"/>
      <c r="CN21" s="147"/>
      <c r="CO21" s="147"/>
      <c r="CP21" s="147"/>
    </row>
    <row r="22" spans="1:94" s="177" customFormat="1" ht="15" x14ac:dyDescent="0.25">
      <c r="A22" s="178"/>
      <c r="B22" s="179"/>
      <c r="C22" s="244"/>
      <c r="D22" s="242"/>
      <c r="E22" s="180"/>
      <c r="F22" s="181">
        <v>0</v>
      </c>
      <c r="G22" s="175">
        <v>0</v>
      </c>
      <c r="H22" s="176">
        <f t="shared" si="0"/>
        <v>0</v>
      </c>
      <c r="I22" s="176">
        <f t="shared" si="1"/>
        <v>0</v>
      </c>
      <c r="J22" s="159">
        <f t="shared" si="3"/>
        <v>0</v>
      </c>
      <c r="K22" s="166"/>
      <c r="L22" s="176">
        <f t="shared" si="2"/>
        <v>0</v>
      </c>
      <c r="M22" s="176">
        <f t="shared" si="4"/>
        <v>0</v>
      </c>
      <c r="N22" s="183">
        <f t="shared" si="5"/>
        <v>0</v>
      </c>
      <c r="O22"/>
      <c r="P22"/>
      <c r="Q22"/>
      <c r="R22"/>
      <c r="S22"/>
      <c r="T22"/>
      <c r="U22"/>
      <c r="V22"/>
      <c r="W22"/>
      <c r="X22"/>
      <c r="Y22"/>
      <c r="Z22" s="344"/>
      <c r="AA22" s="337"/>
      <c r="AB22" s="337"/>
      <c r="AC22" s="337"/>
      <c r="AD22" s="329"/>
      <c r="AE22" s="147"/>
      <c r="AF22" s="147"/>
      <c r="AG22" s="147"/>
      <c r="AH22" s="147"/>
      <c r="AI22" s="147"/>
      <c r="AJ22" s="147"/>
      <c r="AK22" s="147"/>
      <c r="AL22" s="147"/>
      <c r="AM22" s="147"/>
      <c r="AN22" s="147"/>
      <c r="AO22" s="147"/>
      <c r="AP22" s="147"/>
      <c r="AQ22" s="147"/>
      <c r="AR22" s="147"/>
      <c r="AS22" s="147"/>
      <c r="AT22" s="147"/>
      <c r="AU22" s="147"/>
      <c r="AV22" s="147"/>
      <c r="AW22" s="147"/>
      <c r="AX22" s="147"/>
      <c r="AY22" s="147"/>
      <c r="AZ22" s="147"/>
      <c r="BA22" s="147"/>
      <c r="BB22" s="147"/>
      <c r="BC22" s="147"/>
      <c r="BD22" s="147"/>
      <c r="BE22" s="147"/>
      <c r="BF22" s="147"/>
      <c r="BG22" s="147"/>
      <c r="BH22" s="147"/>
      <c r="BI22" s="147"/>
      <c r="BJ22" s="147"/>
      <c r="BK22" s="147"/>
      <c r="BL22" s="147"/>
      <c r="BM22" s="147"/>
      <c r="BN22" s="147"/>
      <c r="BO22" s="147"/>
      <c r="BP22" s="147"/>
      <c r="BQ22" s="147"/>
      <c r="BR22" s="147"/>
      <c r="BS22" s="147"/>
      <c r="BT22" s="147"/>
      <c r="BU22" s="147"/>
      <c r="BV22" s="147"/>
      <c r="BW22" s="147"/>
      <c r="BX22" s="147"/>
      <c r="BY22" s="147"/>
      <c r="BZ22" s="147"/>
      <c r="CA22" s="147"/>
      <c r="CB22" s="147"/>
      <c r="CC22" s="147"/>
      <c r="CD22" s="147"/>
      <c r="CE22" s="147"/>
      <c r="CF22" s="147"/>
      <c r="CG22" s="147"/>
      <c r="CH22" s="147"/>
      <c r="CI22" s="147"/>
      <c r="CJ22" s="147"/>
      <c r="CK22" s="147"/>
      <c r="CL22" s="147"/>
      <c r="CM22" s="147"/>
      <c r="CN22" s="147"/>
      <c r="CO22" s="147"/>
      <c r="CP22" s="147"/>
    </row>
    <row r="23" spans="1:94" s="177" customFormat="1" ht="15" x14ac:dyDescent="0.25">
      <c r="A23" s="178"/>
      <c r="B23" s="179"/>
      <c r="C23" s="244"/>
      <c r="D23" s="242"/>
      <c r="E23" s="180"/>
      <c r="F23" s="181">
        <v>0</v>
      </c>
      <c r="G23" s="175">
        <v>0</v>
      </c>
      <c r="H23" s="176">
        <f t="shared" si="0"/>
        <v>0</v>
      </c>
      <c r="I23" s="176">
        <f t="shared" si="1"/>
        <v>0</v>
      </c>
      <c r="J23" s="159">
        <f t="shared" si="3"/>
        <v>0</v>
      </c>
      <c r="K23" s="166"/>
      <c r="L23" s="176">
        <f t="shared" si="2"/>
        <v>0</v>
      </c>
      <c r="M23" s="176">
        <f t="shared" si="4"/>
        <v>0</v>
      </c>
      <c r="N23" s="183">
        <f t="shared" si="5"/>
        <v>0</v>
      </c>
      <c r="O23"/>
      <c r="P23"/>
      <c r="Q23"/>
      <c r="R23"/>
      <c r="S23"/>
      <c r="T23"/>
      <c r="U23"/>
      <c r="V23"/>
      <c r="W23"/>
      <c r="X23"/>
      <c r="Y23"/>
      <c r="Z23" s="344"/>
      <c r="AA23" s="337"/>
      <c r="AB23" s="337"/>
      <c r="AC23" s="337"/>
      <c r="AD23" s="329"/>
      <c r="AE23" s="147"/>
      <c r="AF23" s="147"/>
      <c r="AG23" s="147"/>
      <c r="AH23" s="147"/>
      <c r="AI23" s="147"/>
      <c r="AJ23" s="147"/>
      <c r="AK23" s="147"/>
      <c r="AL23" s="147"/>
      <c r="AM23" s="147"/>
      <c r="AN23" s="147"/>
      <c r="AO23" s="147"/>
      <c r="AP23" s="147"/>
      <c r="AQ23" s="147"/>
      <c r="AR23" s="147"/>
      <c r="AS23" s="147"/>
      <c r="AT23" s="147"/>
      <c r="AU23" s="147"/>
      <c r="AV23" s="147"/>
      <c r="AW23" s="147"/>
      <c r="AX23" s="147"/>
      <c r="AY23" s="147"/>
      <c r="AZ23" s="147"/>
      <c r="BA23" s="147"/>
      <c r="BB23" s="147"/>
      <c r="BC23" s="147"/>
      <c r="BD23" s="147"/>
      <c r="BE23" s="147"/>
      <c r="BF23" s="147"/>
      <c r="BG23" s="147"/>
      <c r="BH23" s="147"/>
      <c r="BI23" s="147"/>
      <c r="BJ23" s="147"/>
      <c r="BK23" s="147"/>
      <c r="BL23" s="147"/>
      <c r="BM23" s="147"/>
      <c r="BN23" s="147"/>
      <c r="BO23" s="147"/>
      <c r="BP23" s="147"/>
      <c r="BQ23" s="147"/>
      <c r="BR23" s="147"/>
      <c r="BS23" s="147"/>
      <c r="BT23" s="147"/>
      <c r="BU23" s="147"/>
      <c r="BV23" s="147"/>
      <c r="BW23" s="147"/>
      <c r="BX23" s="147"/>
      <c r="BY23" s="147"/>
      <c r="BZ23" s="147"/>
      <c r="CA23" s="147"/>
      <c r="CB23" s="147"/>
      <c r="CC23" s="147"/>
      <c r="CD23" s="147"/>
      <c r="CE23" s="147"/>
      <c r="CF23" s="147"/>
      <c r="CG23" s="147"/>
      <c r="CH23" s="147"/>
      <c r="CI23" s="147"/>
      <c r="CJ23" s="147"/>
      <c r="CK23" s="147"/>
      <c r="CL23" s="147"/>
      <c r="CM23" s="147"/>
      <c r="CN23" s="147"/>
      <c r="CO23" s="147"/>
      <c r="CP23" s="147"/>
    </row>
    <row r="24" spans="1:94" s="177" customFormat="1" ht="15" x14ac:dyDescent="0.25">
      <c r="A24" s="178"/>
      <c r="B24" s="179"/>
      <c r="C24" s="244"/>
      <c r="D24" s="242"/>
      <c r="E24" s="180"/>
      <c r="F24" s="181">
        <v>0</v>
      </c>
      <c r="G24" s="175">
        <v>0</v>
      </c>
      <c r="H24" s="176">
        <f t="shared" si="0"/>
        <v>0</v>
      </c>
      <c r="I24" s="176">
        <f t="shared" si="1"/>
        <v>0</v>
      </c>
      <c r="J24" s="159">
        <f t="shared" si="3"/>
        <v>0</v>
      </c>
      <c r="K24" s="166"/>
      <c r="L24" s="176">
        <f t="shared" si="2"/>
        <v>0</v>
      </c>
      <c r="M24" s="176">
        <f t="shared" si="4"/>
        <v>0</v>
      </c>
      <c r="N24" s="183">
        <f t="shared" si="5"/>
        <v>0</v>
      </c>
      <c r="O24"/>
      <c r="P24"/>
      <c r="Q24"/>
      <c r="R24"/>
      <c r="S24"/>
      <c r="T24"/>
      <c r="U24"/>
      <c r="V24"/>
      <c r="W24"/>
      <c r="X24"/>
      <c r="Y24"/>
      <c r="Z24" s="344"/>
      <c r="AA24" s="345"/>
      <c r="AB24" s="337"/>
      <c r="AC24" s="337"/>
      <c r="AD24" s="329"/>
      <c r="AE24" s="147"/>
      <c r="AF24" s="147"/>
      <c r="AG24" s="147"/>
      <c r="AH24" s="147"/>
      <c r="AI24" s="147"/>
      <c r="AJ24" s="147"/>
      <c r="AK24" s="147"/>
      <c r="AL24" s="147"/>
      <c r="AM24" s="147"/>
      <c r="AN24" s="147"/>
      <c r="AO24" s="147"/>
      <c r="AP24" s="147"/>
      <c r="AQ24" s="147"/>
      <c r="AR24" s="147"/>
      <c r="AS24" s="147"/>
      <c r="AT24" s="147"/>
      <c r="AU24" s="147"/>
      <c r="AV24" s="147"/>
      <c r="AW24" s="147"/>
      <c r="AX24" s="147"/>
      <c r="AY24" s="147"/>
      <c r="AZ24" s="147"/>
      <c r="BA24" s="147"/>
      <c r="BB24" s="147"/>
      <c r="BC24" s="147"/>
      <c r="BD24" s="147"/>
      <c r="BE24" s="147"/>
      <c r="BF24" s="147"/>
      <c r="BG24" s="147"/>
      <c r="BH24" s="147"/>
      <c r="BI24" s="147"/>
      <c r="BJ24" s="147"/>
      <c r="BK24" s="147"/>
      <c r="BL24" s="147"/>
      <c r="BM24" s="147"/>
      <c r="BN24" s="147"/>
      <c r="BO24" s="147"/>
      <c r="BP24" s="147"/>
      <c r="BQ24" s="147"/>
      <c r="BR24" s="147"/>
      <c r="BS24" s="147"/>
      <c r="BT24" s="147"/>
      <c r="BU24" s="147"/>
      <c r="BV24" s="147"/>
      <c r="BW24" s="147"/>
      <c r="BX24" s="147"/>
      <c r="BY24" s="147"/>
      <c r="BZ24" s="147"/>
      <c r="CA24" s="147"/>
      <c r="CB24" s="147"/>
      <c r="CC24" s="147"/>
      <c r="CD24" s="147"/>
      <c r="CE24" s="147"/>
      <c r="CF24" s="147"/>
      <c r="CG24" s="147"/>
      <c r="CH24" s="147"/>
      <c r="CI24" s="147"/>
      <c r="CJ24" s="147"/>
      <c r="CK24" s="147"/>
      <c r="CL24" s="147"/>
      <c r="CM24" s="147"/>
      <c r="CN24" s="147"/>
      <c r="CO24" s="147"/>
      <c r="CP24" s="147"/>
    </row>
    <row r="25" spans="1:94" s="177" customFormat="1" ht="15" x14ac:dyDescent="0.25">
      <c r="A25" s="178"/>
      <c r="B25" s="179"/>
      <c r="C25" s="244"/>
      <c r="D25" s="242"/>
      <c r="E25" s="180"/>
      <c r="F25" s="181">
        <v>0</v>
      </c>
      <c r="G25" s="182">
        <v>0</v>
      </c>
      <c r="H25" s="176">
        <f t="shared" si="0"/>
        <v>0</v>
      </c>
      <c r="I25" s="176">
        <f t="shared" si="1"/>
        <v>0</v>
      </c>
      <c r="J25" s="159">
        <f t="shared" si="3"/>
        <v>0</v>
      </c>
      <c r="K25" s="166"/>
      <c r="L25" s="176">
        <f t="shared" si="2"/>
        <v>0</v>
      </c>
      <c r="M25" s="176">
        <f t="shared" si="4"/>
        <v>0</v>
      </c>
      <c r="N25" s="183">
        <f t="shared" si="5"/>
        <v>0</v>
      </c>
      <c r="O25"/>
      <c r="P25"/>
      <c r="Q25"/>
      <c r="R25"/>
      <c r="S25"/>
      <c r="T25"/>
      <c r="U25"/>
      <c r="V25"/>
      <c r="W25"/>
      <c r="X25"/>
      <c r="Y25"/>
      <c r="Z25" s="344"/>
      <c r="AA25" s="345"/>
      <c r="AB25" s="337"/>
      <c r="AC25" s="337"/>
      <c r="AD25" s="329"/>
      <c r="AE25" s="147"/>
      <c r="AF25" s="147"/>
      <c r="AG25" s="147"/>
      <c r="AH25" s="147"/>
      <c r="AI25" s="147"/>
      <c r="AJ25" s="147"/>
      <c r="AK25" s="147"/>
      <c r="AL25" s="147"/>
      <c r="AM25" s="147"/>
      <c r="AN25" s="147"/>
      <c r="AO25" s="147"/>
      <c r="AP25" s="147"/>
      <c r="AQ25" s="147"/>
      <c r="AR25" s="147"/>
      <c r="AS25" s="147"/>
      <c r="AT25" s="147"/>
      <c r="AU25" s="147"/>
      <c r="AV25" s="147"/>
      <c r="AW25" s="147"/>
      <c r="AX25" s="147"/>
      <c r="AY25" s="147"/>
      <c r="AZ25" s="147"/>
      <c r="BA25" s="147"/>
      <c r="BB25" s="147"/>
      <c r="BC25" s="147"/>
      <c r="BD25" s="147"/>
      <c r="BE25" s="147"/>
      <c r="BF25" s="147"/>
      <c r="BG25" s="147"/>
      <c r="BH25" s="147"/>
      <c r="BI25" s="147"/>
      <c r="BJ25" s="147"/>
      <c r="BK25" s="147"/>
      <c r="BL25" s="147"/>
      <c r="BM25" s="147"/>
      <c r="BN25" s="147"/>
      <c r="BO25" s="147"/>
      <c r="BP25" s="147"/>
      <c r="BQ25" s="147"/>
      <c r="BR25" s="147"/>
      <c r="BS25" s="147"/>
      <c r="BT25" s="147"/>
      <c r="BU25" s="147"/>
      <c r="BV25" s="147"/>
      <c r="BW25" s="147"/>
      <c r="BX25" s="147"/>
      <c r="BY25" s="147"/>
      <c r="BZ25" s="147"/>
      <c r="CA25" s="147"/>
      <c r="CB25" s="147"/>
      <c r="CC25" s="147"/>
      <c r="CD25" s="147"/>
      <c r="CE25" s="147"/>
      <c r="CF25" s="147"/>
      <c r="CG25" s="147"/>
      <c r="CH25" s="147"/>
      <c r="CI25" s="147"/>
      <c r="CJ25" s="147"/>
      <c r="CK25" s="147"/>
      <c r="CL25" s="147"/>
      <c r="CM25" s="147"/>
      <c r="CN25" s="147"/>
      <c r="CO25" s="147"/>
      <c r="CP25" s="147"/>
    </row>
    <row r="26" spans="1:94" s="177" customFormat="1" ht="15" x14ac:dyDescent="0.25">
      <c r="A26" s="178"/>
      <c r="B26" s="179"/>
      <c r="C26" s="244"/>
      <c r="D26" s="242"/>
      <c r="E26" s="180"/>
      <c r="F26" s="181">
        <v>0</v>
      </c>
      <c r="G26" s="182">
        <v>0</v>
      </c>
      <c r="H26" s="176">
        <f t="shared" si="0"/>
        <v>0</v>
      </c>
      <c r="I26" s="176">
        <f t="shared" si="1"/>
        <v>0</v>
      </c>
      <c r="J26" s="159">
        <f t="shared" si="3"/>
        <v>0</v>
      </c>
      <c r="K26" s="166"/>
      <c r="L26" s="176">
        <f t="shared" si="2"/>
        <v>0</v>
      </c>
      <c r="M26" s="176">
        <f t="shared" si="4"/>
        <v>0</v>
      </c>
      <c r="N26" s="183">
        <f t="shared" si="5"/>
        <v>0</v>
      </c>
      <c r="O26"/>
      <c r="P26"/>
      <c r="Q26"/>
      <c r="R26"/>
      <c r="S26"/>
      <c r="T26"/>
      <c r="U26"/>
      <c r="V26"/>
      <c r="W26"/>
      <c r="X26"/>
      <c r="Y26"/>
      <c r="Z26" s="344"/>
      <c r="AA26" s="345"/>
      <c r="AB26" s="337"/>
      <c r="AC26" s="337"/>
      <c r="AD26" s="329"/>
      <c r="AE26" s="147"/>
      <c r="AF26" s="147"/>
      <c r="AG26" s="147"/>
      <c r="AH26" s="147"/>
      <c r="AI26" s="147"/>
      <c r="AJ26" s="147"/>
      <c r="AK26" s="147"/>
      <c r="AL26" s="147"/>
      <c r="AM26" s="147"/>
      <c r="AN26" s="147"/>
      <c r="AO26" s="147"/>
      <c r="AP26" s="147"/>
      <c r="AQ26" s="147"/>
      <c r="AR26" s="147"/>
      <c r="AS26" s="147"/>
      <c r="AT26" s="147"/>
      <c r="AU26" s="147"/>
      <c r="AV26" s="147"/>
      <c r="AW26" s="147"/>
      <c r="AX26" s="147"/>
      <c r="AY26" s="147"/>
      <c r="AZ26" s="147"/>
      <c r="BA26" s="147"/>
      <c r="BB26" s="147"/>
      <c r="BC26" s="147"/>
      <c r="BD26" s="147"/>
      <c r="BE26" s="147"/>
      <c r="BF26" s="147"/>
      <c r="BG26" s="147"/>
      <c r="BH26" s="147"/>
      <c r="BI26" s="147"/>
      <c r="BJ26" s="147"/>
      <c r="BK26" s="147"/>
      <c r="BL26" s="147"/>
      <c r="BM26" s="147"/>
      <c r="BN26" s="147"/>
      <c r="BO26" s="147"/>
      <c r="BP26" s="147"/>
      <c r="BQ26" s="147"/>
      <c r="BR26" s="147"/>
      <c r="BS26" s="147"/>
      <c r="BT26" s="147"/>
      <c r="BU26" s="147"/>
      <c r="BV26" s="147"/>
      <c r="BW26" s="147"/>
      <c r="BX26" s="147"/>
      <c r="BY26" s="147"/>
      <c r="BZ26" s="147"/>
      <c r="CA26" s="147"/>
      <c r="CB26" s="147"/>
      <c r="CC26" s="147"/>
      <c r="CD26" s="147"/>
      <c r="CE26" s="147"/>
      <c r="CF26" s="147"/>
      <c r="CG26" s="147"/>
      <c r="CH26" s="147"/>
      <c r="CI26" s="147"/>
      <c r="CJ26" s="147"/>
      <c r="CK26" s="147"/>
      <c r="CL26" s="147"/>
      <c r="CM26" s="147"/>
      <c r="CN26" s="147"/>
      <c r="CO26" s="147"/>
      <c r="CP26" s="147"/>
    </row>
    <row r="27" spans="1:94" s="177" customFormat="1" ht="15" x14ac:dyDescent="0.25">
      <c r="A27" s="178"/>
      <c r="B27" s="179"/>
      <c r="C27" s="244"/>
      <c r="D27" s="242"/>
      <c r="E27" s="180"/>
      <c r="F27" s="181">
        <v>0</v>
      </c>
      <c r="G27" s="182">
        <v>0</v>
      </c>
      <c r="H27" s="176">
        <f t="shared" si="0"/>
        <v>0</v>
      </c>
      <c r="I27" s="176">
        <f t="shared" si="1"/>
        <v>0</v>
      </c>
      <c r="J27" s="159">
        <f t="shared" si="3"/>
        <v>0</v>
      </c>
      <c r="K27" s="166"/>
      <c r="L27" s="176">
        <f t="shared" si="2"/>
        <v>0</v>
      </c>
      <c r="M27" s="176">
        <f t="shared" si="4"/>
        <v>0</v>
      </c>
      <c r="N27" s="183">
        <f t="shared" si="5"/>
        <v>0</v>
      </c>
      <c r="O27"/>
      <c r="P27"/>
      <c r="Q27"/>
      <c r="R27"/>
      <c r="S27"/>
      <c r="T27"/>
      <c r="U27"/>
      <c r="V27"/>
      <c r="W27"/>
      <c r="X27"/>
      <c r="Y27"/>
      <c r="Z27" s="344"/>
      <c r="AA27" s="337"/>
      <c r="AB27" s="337"/>
      <c r="AC27" s="337"/>
      <c r="AD27" s="329"/>
      <c r="AE27" s="147"/>
      <c r="AF27" s="147"/>
      <c r="AG27" s="147"/>
      <c r="AH27" s="147"/>
      <c r="AI27" s="147"/>
      <c r="AJ27" s="147"/>
      <c r="AK27" s="147"/>
      <c r="AL27" s="147"/>
      <c r="AM27" s="147"/>
      <c r="AN27" s="147"/>
      <c r="AO27" s="147"/>
      <c r="AP27" s="147"/>
      <c r="AQ27" s="147"/>
      <c r="AR27" s="147"/>
      <c r="AS27" s="147"/>
      <c r="AT27" s="147"/>
      <c r="AU27" s="147"/>
      <c r="AV27" s="147"/>
      <c r="AW27" s="147"/>
      <c r="AX27" s="147"/>
      <c r="AY27" s="147"/>
      <c r="AZ27" s="147"/>
      <c r="BA27" s="147"/>
      <c r="BB27" s="147"/>
      <c r="BC27" s="147"/>
      <c r="BD27" s="147"/>
      <c r="BE27" s="147"/>
      <c r="BF27" s="147"/>
      <c r="BG27" s="147"/>
      <c r="BH27" s="147"/>
      <c r="BI27" s="147"/>
      <c r="BJ27" s="147"/>
      <c r="BK27" s="147"/>
      <c r="BL27" s="147"/>
      <c r="BM27" s="147"/>
      <c r="BN27" s="147"/>
      <c r="BO27" s="147"/>
      <c r="BP27" s="147"/>
      <c r="BQ27" s="147"/>
      <c r="BR27" s="147"/>
      <c r="BS27" s="147"/>
      <c r="BT27" s="147"/>
      <c r="BU27" s="147"/>
      <c r="BV27" s="147"/>
      <c r="BW27" s="147"/>
      <c r="BX27" s="147"/>
      <c r="BY27" s="147"/>
      <c r="BZ27" s="147"/>
      <c r="CA27" s="147"/>
      <c r="CB27" s="147"/>
      <c r="CC27" s="147"/>
      <c r="CD27" s="147"/>
      <c r="CE27" s="147"/>
      <c r="CF27" s="147"/>
      <c r="CG27" s="147"/>
      <c r="CH27" s="147"/>
      <c r="CI27" s="147"/>
      <c r="CJ27" s="147"/>
      <c r="CK27" s="147"/>
      <c r="CL27" s="147"/>
      <c r="CM27" s="147"/>
      <c r="CN27" s="147"/>
      <c r="CO27" s="147"/>
      <c r="CP27" s="147"/>
    </row>
    <row r="28" spans="1:94" s="177" customFormat="1" ht="15" x14ac:dyDescent="0.25">
      <c r="A28" s="178"/>
      <c r="B28" s="179"/>
      <c r="C28" s="244"/>
      <c r="D28" s="242"/>
      <c r="E28" s="180"/>
      <c r="F28" s="181">
        <v>0</v>
      </c>
      <c r="G28" s="182">
        <v>0</v>
      </c>
      <c r="H28" s="176">
        <f t="shared" si="0"/>
        <v>0</v>
      </c>
      <c r="I28" s="176">
        <f t="shared" si="1"/>
        <v>0</v>
      </c>
      <c r="J28" s="159">
        <f t="shared" si="3"/>
        <v>0</v>
      </c>
      <c r="K28" s="166"/>
      <c r="L28" s="176">
        <f t="shared" si="2"/>
        <v>0</v>
      </c>
      <c r="M28" s="176">
        <f t="shared" si="4"/>
        <v>0</v>
      </c>
      <c r="N28" s="183">
        <f t="shared" si="5"/>
        <v>0</v>
      </c>
      <c r="O28"/>
      <c r="P28"/>
      <c r="Q28"/>
      <c r="R28"/>
      <c r="S28"/>
      <c r="T28"/>
      <c r="U28"/>
      <c r="V28"/>
      <c r="W28"/>
      <c r="X28"/>
      <c r="Y28"/>
      <c r="Z28" s="344"/>
      <c r="AA28" s="337"/>
      <c r="AB28" s="337"/>
      <c r="AC28" s="337"/>
      <c r="AD28" s="329"/>
      <c r="AE28" s="147"/>
      <c r="AF28" s="147"/>
      <c r="AG28" s="147"/>
      <c r="AH28" s="147"/>
      <c r="AI28" s="147"/>
      <c r="AJ28" s="147"/>
      <c r="AK28" s="147"/>
      <c r="AL28" s="147"/>
      <c r="AM28" s="147"/>
      <c r="AN28" s="147"/>
      <c r="AO28" s="147"/>
      <c r="AP28" s="147"/>
      <c r="AQ28" s="147"/>
      <c r="AR28" s="147"/>
      <c r="AS28" s="147"/>
      <c r="AT28" s="147"/>
      <c r="AU28" s="147"/>
      <c r="AV28" s="147"/>
      <c r="AW28" s="147"/>
      <c r="AX28" s="147"/>
      <c r="AY28" s="147"/>
      <c r="AZ28" s="147"/>
      <c r="BA28" s="147"/>
      <c r="BB28" s="147"/>
      <c r="BC28" s="147"/>
      <c r="BD28" s="147"/>
      <c r="BE28" s="147"/>
      <c r="BF28" s="147"/>
      <c r="BG28" s="147"/>
      <c r="BH28" s="147"/>
      <c r="BI28" s="147"/>
      <c r="BJ28" s="147"/>
      <c r="BK28" s="147"/>
      <c r="BL28" s="147"/>
      <c r="BM28" s="147"/>
      <c r="BN28" s="147"/>
      <c r="BO28" s="147"/>
      <c r="BP28" s="147"/>
      <c r="BQ28" s="147"/>
      <c r="BR28" s="147"/>
      <c r="BS28" s="147"/>
      <c r="BT28" s="147"/>
      <c r="BU28" s="147"/>
      <c r="BV28" s="147"/>
      <c r="BW28" s="147"/>
      <c r="BX28" s="147"/>
      <c r="BY28" s="147"/>
      <c r="BZ28" s="147"/>
      <c r="CA28" s="147"/>
      <c r="CB28" s="147"/>
      <c r="CC28" s="147"/>
      <c r="CD28" s="147"/>
      <c r="CE28" s="147"/>
      <c r="CF28" s="147"/>
      <c r="CG28" s="147"/>
      <c r="CH28" s="147"/>
      <c r="CI28" s="147"/>
      <c r="CJ28" s="147"/>
      <c r="CK28" s="147"/>
      <c r="CL28" s="147"/>
      <c r="CM28" s="147"/>
      <c r="CN28" s="147"/>
      <c r="CO28" s="147"/>
      <c r="CP28" s="147"/>
    </row>
    <row r="29" spans="1:94" s="177" customFormat="1" ht="15" x14ac:dyDescent="0.25">
      <c r="A29" s="179"/>
      <c r="B29" s="179"/>
      <c r="C29" s="171"/>
      <c r="D29" s="243"/>
      <c r="E29" s="180"/>
      <c r="F29" s="181">
        <v>0</v>
      </c>
      <c r="G29" s="182">
        <v>0</v>
      </c>
      <c r="H29" s="176">
        <f t="shared" si="0"/>
        <v>0</v>
      </c>
      <c r="I29" s="176">
        <f t="shared" si="1"/>
        <v>0</v>
      </c>
      <c r="J29" s="159">
        <f t="shared" si="3"/>
        <v>0</v>
      </c>
      <c r="K29" s="166"/>
      <c r="L29" s="176">
        <f t="shared" si="2"/>
        <v>0</v>
      </c>
      <c r="M29" s="176">
        <f t="shared" si="4"/>
        <v>0</v>
      </c>
      <c r="N29" s="183">
        <f t="shared" si="5"/>
        <v>0</v>
      </c>
      <c r="O29"/>
      <c r="P29"/>
      <c r="Q29"/>
      <c r="R29"/>
      <c r="S29"/>
      <c r="T29"/>
      <c r="U29"/>
      <c r="V29"/>
      <c r="W29"/>
      <c r="X29"/>
      <c r="Y29"/>
      <c r="Z29" s="344"/>
      <c r="AA29" s="337"/>
      <c r="AB29" s="337"/>
      <c r="AC29" s="337"/>
      <c r="AD29" s="329"/>
      <c r="AE29" s="147"/>
      <c r="AF29" s="147"/>
      <c r="AG29" s="147"/>
      <c r="AH29" s="147"/>
      <c r="AI29" s="147"/>
      <c r="AJ29" s="147"/>
      <c r="AK29" s="147"/>
      <c r="AL29" s="147"/>
      <c r="AM29" s="147"/>
      <c r="AN29" s="147"/>
      <c r="AO29" s="147"/>
      <c r="AP29" s="147"/>
      <c r="AQ29" s="147"/>
      <c r="AR29" s="147"/>
      <c r="AS29" s="147"/>
      <c r="AT29" s="147"/>
      <c r="AU29" s="147"/>
      <c r="AV29" s="147"/>
      <c r="AW29" s="147"/>
      <c r="AX29" s="147"/>
      <c r="AY29" s="147"/>
      <c r="AZ29" s="147"/>
      <c r="BA29" s="147"/>
      <c r="BB29" s="147"/>
      <c r="BC29" s="147"/>
      <c r="BD29" s="147"/>
      <c r="BE29" s="147"/>
      <c r="BF29" s="147"/>
      <c r="BG29" s="147"/>
      <c r="BH29" s="147"/>
      <c r="BI29" s="147"/>
      <c r="BJ29" s="147"/>
      <c r="BK29" s="147"/>
      <c r="BL29" s="147"/>
      <c r="BM29" s="147"/>
      <c r="BN29" s="147"/>
      <c r="BO29" s="147"/>
      <c r="BP29" s="147"/>
      <c r="BQ29" s="147"/>
      <c r="BR29" s="147"/>
      <c r="BS29" s="147"/>
      <c r="BT29" s="147"/>
      <c r="BU29" s="147"/>
      <c r="BV29" s="147"/>
      <c r="BW29" s="147"/>
      <c r="BX29" s="147"/>
      <c r="BY29" s="147"/>
      <c r="BZ29" s="147"/>
      <c r="CA29" s="147"/>
      <c r="CB29" s="147"/>
      <c r="CC29" s="147"/>
      <c r="CD29" s="147"/>
      <c r="CE29" s="147"/>
      <c r="CF29" s="147"/>
      <c r="CG29" s="147"/>
      <c r="CH29" s="147"/>
      <c r="CI29" s="147"/>
      <c r="CJ29" s="147"/>
      <c r="CK29" s="147"/>
      <c r="CL29" s="147"/>
      <c r="CM29" s="147"/>
      <c r="CN29" s="147"/>
      <c r="CO29" s="147"/>
      <c r="CP29" s="147"/>
    </row>
    <row r="30" spans="1:94" s="177" customFormat="1" ht="15" x14ac:dyDescent="0.25">
      <c r="A30" s="179"/>
      <c r="B30" s="184"/>
      <c r="C30" s="171"/>
      <c r="D30" s="243"/>
      <c r="E30" s="180"/>
      <c r="F30" s="181">
        <v>0</v>
      </c>
      <c r="G30" s="182">
        <v>0</v>
      </c>
      <c r="H30" s="176">
        <f t="shared" si="0"/>
        <v>0</v>
      </c>
      <c r="I30" s="176">
        <f t="shared" si="1"/>
        <v>0</v>
      </c>
      <c r="J30" s="159">
        <f t="shared" si="3"/>
        <v>0</v>
      </c>
      <c r="K30" s="166"/>
      <c r="L30" s="176">
        <f t="shared" si="2"/>
        <v>0</v>
      </c>
      <c r="M30" s="176">
        <f t="shared" si="4"/>
        <v>0</v>
      </c>
      <c r="N30" s="183">
        <f t="shared" si="5"/>
        <v>0</v>
      </c>
      <c r="O30"/>
      <c r="P30"/>
      <c r="Q30"/>
      <c r="R30"/>
      <c r="S30"/>
      <c r="T30"/>
      <c r="U30"/>
      <c r="V30"/>
      <c r="W30"/>
      <c r="X30"/>
      <c r="Y30"/>
      <c r="Z30" s="344"/>
      <c r="AA30" s="337"/>
      <c r="AB30" s="337"/>
      <c r="AC30" s="337"/>
      <c r="AD30" s="329"/>
      <c r="AE30" s="147"/>
      <c r="AF30" s="147"/>
      <c r="AG30" s="147"/>
      <c r="AH30" s="147"/>
      <c r="AI30" s="147"/>
      <c r="AJ30" s="147"/>
      <c r="AK30" s="147"/>
      <c r="AL30" s="147"/>
      <c r="AM30" s="147"/>
      <c r="AN30" s="147"/>
      <c r="AO30" s="147"/>
      <c r="AP30" s="147"/>
      <c r="AQ30" s="147"/>
      <c r="AR30" s="147"/>
      <c r="AS30" s="147"/>
      <c r="AT30" s="147"/>
      <c r="AU30" s="147"/>
      <c r="AV30" s="147"/>
      <c r="AW30" s="147"/>
      <c r="AX30" s="147"/>
      <c r="AY30" s="147"/>
      <c r="AZ30" s="147"/>
      <c r="BA30" s="147"/>
      <c r="BB30" s="147"/>
      <c r="BC30" s="147"/>
      <c r="BD30" s="147"/>
      <c r="BE30" s="147"/>
      <c r="BF30" s="147"/>
      <c r="BG30" s="147"/>
      <c r="BH30" s="147"/>
      <c r="BI30" s="147"/>
      <c r="BJ30" s="147"/>
      <c r="BK30" s="147"/>
      <c r="BL30" s="147"/>
      <c r="BM30" s="147"/>
      <c r="BN30" s="147"/>
      <c r="BO30" s="147"/>
      <c r="BP30" s="147"/>
      <c r="BQ30" s="147"/>
      <c r="BR30" s="147"/>
      <c r="BS30" s="147"/>
      <c r="BT30" s="147"/>
      <c r="BU30" s="147"/>
      <c r="BV30" s="147"/>
      <c r="BW30" s="147"/>
      <c r="BX30" s="147"/>
      <c r="BY30" s="147"/>
      <c r="BZ30" s="147"/>
      <c r="CA30" s="147"/>
      <c r="CB30" s="147"/>
      <c r="CC30" s="147"/>
      <c r="CD30" s="147"/>
      <c r="CE30" s="147"/>
      <c r="CF30" s="147"/>
      <c r="CG30" s="147"/>
      <c r="CH30" s="147"/>
      <c r="CI30" s="147"/>
      <c r="CJ30" s="147"/>
      <c r="CK30" s="147"/>
      <c r="CL30" s="147"/>
      <c r="CM30" s="147"/>
      <c r="CN30" s="147"/>
      <c r="CO30" s="147"/>
      <c r="CP30" s="147"/>
    </row>
    <row r="31" spans="1:94" s="153" customFormat="1" ht="15" x14ac:dyDescent="0.25">
      <c r="A31" s="139"/>
      <c r="B31" s="168"/>
      <c r="C31" s="245"/>
      <c r="D31" s="246" t="s">
        <v>36</v>
      </c>
      <c r="E31" s="150"/>
      <c r="F31" s="165"/>
      <c r="G31" s="166"/>
      <c r="H31" s="166"/>
      <c r="I31" s="166"/>
      <c r="J31" s="166"/>
      <c r="K31" s="166"/>
      <c r="L31" s="166"/>
      <c r="M31" s="166"/>
      <c r="N31" s="166"/>
      <c r="O31"/>
      <c r="P31"/>
      <c r="Q31"/>
      <c r="R31"/>
      <c r="S31"/>
      <c r="T31"/>
      <c r="U31"/>
      <c r="V31"/>
      <c r="W31"/>
      <c r="X31"/>
      <c r="Y31"/>
      <c r="Z31" s="344"/>
      <c r="AA31" s="337"/>
      <c r="AB31" s="337"/>
      <c r="AC31" s="337"/>
      <c r="AD31" s="329"/>
      <c r="AE31" s="147"/>
      <c r="AF31" s="147"/>
      <c r="AG31" s="147"/>
      <c r="AH31" s="147"/>
      <c r="AI31" s="147"/>
      <c r="AJ31" s="147"/>
      <c r="AK31" s="147"/>
      <c r="AL31" s="147"/>
      <c r="AM31" s="147"/>
      <c r="AN31" s="147"/>
      <c r="AO31" s="147"/>
      <c r="AP31" s="147"/>
      <c r="AQ31" s="147"/>
      <c r="AR31" s="147"/>
      <c r="AS31" s="147"/>
      <c r="AT31" s="147"/>
      <c r="AU31" s="147"/>
      <c r="AV31" s="147"/>
      <c r="AW31" s="147"/>
      <c r="AX31" s="147"/>
      <c r="AY31" s="147"/>
      <c r="AZ31" s="147"/>
      <c r="BA31" s="147"/>
      <c r="BB31" s="147"/>
      <c r="BC31" s="147"/>
      <c r="BD31" s="147"/>
      <c r="BE31" s="147"/>
      <c r="BF31" s="147"/>
      <c r="BG31" s="147"/>
      <c r="BH31" s="147"/>
      <c r="BI31" s="147"/>
      <c r="BJ31" s="147"/>
      <c r="BK31" s="147"/>
      <c r="BL31" s="147"/>
      <c r="BM31" s="147"/>
      <c r="BN31" s="147"/>
      <c r="BO31" s="147"/>
      <c r="BP31" s="147"/>
      <c r="BQ31" s="147"/>
      <c r="BR31" s="147"/>
      <c r="BS31" s="147"/>
      <c r="BT31" s="147"/>
      <c r="BU31" s="147"/>
      <c r="BV31" s="147"/>
      <c r="BW31" s="147"/>
      <c r="BX31" s="147"/>
      <c r="BY31" s="147"/>
      <c r="BZ31" s="147"/>
      <c r="CA31" s="147"/>
      <c r="CB31" s="147"/>
      <c r="CC31" s="147"/>
      <c r="CD31" s="147"/>
      <c r="CE31" s="147"/>
      <c r="CF31" s="147"/>
      <c r="CG31" s="147"/>
      <c r="CH31" s="147"/>
      <c r="CI31" s="147"/>
      <c r="CJ31" s="147"/>
      <c r="CK31" s="147"/>
      <c r="CL31" s="147"/>
      <c r="CM31" s="147"/>
      <c r="CN31" s="147"/>
      <c r="CO31" s="147"/>
      <c r="CP31" s="147"/>
    </row>
    <row r="32" spans="1:94" s="177" customFormat="1" ht="15" x14ac:dyDescent="0.25">
      <c r="A32" s="185"/>
      <c r="B32" s="185"/>
      <c r="C32" s="244"/>
      <c r="D32" s="242"/>
      <c r="E32" s="173"/>
      <c r="F32" s="174">
        <v>0</v>
      </c>
      <c r="G32" s="175">
        <v>0</v>
      </c>
      <c r="H32" s="176">
        <f t="shared" ref="H32:H35" si="6">IF(AND($F32&lt;&gt;0,$G32&lt;&gt;0,OR($E32=1,$E32=3)),$F32*Health,0)</f>
        <v>0</v>
      </c>
      <c r="I32" s="176">
        <f t="shared" ref="I32:I34" si="7">IF(AND($E32=1,$C32=""),$G32*PermVB+$G32*Retire1,IF($E32=1,$G32*PermVB+$G32*VLOOKUP($C32,Retirement_Rates,3,FALSE),IF($E32=2,$G32*GroupVB,IF(AND($E32=3,$C32=""),$G32*ElectVB+$G32*Retire1,IF($E32=3,$G32*ElectVB+$G32*VLOOKUP($C32,Retirement_Rates,3,FALSE),0)))))</f>
        <v>0</v>
      </c>
      <c r="J32" s="279">
        <f t="shared" si="3"/>
        <v>0</v>
      </c>
      <c r="K32" s="166"/>
      <c r="L32" s="176">
        <f t="shared" ref="L32:L35" si="8">IF(AND($F32&lt;&gt;0,$G32&lt;&gt;0,OR($E32=1,$E32=3)),$F32*HealthCHG,0)</f>
        <v>0</v>
      </c>
      <c r="M32" s="176">
        <f t="shared" ref="M32:M35" si="9">IF(AND($E32=1,$C32=""),$G32*PermVBCHG+$G32*Retire1CHG,IF($E32=1,$G32*PermVBCHG+$G32*VLOOKUP($C32,Retirement_Rates,5,FALSE),IF($E32=2,0,IF(AND($E32=3,$C32=""),$G32*ElectVBCHG+$G32*Retire1CHG,IF($E32=3,$G32*ElectVBCHG+$G32*VLOOKUP($C32,Retirement_Rates,5,FALSE),0)))))</f>
        <v>0</v>
      </c>
      <c r="N32" s="176">
        <f t="shared" ref="N32:N35" si="10">SUM(L32:M32)</f>
        <v>0</v>
      </c>
      <c r="O32"/>
      <c r="P32"/>
      <c r="Q32"/>
      <c r="R32"/>
      <c r="S32"/>
      <c r="T32"/>
      <c r="U32"/>
      <c r="V32"/>
      <c r="W32"/>
      <c r="X32"/>
      <c r="Y32"/>
      <c r="Z32" s="344"/>
      <c r="AA32" s="337"/>
      <c r="AB32" s="337"/>
      <c r="AC32" s="337"/>
      <c r="AD32" s="329"/>
      <c r="AE32" s="147"/>
      <c r="AF32" s="147"/>
      <c r="AG32" s="147"/>
      <c r="AH32" s="147"/>
      <c r="AI32" s="147"/>
      <c r="AJ32" s="147"/>
      <c r="AK32" s="147"/>
      <c r="AL32" s="147"/>
      <c r="AM32" s="147"/>
      <c r="AN32" s="147"/>
      <c r="AO32" s="147"/>
      <c r="AP32" s="147"/>
      <c r="AQ32" s="147"/>
      <c r="AR32" s="147"/>
      <c r="AS32" s="147"/>
      <c r="AT32" s="147"/>
      <c r="AU32" s="147"/>
      <c r="AV32" s="147"/>
      <c r="AW32" s="147"/>
      <c r="AX32" s="147"/>
      <c r="AY32" s="147"/>
      <c r="AZ32" s="147"/>
      <c r="BA32" s="147"/>
      <c r="BB32" s="147"/>
      <c r="BC32" s="147"/>
      <c r="BD32" s="147"/>
      <c r="BE32" s="147"/>
      <c r="BF32" s="147"/>
      <c r="BG32" s="147"/>
      <c r="BH32" s="147"/>
      <c r="BI32" s="147"/>
      <c r="BJ32" s="147"/>
      <c r="BK32" s="147"/>
      <c r="BL32" s="147"/>
      <c r="BM32" s="147"/>
      <c r="BN32" s="147"/>
      <c r="BO32" s="147"/>
      <c r="BP32" s="147"/>
      <c r="BQ32" s="147"/>
      <c r="BR32" s="147"/>
      <c r="BS32" s="147"/>
      <c r="BT32" s="147"/>
      <c r="BU32" s="147"/>
      <c r="BV32" s="147"/>
      <c r="BW32" s="147"/>
      <c r="BX32" s="147"/>
      <c r="BY32" s="147"/>
      <c r="BZ32" s="147"/>
      <c r="CA32" s="147"/>
      <c r="CB32" s="147"/>
      <c r="CC32" s="147"/>
      <c r="CD32" s="147"/>
      <c r="CE32" s="147"/>
      <c r="CF32" s="147"/>
      <c r="CG32" s="147"/>
      <c r="CH32" s="147"/>
      <c r="CI32" s="147"/>
      <c r="CJ32" s="147"/>
      <c r="CK32" s="147"/>
      <c r="CL32" s="147"/>
      <c r="CM32" s="147"/>
      <c r="CN32" s="147"/>
      <c r="CO32" s="147"/>
      <c r="CP32" s="147"/>
    </row>
    <row r="33" spans="1:94" s="177" customFormat="1" ht="15" x14ac:dyDescent="0.25">
      <c r="A33" s="186"/>
      <c r="B33" s="187"/>
      <c r="C33" s="244"/>
      <c r="D33" s="242"/>
      <c r="E33" s="180"/>
      <c r="F33" s="181">
        <v>0</v>
      </c>
      <c r="G33" s="182">
        <v>0</v>
      </c>
      <c r="H33" s="176">
        <f t="shared" si="6"/>
        <v>0</v>
      </c>
      <c r="I33" s="176">
        <f t="shared" si="7"/>
        <v>0</v>
      </c>
      <c r="J33" s="279">
        <f t="shared" si="3"/>
        <v>0</v>
      </c>
      <c r="K33" s="166"/>
      <c r="L33" s="176">
        <f t="shared" si="8"/>
        <v>0</v>
      </c>
      <c r="M33" s="176">
        <f t="shared" si="9"/>
        <v>0</v>
      </c>
      <c r="N33" s="183">
        <f t="shared" si="10"/>
        <v>0</v>
      </c>
      <c r="O33"/>
      <c r="P33"/>
      <c r="Q33"/>
      <c r="R33"/>
      <c r="S33"/>
      <c r="T33"/>
      <c r="U33"/>
      <c r="V33"/>
      <c r="W33"/>
      <c r="X33"/>
      <c r="Y33"/>
      <c r="Z33" s="344"/>
      <c r="AA33" s="337"/>
      <c r="AB33" s="337"/>
      <c r="AC33" s="337"/>
      <c r="AD33" s="329"/>
      <c r="AE33" s="147"/>
      <c r="AF33" s="147"/>
      <c r="AG33" s="147"/>
      <c r="AH33" s="147"/>
      <c r="AI33" s="147"/>
      <c r="AJ33" s="147"/>
      <c r="AK33" s="147"/>
      <c r="AL33" s="147"/>
      <c r="AM33" s="147"/>
      <c r="AN33" s="147"/>
      <c r="AO33" s="147"/>
      <c r="AP33" s="147"/>
      <c r="AQ33" s="147"/>
      <c r="AR33" s="147"/>
      <c r="AS33" s="147"/>
      <c r="AT33" s="147"/>
      <c r="AU33" s="147"/>
      <c r="AV33" s="147"/>
      <c r="AW33" s="147"/>
      <c r="AX33" s="147"/>
      <c r="AY33" s="147"/>
      <c r="AZ33" s="147"/>
      <c r="BA33" s="147"/>
      <c r="BB33" s="147"/>
      <c r="BC33" s="147"/>
      <c r="BD33" s="147"/>
      <c r="BE33" s="147"/>
      <c r="BF33" s="147"/>
      <c r="BG33" s="147"/>
      <c r="BH33" s="147"/>
      <c r="BI33" s="147"/>
      <c r="BJ33" s="147"/>
      <c r="BK33" s="147"/>
      <c r="BL33" s="147"/>
      <c r="BM33" s="147"/>
      <c r="BN33" s="147"/>
      <c r="BO33" s="147"/>
      <c r="BP33" s="147"/>
      <c r="BQ33" s="147"/>
      <c r="BR33" s="147"/>
      <c r="BS33" s="147"/>
      <c r="BT33" s="147"/>
      <c r="BU33" s="147"/>
      <c r="BV33" s="147"/>
      <c r="BW33" s="147"/>
      <c r="BX33" s="147"/>
      <c r="BY33" s="147"/>
      <c r="BZ33" s="147"/>
      <c r="CA33" s="147"/>
      <c r="CB33" s="147"/>
      <c r="CC33" s="147"/>
      <c r="CD33" s="147"/>
      <c r="CE33" s="147"/>
      <c r="CF33" s="147"/>
      <c r="CG33" s="147"/>
      <c r="CH33" s="147"/>
      <c r="CI33" s="147"/>
      <c r="CJ33" s="147"/>
      <c r="CK33" s="147"/>
      <c r="CL33" s="147"/>
      <c r="CM33" s="147"/>
      <c r="CN33" s="147"/>
      <c r="CO33" s="147"/>
      <c r="CP33" s="147"/>
    </row>
    <row r="34" spans="1:94" s="177" customFormat="1" ht="15" x14ac:dyDescent="0.25">
      <c r="A34" s="186"/>
      <c r="B34" s="187"/>
      <c r="C34" s="244"/>
      <c r="D34" s="242"/>
      <c r="E34" s="180"/>
      <c r="F34" s="181">
        <v>0</v>
      </c>
      <c r="G34" s="182">
        <v>0</v>
      </c>
      <c r="H34" s="176">
        <f t="shared" si="6"/>
        <v>0</v>
      </c>
      <c r="I34" s="176">
        <f t="shared" si="7"/>
        <v>0</v>
      </c>
      <c r="J34" s="279">
        <f t="shared" si="3"/>
        <v>0</v>
      </c>
      <c r="K34" s="280"/>
      <c r="L34" s="176">
        <f t="shared" si="8"/>
        <v>0</v>
      </c>
      <c r="M34" s="176">
        <f t="shared" si="9"/>
        <v>0</v>
      </c>
      <c r="N34" s="183">
        <f t="shared" si="10"/>
        <v>0</v>
      </c>
      <c r="O34"/>
      <c r="P34"/>
      <c r="Q34"/>
      <c r="R34"/>
      <c r="S34"/>
      <c r="T34"/>
      <c r="U34"/>
      <c r="V34"/>
      <c r="W34"/>
      <c r="X34"/>
      <c r="Y34"/>
      <c r="Z34" s="344"/>
      <c r="AA34" s="337"/>
      <c r="AB34" s="337"/>
      <c r="AC34" s="337"/>
      <c r="AD34" s="329"/>
      <c r="AE34" s="147"/>
      <c r="AF34" s="147"/>
      <c r="AG34" s="147"/>
      <c r="AH34" s="147"/>
      <c r="AI34" s="147"/>
      <c r="AJ34" s="147"/>
      <c r="AK34" s="147"/>
      <c r="AL34" s="147"/>
      <c r="AM34" s="147"/>
      <c r="AN34" s="147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  <c r="CC34" s="147"/>
      <c r="CD34" s="147"/>
      <c r="CE34" s="147"/>
      <c r="CF34" s="147"/>
      <c r="CG34" s="147"/>
      <c r="CH34" s="147"/>
      <c r="CI34" s="147"/>
      <c r="CJ34" s="147"/>
      <c r="CK34" s="147"/>
      <c r="CL34" s="147"/>
      <c r="CM34" s="147"/>
      <c r="CN34" s="147"/>
      <c r="CO34" s="147"/>
      <c r="CP34" s="147"/>
    </row>
    <row r="35" spans="1:94" s="177" customFormat="1" ht="15" x14ac:dyDescent="0.25">
      <c r="A35" s="186"/>
      <c r="B35" s="187"/>
      <c r="C35" s="244"/>
      <c r="D35" s="242"/>
      <c r="E35" s="180"/>
      <c r="F35" s="181">
        <v>0</v>
      </c>
      <c r="G35" s="182">
        <v>0</v>
      </c>
      <c r="H35" s="176">
        <f t="shared" si="6"/>
        <v>0</v>
      </c>
      <c r="I35" s="176">
        <f>IF(AND($E35=1,$C35=""),$G35*(PermVB+Retire1),IF($E35=1,$G35*PermVB+$G35*VLOOKUP($C35,Retirement_Rates,3,FALSE),IF($E35=2,$G35*GroupVB,IF(AND($E35=3,$C35=""),$G35*ElectVB+$G35*Retire1,IF($E35=3,$G35*ElectVB+$G35*VLOOKUP($C35,Retirement_Rates,3,FALSE),0)))))</f>
        <v>0</v>
      </c>
      <c r="J35" s="279">
        <f t="shared" si="3"/>
        <v>0</v>
      </c>
      <c r="K35" s="309"/>
      <c r="L35" s="176">
        <f t="shared" si="8"/>
        <v>0</v>
      </c>
      <c r="M35" s="176">
        <f t="shared" si="9"/>
        <v>0</v>
      </c>
      <c r="N35" s="183">
        <f t="shared" si="10"/>
        <v>0</v>
      </c>
      <c r="O35"/>
      <c r="P35"/>
      <c r="Q35"/>
      <c r="R35"/>
      <c r="S35"/>
      <c r="T35"/>
      <c r="U35"/>
      <c r="V35"/>
      <c r="W35"/>
      <c r="X35"/>
      <c r="Y35"/>
      <c r="Z35" s="344"/>
      <c r="AA35" s="337"/>
      <c r="AB35" s="337"/>
      <c r="AC35" s="337"/>
      <c r="AD35" s="329"/>
      <c r="AE35" s="147"/>
      <c r="AF35" s="147"/>
      <c r="AG35" s="147"/>
      <c r="AH35" s="147"/>
      <c r="AI35" s="147"/>
      <c r="AJ35" s="147"/>
      <c r="AK35" s="147"/>
      <c r="AL35" s="147"/>
      <c r="AM35" s="147"/>
      <c r="AN35" s="147"/>
      <c r="AO35" s="147"/>
      <c r="AP35" s="147"/>
      <c r="AQ35" s="147"/>
      <c r="AR35" s="147"/>
      <c r="AS35" s="147"/>
      <c r="AT35" s="147"/>
      <c r="AU35" s="147"/>
      <c r="AV35" s="147"/>
      <c r="AW35" s="147"/>
      <c r="AX35" s="147"/>
      <c r="AY35" s="147"/>
      <c r="AZ35" s="147"/>
      <c r="BA35" s="147"/>
      <c r="BB35" s="147"/>
      <c r="BC35" s="147"/>
      <c r="BD35" s="147"/>
      <c r="BE35" s="147"/>
      <c r="BF35" s="147"/>
      <c r="BG35" s="147"/>
      <c r="BH35" s="147"/>
      <c r="BI35" s="147"/>
      <c r="BJ35" s="147"/>
      <c r="BK35" s="147"/>
      <c r="BL35" s="147"/>
      <c r="BM35" s="147"/>
      <c r="BN35" s="147"/>
      <c r="BO35" s="147"/>
      <c r="BP35" s="147"/>
      <c r="BQ35" s="147"/>
      <c r="BR35" s="147"/>
      <c r="BS35" s="147"/>
      <c r="BT35" s="147"/>
      <c r="BU35" s="147"/>
      <c r="BV35" s="147"/>
      <c r="BW35" s="147"/>
      <c r="BX35" s="147"/>
      <c r="BY35" s="147"/>
      <c r="BZ35" s="147"/>
      <c r="CA35" s="147"/>
      <c r="CB35" s="147"/>
      <c r="CC35" s="147"/>
      <c r="CD35" s="147"/>
      <c r="CE35" s="147"/>
      <c r="CF35" s="147"/>
      <c r="CG35" s="147"/>
      <c r="CH35" s="147"/>
      <c r="CI35" s="147"/>
      <c r="CJ35" s="147"/>
      <c r="CK35" s="147"/>
      <c r="CL35" s="147"/>
      <c r="CM35" s="147"/>
      <c r="CN35" s="147"/>
      <c r="CO35" s="147"/>
      <c r="CP35" s="147"/>
    </row>
    <row r="36" spans="1:94" s="213" customFormat="1" ht="15" x14ac:dyDescent="0.25">
      <c r="A36" s="281"/>
      <c r="B36" s="282"/>
      <c r="C36" s="283"/>
      <c r="D36" s="284"/>
      <c r="E36" s="285"/>
      <c r="F36" s="197"/>
      <c r="G36" s="259"/>
      <c r="H36" s="259"/>
      <c r="I36" s="259"/>
      <c r="J36" s="286"/>
      <c r="K36" s="280"/>
      <c r="L36" s="321"/>
      <c r="M36" s="259"/>
      <c r="N36" s="259"/>
      <c r="O36"/>
      <c r="P36"/>
      <c r="Q36"/>
      <c r="R36"/>
      <c r="S36"/>
      <c r="T36"/>
      <c r="U36"/>
      <c r="V36"/>
      <c r="W36"/>
      <c r="X36"/>
      <c r="Y36"/>
      <c r="Z36" s="344"/>
      <c r="AA36" s="337" t="s">
        <v>94</v>
      </c>
      <c r="AB36" s="333" t="s">
        <v>95</v>
      </c>
      <c r="AC36" s="333" t="s">
        <v>106</v>
      </c>
      <c r="AD36" s="330"/>
    </row>
    <row r="37" spans="1:94" s="153" customFormat="1" ht="17.25" customHeight="1" x14ac:dyDescent="0.25">
      <c r="A37" s="139"/>
      <c r="B37" s="188"/>
      <c r="C37" s="460" t="s">
        <v>37</v>
      </c>
      <c r="D37" s="461"/>
      <c r="E37" s="150"/>
      <c r="F37" s="165"/>
      <c r="G37" s="166"/>
      <c r="H37" s="166"/>
      <c r="I37" s="166"/>
      <c r="J37" s="322"/>
      <c r="K37" s="166"/>
      <c r="L37" s="166"/>
      <c r="M37" s="166"/>
      <c r="N37" s="166"/>
      <c r="O37"/>
      <c r="P37"/>
      <c r="Q37"/>
      <c r="R37"/>
      <c r="S37"/>
      <c r="T37"/>
      <c r="U37"/>
      <c r="V37"/>
      <c r="W37"/>
      <c r="X37"/>
      <c r="Y37"/>
      <c r="Z37" s="344"/>
      <c r="AA37" s="462" t="s">
        <v>107</v>
      </c>
      <c r="AB37" s="463"/>
      <c r="AC37" s="463"/>
      <c r="AD37" s="329"/>
      <c r="AE37" s="147"/>
      <c r="AF37" s="147"/>
      <c r="AG37" s="147"/>
      <c r="AH37" s="147"/>
      <c r="AI37" s="147"/>
      <c r="AJ37" s="147"/>
      <c r="AK37" s="147"/>
      <c r="AL37" s="147"/>
      <c r="AM37" s="147"/>
      <c r="AN37" s="147"/>
      <c r="AO37" s="147"/>
      <c r="AP37" s="147"/>
      <c r="AQ37" s="147"/>
      <c r="AR37" s="147"/>
      <c r="AS37" s="147"/>
      <c r="AT37" s="147"/>
      <c r="AU37" s="147"/>
      <c r="AV37" s="147"/>
      <c r="AW37" s="147"/>
      <c r="AX37" s="147"/>
      <c r="AY37" s="147"/>
      <c r="AZ37" s="147"/>
      <c r="BA37" s="147"/>
      <c r="BB37" s="147"/>
      <c r="BC37" s="147"/>
      <c r="BD37" s="147"/>
      <c r="BE37" s="147"/>
      <c r="BF37" s="147"/>
      <c r="BG37" s="147"/>
      <c r="BH37" s="147"/>
      <c r="BI37" s="147"/>
      <c r="BJ37" s="147"/>
      <c r="BK37" s="147"/>
      <c r="BL37" s="147"/>
      <c r="BM37" s="147"/>
      <c r="BN37" s="147"/>
      <c r="BO37" s="147"/>
      <c r="BP37" s="147"/>
      <c r="BQ37" s="147"/>
      <c r="BR37" s="147"/>
      <c r="BS37" s="147"/>
      <c r="BT37" s="147"/>
      <c r="BU37" s="147"/>
      <c r="BV37" s="147"/>
      <c r="BW37" s="147"/>
      <c r="BX37" s="147"/>
      <c r="BY37" s="147"/>
      <c r="BZ37" s="147"/>
      <c r="CA37" s="147"/>
      <c r="CB37" s="147"/>
      <c r="CC37" s="147"/>
      <c r="CD37" s="147"/>
      <c r="CE37" s="147"/>
      <c r="CF37" s="147"/>
      <c r="CG37" s="147"/>
      <c r="CH37" s="147"/>
      <c r="CI37" s="147"/>
      <c r="CJ37" s="147"/>
      <c r="CK37" s="147"/>
      <c r="CL37" s="147"/>
      <c r="CM37" s="147"/>
      <c r="CN37" s="147"/>
      <c r="CO37" s="147"/>
      <c r="CP37" s="147"/>
    </row>
    <row r="38" spans="1:94" s="153" customFormat="1" ht="15" x14ac:dyDescent="0.25">
      <c r="A38" s="139"/>
      <c r="B38" s="188"/>
      <c r="C38" s="444" t="str">
        <f>perm_name</f>
        <v>Permanent Positions</v>
      </c>
      <c r="D38" s="445"/>
      <c r="E38" s="189">
        <v>1</v>
      </c>
      <c r="F38" s="190">
        <f>SUMIF($E9:$E35,$E38,$F9:$F35)</f>
        <v>0</v>
      </c>
      <c r="G38" s="191">
        <f>SUMIF($E10:$E35,$E38,$G10:$G35)</f>
        <v>0</v>
      </c>
      <c r="H38" s="192">
        <f>SUMIF($E10:$E35,$E38,$H10:$H35)</f>
        <v>0</v>
      </c>
      <c r="I38" s="192">
        <f>SUMIF($E10:$E35,$E38,$I10:$I35)</f>
        <v>0</v>
      </c>
      <c r="J38" s="192">
        <f>SUM(G38:I38)</f>
        <v>0</v>
      </c>
      <c r="K38" s="166"/>
      <c r="L38" s="191">
        <f>SUMIF($E10:$E35,$E38,$L10:$L35)</f>
        <v>0</v>
      </c>
      <c r="M38" s="192">
        <f>SUMIF($E10:$E35,$E38,$M10:$M35)</f>
        <v>0</v>
      </c>
      <c r="N38" s="192">
        <f>SUM(L38:M38)</f>
        <v>0</v>
      </c>
      <c r="O38"/>
      <c r="P38"/>
      <c r="Q38"/>
      <c r="R38"/>
      <c r="S38"/>
      <c r="T38"/>
      <c r="U38"/>
      <c r="V38"/>
      <c r="W38"/>
      <c r="X38"/>
      <c r="Y38"/>
      <c r="Z38" s="344"/>
      <c r="AA38" s="338">
        <f>ROUND(AdjPermSalary*CECPerm,-2)</f>
        <v>0</v>
      </c>
      <c r="AB38" s="338">
        <f>ROUND((AdjPermVB*CECPerm+AdjPermVBBY*CECPerm),-2)</f>
        <v>0</v>
      </c>
      <c r="AC38" s="338">
        <f>SUM(AA38:AB38)</f>
        <v>0</v>
      </c>
      <c r="AD38" s="329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  <c r="CC38" s="147"/>
      <c r="CD38" s="147"/>
      <c r="CE38" s="147"/>
      <c r="CF38" s="147"/>
      <c r="CG38" s="147"/>
      <c r="CH38" s="147"/>
      <c r="CI38" s="147"/>
      <c r="CJ38" s="147"/>
      <c r="CK38" s="147"/>
      <c r="CL38" s="147"/>
      <c r="CM38" s="147"/>
      <c r="CN38" s="147"/>
      <c r="CO38" s="147"/>
      <c r="CP38" s="147"/>
    </row>
    <row r="39" spans="1:94" s="153" customFormat="1" ht="15" x14ac:dyDescent="0.25">
      <c r="A39" s="139"/>
      <c r="B39" s="188"/>
      <c r="C39" s="444" t="str">
        <f>Group_name</f>
        <v>Board &amp; Group Positions</v>
      </c>
      <c r="D39" s="445"/>
      <c r="E39" s="189">
        <v>2</v>
      </c>
      <c r="F39" s="151">
        <f>SUMIF($E9:$E35,$E39,$F9:$F35)</f>
        <v>0</v>
      </c>
      <c r="G39" s="193">
        <f>SUMIF($E10:$E35,$E39,$G10:$G35)</f>
        <v>0</v>
      </c>
      <c r="H39" s="152">
        <f>SUMIF($E10:$E35,$E39,$H10:$H35)</f>
        <v>0</v>
      </c>
      <c r="I39" s="152">
        <f>SUMIF($E10:$E35,$E39,$I10:$I35)</f>
        <v>0</v>
      </c>
      <c r="J39" s="152">
        <f>SUM(G39:I39)</f>
        <v>0</v>
      </c>
      <c r="K39" s="259"/>
      <c r="L39" s="193">
        <f>SUMIF($E10:$E35,$E39,$L10:$L35)</f>
        <v>0</v>
      </c>
      <c r="M39" s="152">
        <f>SUMIF($E11:$E37,$E39,$M11:$M37)</f>
        <v>0</v>
      </c>
      <c r="N39" s="152">
        <f>SUM(L39:M39)</f>
        <v>0</v>
      </c>
      <c r="O39"/>
      <c r="P39"/>
      <c r="Q39"/>
      <c r="R39"/>
      <c r="S39"/>
      <c r="T39"/>
      <c r="U39"/>
      <c r="V39"/>
      <c r="W39"/>
      <c r="X39"/>
      <c r="Y39"/>
      <c r="Z39" s="344"/>
      <c r="AA39" s="338">
        <f>ROUND(AdjGroupSalary*CECGroup,-2)</f>
        <v>0</v>
      </c>
      <c r="AB39" s="338">
        <f>ROUND(AdjGroupVB*CECGroup,-2)</f>
        <v>0</v>
      </c>
      <c r="AC39" s="338">
        <f>SUM(AA39:AB39)</f>
        <v>0</v>
      </c>
      <c r="AD39" s="329"/>
      <c r="AE39" s="147"/>
      <c r="AF39" s="147"/>
      <c r="AG39" s="147"/>
      <c r="AH39" s="147"/>
      <c r="AI39" s="147"/>
      <c r="AJ39" s="147"/>
      <c r="AK39" s="147"/>
      <c r="AL39" s="147"/>
      <c r="AM39" s="147"/>
      <c r="AN39" s="147"/>
      <c r="AO39" s="147"/>
      <c r="AP39" s="147"/>
      <c r="AQ39" s="147"/>
      <c r="AR39" s="147"/>
      <c r="AS39" s="147"/>
      <c r="AT39" s="147"/>
      <c r="AU39" s="147"/>
      <c r="AV39" s="147"/>
      <c r="AW39" s="147"/>
      <c r="AX39" s="147"/>
      <c r="AY39" s="147"/>
      <c r="AZ39" s="147"/>
      <c r="BA39" s="147"/>
      <c r="BB39" s="147"/>
      <c r="BC39" s="147"/>
      <c r="BD39" s="147"/>
      <c r="BE39" s="147"/>
      <c r="BF39" s="147"/>
      <c r="BG39" s="147"/>
      <c r="BH39" s="147"/>
      <c r="BI39" s="147"/>
      <c r="BJ39" s="147"/>
      <c r="BK39" s="147"/>
      <c r="BL39" s="147"/>
      <c r="BM39" s="147"/>
      <c r="BN39" s="147"/>
      <c r="BO39" s="147"/>
      <c r="BP39" s="147"/>
      <c r="BQ39" s="147"/>
      <c r="BR39" s="147"/>
      <c r="BS39" s="147"/>
      <c r="BT39" s="147"/>
      <c r="BU39" s="147"/>
      <c r="BV39" s="147"/>
      <c r="BW39" s="147"/>
      <c r="BX39" s="147"/>
      <c r="BY39" s="147"/>
      <c r="BZ39" s="147"/>
      <c r="CA39" s="147"/>
      <c r="CB39" s="147"/>
      <c r="CC39" s="147"/>
      <c r="CD39" s="147"/>
      <c r="CE39" s="147"/>
      <c r="CF39" s="147"/>
      <c r="CG39" s="147"/>
      <c r="CH39" s="147"/>
      <c r="CI39" s="147"/>
      <c r="CJ39" s="147"/>
      <c r="CK39" s="147"/>
      <c r="CL39" s="147"/>
      <c r="CM39" s="147"/>
      <c r="CN39" s="147"/>
      <c r="CO39" s="147"/>
      <c r="CP39" s="147"/>
    </row>
    <row r="40" spans="1:94" s="153" customFormat="1" ht="15" x14ac:dyDescent="0.25">
      <c r="A40" s="139"/>
      <c r="B40" s="188"/>
      <c r="C40" s="154" t="str">
        <f>Elect_name</f>
        <v>Elected Officials &amp; Full Time Commissioners</v>
      </c>
      <c r="D40" s="194"/>
      <c r="E40" s="189">
        <v>3</v>
      </c>
      <c r="F40" s="151">
        <f>SUMIF($E9:$E35,$E40,$F9:$F35)</f>
        <v>0</v>
      </c>
      <c r="G40" s="193">
        <f>SUMIF($E10:$E35,$E40,$G10:$G35)</f>
        <v>0</v>
      </c>
      <c r="H40" s="152">
        <f>SUMIF($E10:$E35,$E40,$H10:$H35)</f>
        <v>0</v>
      </c>
      <c r="I40" s="152">
        <f>SUMIF($E10:$E35,$E40,$I10:$I35)</f>
        <v>0</v>
      </c>
      <c r="J40" s="152">
        <f>SUM(G40:I40)</f>
        <v>0</v>
      </c>
      <c r="K40" s="259"/>
      <c r="L40" s="193">
        <f>SUMIF($E10:$E35,$E40,$L10:$L35)</f>
        <v>0</v>
      </c>
      <c r="M40" s="152">
        <f>SUMIF($E10:$E35,$E40,$M10:$M35)</f>
        <v>0</v>
      </c>
      <c r="N40" s="152">
        <f>SUM(L40:M40)</f>
        <v>0</v>
      </c>
      <c r="O40"/>
      <c r="P40"/>
      <c r="Q40"/>
      <c r="R40"/>
      <c r="S40"/>
      <c r="T40"/>
      <c r="U40"/>
      <c r="V40"/>
      <c r="W40"/>
      <c r="X40"/>
      <c r="Y40"/>
      <c r="Z40" s="344"/>
      <c r="AA40" s="337"/>
      <c r="AB40" s="337"/>
      <c r="AC40" s="337"/>
      <c r="AD40" s="329"/>
      <c r="AE40" s="147"/>
      <c r="AF40" s="147"/>
      <c r="AG40" s="147"/>
      <c r="AH40" s="147"/>
      <c r="AI40" s="147"/>
      <c r="AJ40" s="147"/>
      <c r="AK40" s="147"/>
      <c r="AL40" s="147"/>
      <c r="AM40" s="147"/>
      <c r="AN40" s="147"/>
      <c r="AO40" s="147"/>
      <c r="AP40" s="147"/>
      <c r="AQ40" s="147"/>
      <c r="AR40" s="147"/>
      <c r="AS40" s="147"/>
      <c r="AT40" s="147"/>
      <c r="AU40" s="147"/>
      <c r="AV40" s="147"/>
      <c r="AW40" s="147"/>
      <c r="AX40" s="147"/>
      <c r="AY40" s="147"/>
      <c r="AZ40" s="147"/>
      <c r="BA40" s="147"/>
      <c r="BB40" s="147"/>
      <c r="BC40" s="147"/>
      <c r="BD40" s="147"/>
      <c r="BE40" s="147"/>
      <c r="BF40" s="147"/>
      <c r="BG40" s="147"/>
      <c r="BH40" s="147"/>
      <c r="BI40" s="147"/>
      <c r="BJ40" s="147"/>
      <c r="BK40" s="147"/>
      <c r="BL40" s="147"/>
      <c r="BM40" s="147"/>
      <c r="BN40" s="147"/>
      <c r="BO40" s="147"/>
      <c r="BP40" s="147"/>
      <c r="BQ40" s="147"/>
      <c r="BR40" s="147"/>
      <c r="BS40" s="147"/>
      <c r="BT40" s="147"/>
      <c r="BU40" s="147"/>
      <c r="BV40" s="147"/>
      <c r="BW40" s="147"/>
      <c r="BX40" s="147"/>
      <c r="BY40" s="147"/>
      <c r="BZ40" s="147"/>
      <c r="CA40" s="147"/>
      <c r="CB40" s="147"/>
      <c r="CC40" s="147"/>
      <c r="CD40" s="147"/>
      <c r="CE40" s="147"/>
      <c r="CF40" s="147"/>
      <c r="CG40" s="147"/>
      <c r="CH40" s="147"/>
      <c r="CI40" s="147"/>
      <c r="CJ40" s="147"/>
      <c r="CK40" s="147"/>
      <c r="CL40" s="147"/>
      <c r="CM40" s="147"/>
      <c r="CN40" s="147"/>
      <c r="CO40" s="147"/>
      <c r="CP40" s="147"/>
    </row>
    <row r="41" spans="1:94" s="153" customFormat="1" ht="15" x14ac:dyDescent="0.25">
      <c r="A41" s="139"/>
      <c r="B41" s="188"/>
      <c r="C41" s="444" t="s">
        <v>38</v>
      </c>
      <c r="D41" s="445"/>
      <c r="E41" s="189"/>
      <c r="F41" s="161">
        <f>SUM(F38:F40)</f>
        <v>0</v>
      </c>
      <c r="G41" s="195">
        <f>SUM($G$38:$G$40)</f>
        <v>0</v>
      </c>
      <c r="H41" s="162">
        <f>SUM($H$38:$H$40)</f>
        <v>0</v>
      </c>
      <c r="I41" s="162">
        <f>SUM($I$38:$I$40)</f>
        <v>0</v>
      </c>
      <c r="J41" s="162">
        <f>SUM($J$38:$J$40)</f>
        <v>0</v>
      </c>
      <c r="K41" s="259"/>
      <c r="L41" s="195">
        <f>SUM($L$38:$L$40)</f>
        <v>0</v>
      </c>
      <c r="M41" s="162">
        <f>SUM($M$38:$M$40)</f>
        <v>0</v>
      </c>
      <c r="N41" s="162">
        <f>SUM(L41:M41)</f>
        <v>0</v>
      </c>
      <c r="O41"/>
      <c r="P41"/>
      <c r="Q41"/>
      <c r="R41"/>
      <c r="S41"/>
      <c r="T41"/>
      <c r="U41"/>
      <c r="V41"/>
      <c r="W41"/>
      <c r="X41"/>
      <c r="Y41"/>
      <c r="Z41" s="344"/>
      <c r="AA41" s="337" t="s">
        <v>94</v>
      </c>
      <c r="AB41" s="333" t="s">
        <v>95</v>
      </c>
      <c r="AC41" s="333" t="s">
        <v>106</v>
      </c>
      <c r="AD41" s="329"/>
      <c r="AE41" s="147"/>
      <c r="AF41" s="147"/>
      <c r="AG41" s="147"/>
      <c r="AH41" s="147"/>
      <c r="AI41" s="147"/>
      <c r="AJ41" s="147"/>
      <c r="AK41" s="147"/>
      <c r="AL41" s="147"/>
      <c r="AM41" s="147"/>
      <c r="AN41" s="147"/>
      <c r="AO41" s="147"/>
      <c r="AP41" s="147"/>
      <c r="AQ41" s="147"/>
      <c r="AR41" s="147"/>
      <c r="AS41" s="147"/>
      <c r="AT41" s="147"/>
      <c r="AU41" s="147"/>
      <c r="AV41" s="147"/>
      <c r="AW41" s="147"/>
      <c r="AX41" s="147"/>
      <c r="AY41" s="147"/>
      <c r="AZ41" s="147"/>
      <c r="BA41" s="147"/>
      <c r="BB41" s="147"/>
      <c r="BC41" s="147"/>
      <c r="BD41" s="147"/>
      <c r="BE41" s="147"/>
      <c r="BF41" s="147"/>
      <c r="BG41" s="147"/>
      <c r="BH41" s="147"/>
      <c r="BI41" s="147"/>
      <c r="BJ41" s="147"/>
      <c r="BK41" s="147"/>
      <c r="BL41" s="147"/>
      <c r="BM41" s="147"/>
      <c r="BN41" s="147"/>
      <c r="BO41" s="147"/>
      <c r="BP41" s="147"/>
      <c r="BQ41" s="147"/>
      <c r="BR41" s="147"/>
      <c r="BS41" s="147"/>
      <c r="BT41" s="147"/>
      <c r="BU41" s="147"/>
      <c r="BV41" s="147"/>
      <c r="BW41" s="147"/>
      <c r="BX41" s="147"/>
      <c r="BY41" s="147"/>
      <c r="BZ41" s="147"/>
      <c r="CA41" s="147"/>
      <c r="CB41" s="147"/>
      <c r="CC41" s="147"/>
      <c r="CD41" s="147"/>
      <c r="CE41" s="147"/>
      <c r="CF41" s="147"/>
      <c r="CG41" s="147"/>
      <c r="CH41" s="147"/>
      <c r="CI41" s="147"/>
      <c r="CJ41" s="147"/>
      <c r="CK41" s="147"/>
      <c r="CL41" s="147"/>
      <c r="CM41" s="147"/>
      <c r="CN41" s="147"/>
      <c r="CO41" s="147"/>
      <c r="CP41" s="147"/>
    </row>
    <row r="42" spans="1:94" s="153" customFormat="1" ht="4.5" customHeight="1" x14ac:dyDescent="0.25">
      <c r="A42" s="139"/>
      <c r="B42" s="188"/>
      <c r="C42" s="446"/>
      <c r="D42" s="447"/>
      <c r="E42" s="196"/>
      <c r="F42" s="197"/>
      <c r="G42" s="198"/>
      <c r="H42" s="199"/>
      <c r="I42" s="199"/>
      <c r="J42" s="324"/>
      <c r="K42" s="200"/>
      <c r="L42" s="323"/>
      <c r="M42" s="323"/>
      <c r="N42" s="201"/>
      <c r="O42"/>
      <c r="P42"/>
      <c r="Q42"/>
      <c r="R42"/>
      <c r="S42"/>
      <c r="T42"/>
      <c r="U42"/>
      <c r="V42"/>
      <c r="W42"/>
      <c r="X42"/>
      <c r="Y42"/>
      <c r="Z42" s="344"/>
      <c r="AA42" s="337"/>
      <c r="AB42" s="337"/>
      <c r="AC42" s="337"/>
      <c r="AD42" s="329"/>
      <c r="AE42" s="147"/>
      <c r="AF42" s="147"/>
      <c r="AG42" s="147"/>
      <c r="AH42" s="147"/>
      <c r="AI42" s="147"/>
      <c r="AJ42" s="147"/>
      <c r="AK42" s="147"/>
      <c r="AL42" s="147"/>
      <c r="AM42" s="147"/>
      <c r="AN42" s="147"/>
      <c r="AO42" s="147"/>
      <c r="AP42" s="147"/>
      <c r="AQ42" s="147"/>
      <c r="AR42" s="147"/>
      <c r="AS42" s="147"/>
      <c r="AT42" s="147"/>
      <c r="AU42" s="147"/>
      <c r="AV42" s="147"/>
      <c r="AW42" s="147"/>
      <c r="AX42" s="147"/>
      <c r="AY42" s="147"/>
      <c r="AZ42" s="147"/>
      <c r="BA42" s="147"/>
      <c r="BB42" s="147"/>
      <c r="BC42" s="147"/>
      <c r="BD42" s="147"/>
      <c r="BE42" s="147"/>
      <c r="BF42" s="147"/>
      <c r="BG42" s="147"/>
      <c r="BH42" s="147"/>
      <c r="BI42" s="147"/>
      <c r="BJ42" s="147"/>
      <c r="BK42" s="147"/>
      <c r="BL42" s="147"/>
      <c r="BM42" s="147"/>
      <c r="BN42" s="147"/>
      <c r="BO42" s="147"/>
      <c r="BP42" s="147"/>
      <c r="BQ42" s="147"/>
      <c r="BR42" s="147"/>
      <c r="BS42" s="147"/>
      <c r="BT42" s="147"/>
      <c r="BU42" s="147"/>
      <c r="BV42" s="147"/>
      <c r="BW42" s="147"/>
      <c r="BX42" s="147"/>
      <c r="BY42" s="147"/>
      <c r="BZ42" s="147"/>
      <c r="CA42" s="147"/>
      <c r="CB42" s="147"/>
      <c r="CC42" s="147"/>
      <c r="CD42" s="147"/>
      <c r="CE42" s="147"/>
      <c r="CF42" s="147"/>
      <c r="CG42" s="147"/>
      <c r="CH42" s="147"/>
      <c r="CI42" s="147"/>
      <c r="CJ42" s="147"/>
      <c r="CK42" s="147"/>
      <c r="CL42" s="147"/>
      <c r="CM42" s="147"/>
      <c r="CN42" s="147"/>
      <c r="CO42" s="147"/>
      <c r="CP42" s="147"/>
    </row>
    <row r="43" spans="1:94" s="153" customFormat="1" ht="15.75" customHeight="1" x14ac:dyDescent="0.25">
      <c r="A43" s="139"/>
      <c r="B43" s="202"/>
      <c r="C43" s="448" t="s">
        <v>39</v>
      </c>
      <c r="D43" s="449"/>
      <c r="E43" s="203" t="s">
        <v>40</v>
      </c>
      <c r="F43" s="205">
        <f>ROUND(F51-F41,2)</f>
        <v>0</v>
      </c>
      <c r="G43" s="206">
        <f>ROUND(G51-G41,-2)</f>
        <v>0</v>
      </c>
      <c r="H43" s="159">
        <f>ROUND(H51-H41,-2)</f>
        <v>0</v>
      </c>
      <c r="I43" s="159">
        <f>ROUND(I51-I41,-2)</f>
        <v>0</v>
      </c>
      <c r="J43" s="159">
        <f>SUM(G43:I43)</f>
        <v>0</v>
      </c>
      <c r="K43" s="425" t="str">
        <f>IF(E51=0,"ERROR! Enter Original Appropriation amount in DU 3.00!","Calculated "&amp;IF(J43&gt;0,"overfunding ","underfunding ")&amp;"is "&amp;TEXT(J43/J51,"#.0%;(#.0% );0% ;")&amp;" of Original Appropriation")</f>
        <v>ERROR! Enter Original Appropriation amount in DU 3.00!</v>
      </c>
      <c r="L43" s="426"/>
      <c r="M43" s="426"/>
      <c r="N43" s="427"/>
      <c r="O43"/>
      <c r="P43"/>
      <c r="Q43"/>
      <c r="R43"/>
      <c r="S43"/>
      <c r="T43"/>
      <c r="U43"/>
      <c r="V43"/>
      <c r="W43"/>
      <c r="X43"/>
      <c r="Y43"/>
      <c r="Z43" s="344"/>
      <c r="AA43" s="452" t="s">
        <v>108</v>
      </c>
      <c r="AB43" s="453"/>
      <c r="AC43" s="453"/>
      <c r="AD43" s="329"/>
      <c r="AE43" s="147"/>
      <c r="AF43" s="147"/>
      <c r="AG43" s="147"/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7"/>
      <c r="AS43" s="147"/>
      <c r="AT43" s="147"/>
      <c r="AU43" s="147"/>
      <c r="AV43" s="147"/>
      <c r="AW43" s="147"/>
      <c r="AX43" s="147"/>
      <c r="AY43" s="147"/>
      <c r="AZ43" s="147"/>
      <c r="BA43" s="147"/>
      <c r="BB43" s="147"/>
      <c r="BC43" s="147"/>
      <c r="BD43" s="147"/>
      <c r="BE43" s="147"/>
      <c r="BF43" s="147"/>
      <c r="BG43" s="147"/>
      <c r="BH43" s="147"/>
      <c r="BI43" s="147"/>
      <c r="BJ43" s="147"/>
      <c r="BK43" s="147"/>
      <c r="BL43" s="147"/>
      <c r="BM43" s="147"/>
      <c r="BN43" s="147"/>
      <c r="BO43" s="147"/>
      <c r="BP43" s="147"/>
      <c r="BQ43" s="147"/>
      <c r="BR43" s="147"/>
      <c r="BS43" s="147"/>
      <c r="BT43" s="147"/>
      <c r="BU43" s="147"/>
      <c r="BV43" s="147"/>
      <c r="BW43" s="147"/>
      <c r="BX43" s="147"/>
      <c r="BY43" s="147"/>
      <c r="BZ43" s="147"/>
      <c r="CA43" s="147"/>
      <c r="CB43" s="147"/>
      <c r="CC43" s="147"/>
      <c r="CD43" s="147"/>
      <c r="CE43" s="147"/>
      <c r="CF43" s="147"/>
      <c r="CG43" s="147"/>
      <c r="CH43" s="147"/>
      <c r="CI43" s="147"/>
      <c r="CJ43" s="147"/>
      <c r="CK43" s="147"/>
      <c r="CL43" s="147"/>
      <c r="CM43" s="147"/>
      <c r="CN43" s="147"/>
      <c r="CO43" s="147"/>
      <c r="CP43" s="147"/>
    </row>
    <row r="44" spans="1:94" s="153" customFormat="1" ht="15.75" customHeight="1" x14ac:dyDescent="0.25">
      <c r="A44" s="139"/>
      <c r="B44" s="202"/>
      <c r="C44" s="450"/>
      <c r="D44" s="451"/>
      <c r="E44" s="204" t="s">
        <v>41</v>
      </c>
      <c r="F44" s="205">
        <f>ROUND(F60-F41,2)</f>
        <v>0</v>
      </c>
      <c r="G44" s="206">
        <f>ROUND(G60-G41,-2)</f>
        <v>0</v>
      </c>
      <c r="H44" s="159">
        <f>ROUND(H60-H41,-2)</f>
        <v>0</v>
      </c>
      <c r="I44" s="159">
        <f>ROUND(I60-I41,-2)</f>
        <v>0</v>
      </c>
      <c r="J44" s="159">
        <f>SUM(G44:I44)</f>
        <v>0</v>
      </c>
      <c r="K44" s="425" t="str">
        <f>IF(E51=0,"ERROR! Enter Original Appropriation amount in DU 3.00!","Calculated "&amp;IF(J44&gt;0,"overfunding ","underfunding ")&amp;"is "&amp;TEXT(J44/J60,"#.0%;(#.0% );0% ;")&amp;" of Estimated Expenditures")</f>
        <v>ERROR! Enter Original Appropriation amount in DU 3.00!</v>
      </c>
      <c r="L44" s="426"/>
      <c r="M44" s="426"/>
      <c r="N44" s="427"/>
      <c r="O44"/>
      <c r="P44"/>
      <c r="Q44"/>
      <c r="R44"/>
      <c r="S44"/>
      <c r="T44"/>
      <c r="U44"/>
      <c r="V44"/>
      <c r="W44"/>
      <c r="X44"/>
      <c r="Y44"/>
      <c r="Z44" s="344"/>
      <c r="AA44" s="338">
        <f>NEW_AdjPermSalary-NEW_PermSalaryFilled</f>
        <v>0</v>
      </c>
      <c r="AB44" s="338">
        <f>NEW_AdjPermVB-NEW_PermVBFilled</f>
        <v>0</v>
      </c>
      <c r="AC44" s="338">
        <f>SUM(AA44:AB44)</f>
        <v>0</v>
      </c>
      <c r="AD44" s="329"/>
      <c r="AE44" s="147"/>
      <c r="AF44" s="147"/>
      <c r="AG44" s="147"/>
      <c r="AH44" s="147"/>
      <c r="AI44" s="147"/>
      <c r="AJ44" s="147"/>
      <c r="AK44" s="147"/>
      <c r="AL44" s="147"/>
      <c r="AM44" s="147"/>
      <c r="AN44" s="147"/>
      <c r="AO44" s="147"/>
      <c r="AP44" s="147"/>
      <c r="AQ44" s="147"/>
      <c r="AR44" s="147"/>
      <c r="AS44" s="147"/>
      <c r="AT44" s="147"/>
      <c r="AU44" s="147"/>
      <c r="AV44" s="147"/>
      <c r="AW44" s="147"/>
      <c r="AX44" s="147"/>
      <c r="AY44" s="147"/>
      <c r="AZ44" s="147"/>
      <c r="BA44" s="147"/>
      <c r="BB44" s="147"/>
      <c r="BC44" s="147"/>
      <c r="BD44" s="147"/>
      <c r="BE44" s="147"/>
      <c r="BF44" s="147"/>
      <c r="BG44" s="147"/>
      <c r="BH44" s="147"/>
      <c r="BI44" s="147"/>
      <c r="BJ44" s="147"/>
      <c r="BK44" s="147"/>
      <c r="BL44" s="147"/>
      <c r="BM44" s="147"/>
      <c r="BN44" s="147"/>
      <c r="BO44" s="147"/>
      <c r="BP44" s="147"/>
      <c r="BQ44" s="147"/>
      <c r="BR44" s="147"/>
      <c r="BS44" s="147"/>
      <c r="BT44" s="147"/>
      <c r="BU44" s="147"/>
      <c r="BV44" s="147"/>
      <c r="BW44" s="147"/>
      <c r="BX44" s="147"/>
      <c r="BY44" s="147"/>
      <c r="BZ44" s="147"/>
      <c r="CA44" s="147"/>
      <c r="CB44" s="147"/>
      <c r="CC44" s="147"/>
      <c r="CD44" s="147"/>
      <c r="CE44" s="147"/>
      <c r="CF44" s="147"/>
      <c r="CG44" s="147"/>
      <c r="CH44" s="147"/>
      <c r="CI44" s="147"/>
      <c r="CJ44" s="147"/>
      <c r="CK44" s="147"/>
      <c r="CL44" s="147"/>
      <c r="CM44" s="147"/>
      <c r="CN44" s="147"/>
      <c r="CO44" s="147"/>
      <c r="CP44" s="147"/>
    </row>
    <row r="45" spans="1:94" s="153" customFormat="1" ht="15.75" customHeight="1" x14ac:dyDescent="0.25">
      <c r="A45" s="139"/>
      <c r="B45" s="202"/>
      <c r="C45" s="215"/>
      <c r="D45" s="215"/>
      <c r="E45" s="204" t="s">
        <v>99</v>
      </c>
      <c r="F45" s="205">
        <f>ROUND(F67-F41-F63,2)</f>
        <v>0</v>
      </c>
      <c r="G45" s="206">
        <f>ROUND(G67-G41-G63,-2)</f>
        <v>0</v>
      </c>
      <c r="H45" s="206">
        <f>ROUND(H67-H41-H63,-2)</f>
        <v>0</v>
      </c>
      <c r="I45" s="206">
        <f>ROUND(I67-I41-I63,-2)</f>
        <v>0</v>
      </c>
      <c r="J45" s="159">
        <f>SUM(G45:I45)</f>
        <v>0</v>
      </c>
      <c r="K45" s="425" t="str">
        <f>IF(J67=0,"Program has a zero base",IF(E51=0,"ERROR! Enter Original Appropriation amount in DU 3.00!","Calculated "&amp;IF(J45&gt;0,"overfunding ","underfunding ")&amp;"is "&amp;TEXT(J45/J67,"#.0%;(#.0% );0% ;")&amp;" of the Base"))</f>
        <v>Program has a zero base</v>
      </c>
      <c r="L45" s="426"/>
      <c r="M45" s="426"/>
      <c r="N45" s="427"/>
      <c r="O45"/>
      <c r="P45"/>
      <c r="Q45"/>
      <c r="R45"/>
      <c r="S45"/>
      <c r="T45"/>
      <c r="U45"/>
      <c r="V45"/>
      <c r="W45"/>
      <c r="X45"/>
      <c r="Y45"/>
      <c r="Z45" s="344"/>
      <c r="AA45" s="338">
        <f>NEW_AdjGroupSalary-NEW_GroupSalaryFilled</f>
        <v>0</v>
      </c>
      <c r="AB45" s="338">
        <f>NEW_AdjGroupVB-NEW_GroupVBFilled</f>
        <v>0</v>
      </c>
      <c r="AC45" s="338">
        <f>SUM(AA45:AB45)</f>
        <v>0</v>
      </c>
      <c r="AD45" s="329"/>
      <c r="AE45" s="147"/>
      <c r="AF45" s="147"/>
      <c r="AG45" s="147"/>
      <c r="AH45" s="147"/>
      <c r="AI45" s="147"/>
      <c r="AJ45" s="147"/>
      <c r="AK45" s="147"/>
      <c r="AL45" s="147"/>
      <c r="AM45" s="147"/>
      <c r="AN45" s="147"/>
      <c r="AO45" s="147"/>
      <c r="AP45" s="147"/>
      <c r="AQ45" s="147"/>
      <c r="AR45" s="147"/>
      <c r="AS45" s="147"/>
      <c r="AT45" s="147"/>
      <c r="AU45" s="147"/>
      <c r="AV45" s="147"/>
      <c r="AW45" s="147"/>
      <c r="AX45" s="147"/>
      <c r="AY45" s="147"/>
      <c r="AZ45" s="147"/>
      <c r="BA45" s="147"/>
      <c r="BB45" s="147"/>
      <c r="BC45" s="147"/>
      <c r="BD45" s="147"/>
      <c r="BE45" s="147"/>
      <c r="BF45" s="147"/>
      <c r="BG45" s="147"/>
      <c r="BH45" s="147"/>
      <c r="BI45" s="147"/>
      <c r="BJ45" s="147"/>
      <c r="BK45" s="147"/>
      <c r="BL45" s="147"/>
      <c r="BM45" s="147"/>
      <c r="BN45" s="147"/>
      <c r="BO45" s="147"/>
      <c r="BP45" s="147"/>
      <c r="BQ45" s="147"/>
      <c r="BR45" s="147"/>
      <c r="BS45" s="147"/>
      <c r="BT45" s="147"/>
      <c r="BU45" s="147"/>
      <c r="BV45" s="147"/>
      <c r="BW45" s="147"/>
      <c r="BX45" s="147"/>
      <c r="BY45" s="147"/>
      <c r="BZ45" s="147"/>
      <c r="CA45" s="147"/>
      <c r="CB45" s="147"/>
      <c r="CC45" s="147"/>
      <c r="CD45" s="147"/>
      <c r="CE45" s="147"/>
      <c r="CF45" s="147"/>
      <c r="CG45" s="147"/>
      <c r="CH45" s="147"/>
      <c r="CI45" s="147"/>
      <c r="CJ45" s="147"/>
      <c r="CK45" s="147"/>
      <c r="CL45" s="147"/>
      <c r="CM45" s="147"/>
      <c r="CN45" s="147"/>
      <c r="CO45" s="147"/>
      <c r="CP45" s="147"/>
    </row>
    <row r="46" spans="1:94" s="153" customFormat="1" ht="28.5" customHeight="1" x14ac:dyDescent="0.25">
      <c r="A46" s="139"/>
      <c r="B46" s="202"/>
      <c r="C46" s="215"/>
      <c r="D46" s="215"/>
      <c r="E46" s="428" t="s">
        <v>100</v>
      </c>
      <c r="F46" s="429"/>
      <c r="G46" s="429"/>
      <c r="H46" s="429"/>
      <c r="I46" s="429"/>
      <c r="J46" s="430"/>
      <c r="K46" s="434" t="str">
        <f>IF(OR(J45&lt;0,F45&lt;0),"You may not have sufficient funding or authorized FTP, and may need to make additional adjustments to finalize this form.  Please contact both your DFM and LSO analysts.","")</f>
        <v/>
      </c>
      <c r="L46" s="435"/>
      <c r="M46" s="435"/>
      <c r="N46" s="436"/>
      <c r="O46"/>
      <c r="P46"/>
      <c r="Q46"/>
      <c r="R46"/>
      <c r="S46"/>
      <c r="T46"/>
      <c r="U46"/>
      <c r="V46"/>
      <c r="W46"/>
      <c r="X46"/>
      <c r="Y46"/>
      <c r="Z46" s="344"/>
      <c r="AA46" s="337"/>
      <c r="AB46" s="337"/>
      <c r="AC46" s="337"/>
      <c r="AD46" s="329"/>
      <c r="AE46" s="147"/>
      <c r="AF46" s="147"/>
      <c r="AG46" s="147"/>
      <c r="AH46" s="147"/>
      <c r="AI46" s="147"/>
      <c r="AJ46" s="147"/>
      <c r="AK46" s="147"/>
      <c r="AL46" s="147"/>
      <c r="AM46" s="147"/>
      <c r="AN46" s="147"/>
      <c r="AO46" s="147"/>
      <c r="AP46" s="147"/>
      <c r="AQ46" s="147"/>
      <c r="AR46" s="147"/>
      <c r="AS46" s="147"/>
      <c r="AT46" s="147"/>
      <c r="AU46" s="147"/>
      <c r="AV46" s="147"/>
      <c r="AW46" s="147"/>
      <c r="AX46" s="147"/>
      <c r="AY46" s="147"/>
      <c r="AZ46" s="147"/>
      <c r="BA46" s="147"/>
      <c r="BB46" s="147"/>
      <c r="BC46" s="147"/>
      <c r="BD46" s="147"/>
      <c r="BE46" s="147"/>
      <c r="BF46" s="147"/>
      <c r="BG46" s="147"/>
      <c r="BH46" s="147"/>
      <c r="BI46" s="147"/>
      <c r="BJ46" s="147"/>
      <c r="BK46" s="147"/>
      <c r="BL46" s="147"/>
      <c r="BM46" s="147"/>
      <c r="BN46" s="147"/>
      <c r="BO46" s="147"/>
      <c r="BP46" s="147"/>
      <c r="BQ46" s="147"/>
      <c r="BR46" s="147"/>
      <c r="BS46" s="147"/>
      <c r="BT46" s="147"/>
      <c r="BU46" s="147"/>
      <c r="BV46" s="147"/>
      <c r="BW46" s="147"/>
      <c r="BX46" s="147"/>
      <c r="BY46" s="147"/>
      <c r="BZ46" s="147"/>
      <c r="CA46" s="147"/>
      <c r="CB46" s="147"/>
      <c r="CC46" s="147"/>
      <c r="CD46" s="147"/>
      <c r="CE46" s="147"/>
      <c r="CF46" s="147"/>
      <c r="CG46" s="147"/>
      <c r="CH46" s="147"/>
      <c r="CI46" s="147"/>
      <c r="CJ46" s="147"/>
      <c r="CK46" s="147"/>
      <c r="CL46" s="147"/>
      <c r="CM46" s="147"/>
      <c r="CN46" s="147"/>
      <c r="CO46" s="147"/>
      <c r="CP46" s="147"/>
    </row>
    <row r="47" spans="1:94" s="153" customFormat="1" ht="21.75" customHeight="1" x14ac:dyDescent="0.25">
      <c r="A47" s="139"/>
      <c r="B47" s="202"/>
      <c r="C47" s="215"/>
      <c r="D47" s="215"/>
      <c r="E47" s="431"/>
      <c r="F47" s="432"/>
      <c r="G47" s="432"/>
      <c r="H47" s="432"/>
      <c r="I47" s="432"/>
      <c r="J47" s="433"/>
      <c r="K47" s="437"/>
      <c r="L47" s="438"/>
      <c r="M47" s="438"/>
      <c r="N47" s="439"/>
      <c r="O47"/>
      <c r="P47"/>
      <c r="Q47"/>
      <c r="R47"/>
      <c r="S47"/>
      <c r="T47"/>
      <c r="U47"/>
      <c r="V47"/>
      <c r="W47"/>
      <c r="X47"/>
      <c r="Y47"/>
      <c r="Z47" s="344"/>
      <c r="AA47" s="337"/>
      <c r="AB47" s="337"/>
      <c r="AC47" s="337"/>
      <c r="AD47" s="329"/>
      <c r="AE47" s="147"/>
      <c r="AF47" s="147"/>
      <c r="AG47" s="147"/>
      <c r="AH47" s="147"/>
      <c r="AI47" s="147"/>
      <c r="AJ47" s="147"/>
      <c r="AK47" s="147"/>
      <c r="AL47" s="147"/>
      <c r="AM47" s="147"/>
      <c r="AN47" s="147"/>
      <c r="AO47" s="147"/>
      <c r="AP47" s="147"/>
      <c r="AQ47" s="147"/>
      <c r="AR47" s="147"/>
      <c r="AS47" s="147"/>
      <c r="AT47" s="147"/>
      <c r="AU47" s="147"/>
      <c r="AV47" s="147"/>
      <c r="AW47" s="147"/>
      <c r="AX47" s="147"/>
      <c r="AY47" s="147"/>
      <c r="AZ47" s="147"/>
      <c r="BA47" s="147"/>
      <c r="BB47" s="147"/>
      <c r="BC47" s="147"/>
      <c r="BD47" s="147"/>
      <c r="BE47" s="147"/>
      <c r="BF47" s="147"/>
      <c r="BG47" s="147"/>
      <c r="BH47" s="147"/>
      <c r="BI47" s="147"/>
      <c r="BJ47" s="147"/>
      <c r="BK47" s="147"/>
      <c r="BL47" s="147"/>
      <c r="BM47" s="147"/>
      <c r="BN47" s="147"/>
      <c r="BO47" s="147"/>
      <c r="BP47" s="147"/>
      <c r="BQ47" s="147"/>
      <c r="BR47" s="147"/>
      <c r="BS47" s="147"/>
      <c r="BT47" s="147"/>
      <c r="BU47" s="147"/>
      <c r="BV47" s="147"/>
      <c r="BW47" s="147"/>
      <c r="BX47" s="147"/>
      <c r="BY47" s="147"/>
      <c r="BZ47" s="147"/>
      <c r="CA47" s="147"/>
      <c r="CB47" s="147"/>
      <c r="CC47" s="147"/>
      <c r="CD47" s="147"/>
      <c r="CE47" s="147"/>
      <c r="CF47" s="147"/>
      <c r="CG47" s="147"/>
      <c r="CH47" s="147"/>
      <c r="CI47" s="147"/>
      <c r="CJ47" s="147"/>
      <c r="CK47" s="147"/>
      <c r="CL47" s="147"/>
      <c r="CM47" s="147"/>
      <c r="CN47" s="147"/>
      <c r="CO47" s="147"/>
      <c r="CP47" s="147"/>
    </row>
    <row r="48" spans="1:94" s="214" customFormat="1" ht="8.25" customHeight="1" x14ac:dyDescent="0.25">
      <c r="A48" s="207"/>
      <c r="B48" s="208"/>
      <c r="C48" s="136"/>
      <c r="D48" s="136"/>
      <c r="E48" s="209"/>
      <c r="F48" s="210"/>
      <c r="G48" s="211"/>
      <c r="H48" s="211"/>
      <c r="I48" s="211"/>
      <c r="J48" s="211"/>
      <c r="K48" s="211"/>
      <c r="L48" s="137"/>
      <c r="M48" s="138"/>
      <c r="N48" s="212"/>
      <c r="O48"/>
      <c r="P48"/>
      <c r="Q48"/>
      <c r="R48"/>
      <c r="S48"/>
      <c r="T48"/>
      <c r="U48"/>
      <c r="V48"/>
      <c r="W48"/>
      <c r="X48"/>
      <c r="Y48"/>
      <c r="Z48" s="344"/>
      <c r="AA48" s="339"/>
      <c r="AB48" s="339"/>
      <c r="AC48" s="339"/>
      <c r="AD48" s="330"/>
      <c r="AE48" s="213"/>
      <c r="AF48" s="213"/>
      <c r="AG48" s="213"/>
      <c r="AH48" s="213"/>
      <c r="AI48" s="213"/>
      <c r="AJ48" s="213"/>
      <c r="AK48" s="213"/>
      <c r="AL48" s="213"/>
      <c r="AM48" s="213"/>
      <c r="AN48" s="213"/>
      <c r="AO48" s="213"/>
      <c r="AP48" s="213"/>
      <c r="AQ48" s="213"/>
      <c r="AR48" s="213"/>
      <c r="AS48" s="213"/>
      <c r="AT48" s="213"/>
      <c r="AU48" s="213"/>
      <c r="AV48" s="213"/>
      <c r="AW48" s="213"/>
      <c r="AX48" s="213"/>
      <c r="AY48" s="213"/>
      <c r="AZ48" s="213"/>
      <c r="BA48" s="213"/>
      <c r="BB48" s="213"/>
      <c r="BC48" s="213"/>
      <c r="BD48" s="213"/>
      <c r="BE48" s="213"/>
      <c r="BF48" s="213"/>
      <c r="BG48" s="213"/>
      <c r="BH48" s="213"/>
      <c r="BI48" s="213"/>
      <c r="BJ48" s="213"/>
      <c r="BK48" s="213"/>
      <c r="BL48" s="213"/>
      <c r="BM48" s="213"/>
      <c r="BN48" s="213"/>
      <c r="BO48" s="213"/>
      <c r="BP48" s="213"/>
      <c r="BQ48" s="213"/>
      <c r="BR48" s="213"/>
      <c r="BS48" s="213"/>
      <c r="BT48" s="213"/>
      <c r="BU48" s="213"/>
      <c r="BV48" s="213"/>
      <c r="BW48" s="213"/>
      <c r="BX48" s="213"/>
      <c r="BY48" s="213"/>
      <c r="BZ48" s="213"/>
      <c r="CA48" s="213"/>
      <c r="CB48" s="213"/>
      <c r="CC48" s="213"/>
      <c r="CD48" s="213"/>
      <c r="CE48" s="213"/>
      <c r="CF48" s="213"/>
      <c r="CG48" s="213"/>
      <c r="CH48" s="213"/>
      <c r="CI48" s="213"/>
      <c r="CJ48" s="213"/>
      <c r="CK48" s="213"/>
      <c r="CL48" s="213"/>
      <c r="CM48" s="213"/>
      <c r="CN48" s="213"/>
      <c r="CO48" s="213"/>
      <c r="CP48" s="213"/>
    </row>
    <row r="49" spans="1:94" s="53" customFormat="1" ht="6" customHeight="1" x14ac:dyDescent="0.25">
      <c r="A49" s="63"/>
      <c r="B49" s="64"/>
      <c r="C49" s="65"/>
      <c r="D49" s="66"/>
      <c r="E49" s="67"/>
      <c r="F49" s="68"/>
      <c r="G49" s="64"/>
      <c r="H49" s="64"/>
      <c r="I49" s="64"/>
      <c r="J49" s="64"/>
      <c r="K49" s="64"/>
      <c r="L49" s="69"/>
      <c r="M49" s="69"/>
      <c r="N49" s="70"/>
      <c r="O49"/>
      <c r="P49"/>
      <c r="Q49"/>
      <c r="R49"/>
      <c r="S49"/>
      <c r="T49"/>
      <c r="U49"/>
      <c r="V49"/>
      <c r="W49"/>
      <c r="X49"/>
      <c r="Y49"/>
      <c r="Z49" s="344"/>
      <c r="AA49" s="337"/>
      <c r="AB49" s="337"/>
      <c r="AC49" s="337"/>
      <c r="AD49" s="110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  <c r="BF49" s="41"/>
      <c r="BG49" s="41"/>
      <c r="BH49" s="41"/>
      <c r="BI49" s="41"/>
      <c r="BJ49" s="41"/>
      <c r="BK49" s="41"/>
      <c r="BL49" s="41"/>
      <c r="BM49" s="41"/>
      <c r="BN49" s="41"/>
      <c r="BO49" s="41"/>
      <c r="BP49" s="41"/>
      <c r="BQ49" s="41"/>
      <c r="BR49" s="41"/>
      <c r="BS49" s="41"/>
      <c r="BT49" s="41"/>
      <c r="BU49" s="41"/>
      <c r="BV49" s="41"/>
      <c r="BW49" s="41"/>
      <c r="BX49" s="41"/>
      <c r="BY49" s="41"/>
      <c r="BZ49" s="41"/>
      <c r="CA49" s="41"/>
      <c r="CB49" s="41"/>
      <c r="CC49" s="41"/>
      <c r="CD49" s="41"/>
      <c r="CE49" s="41"/>
      <c r="CF49" s="41"/>
      <c r="CG49" s="41"/>
      <c r="CH49" s="41"/>
      <c r="CI49" s="41"/>
      <c r="CJ49" s="41"/>
      <c r="CK49" s="41"/>
      <c r="CL49" s="41"/>
      <c r="CM49" s="41"/>
      <c r="CN49" s="41"/>
      <c r="CO49" s="41"/>
      <c r="CP49" s="41"/>
    </row>
    <row r="50" spans="1:94" s="53" customFormat="1" ht="24.75" customHeight="1" x14ac:dyDescent="0.25">
      <c r="A50" s="257" t="s">
        <v>42</v>
      </c>
      <c r="B50" s="71"/>
      <c r="C50" s="440"/>
      <c r="D50" s="441"/>
      <c r="E50" s="72" t="s">
        <v>43</v>
      </c>
      <c r="F50" s="73" t="s">
        <v>24</v>
      </c>
      <c r="G50" s="72" t="str">
        <f>"FY "&amp;M4-2001&amp;" Salary"</f>
        <v>FY 22 Salary</v>
      </c>
      <c r="H50" s="72" t="str">
        <f>"FY "&amp;M4-2001&amp;" Health Ben"</f>
        <v>FY 22 Health Ben</v>
      </c>
      <c r="I50" s="72" t="str">
        <f>"FY "&amp;M4-2001&amp;" Var Ben"</f>
        <v>FY 22 Var Ben</v>
      </c>
      <c r="J50" s="72" t="str">
        <f>"FY "&amp;M4-1&amp;" Total"</f>
        <v>FY 2022 Total</v>
      </c>
      <c r="K50" s="307" t="str">
        <f>"FY "&amp;FiscalYear&amp;" SALARY CHG"</f>
        <v>FY 2023 SALARY CHG</v>
      </c>
      <c r="L50" s="74" t="str">
        <f>"FY "&amp;M4-2000&amp;" Chg Health Bens"</f>
        <v>FY 23 Chg Health Bens</v>
      </c>
      <c r="M50" s="74" t="str">
        <f>"FY "&amp;M4-2000&amp;" Chg Var Bens"</f>
        <v>FY 23 Chg Var Bens</v>
      </c>
      <c r="N50" s="74" t="s">
        <v>44</v>
      </c>
      <c r="O50"/>
      <c r="P50"/>
      <c r="Q50"/>
      <c r="R50"/>
      <c r="S50"/>
      <c r="T50"/>
      <c r="U50"/>
      <c r="V50"/>
      <c r="W50"/>
      <c r="X50"/>
      <c r="Y50"/>
      <c r="Z50" s="344"/>
      <c r="AA50" s="337"/>
      <c r="AB50" s="337"/>
      <c r="AC50" s="337"/>
      <c r="AD50" s="110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  <c r="BF50" s="41"/>
      <c r="BG50" s="41"/>
      <c r="BH50" s="41"/>
      <c r="BI50" s="41"/>
      <c r="BJ50" s="41"/>
      <c r="BK50" s="41"/>
      <c r="BL50" s="41"/>
      <c r="BM50" s="41"/>
      <c r="BN50" s="41"/>
      <c r="BO50" s="41"/>
      <c r="BP50" s="41"/>
      <c r="BQ50" s="41"/>
      <c r="BR50" s="41"/>
      <c r="BS50" s="41"/>
      <c r="BT50" s="41"/>
      <c r="BU50" s="41"/>
      <c r="BV50" s="41"/>
      <c r="BW50" s="41"/>
      <c r="BX50" s="41"/>
      <c r="BY50" s="41"/>
      <c r="BZ50" s="41"/>
      <c r="CA50" s="41"/>
      <c r="CB50" s="41"/>
      <c r="CC50" s="41"/>
      <c r="CD50" s="41"/>
      <c r="CE50" s="41"/>
      <c r="CF50" s="41"/>
      <c r="CG50" s="41"/>
      <c r="CH50" s="41"/>
      <c r="CI50" s="41"/>
      <c r="CJ50" s="41"/>
      <c r="CK50" s="41"/>
      <c r="CL50" s="41"/>
      <c r="CM50" s="41"/>
      <c r="CN50" s="41"/>
      <c r="CO50" s="41"/>
      <c r="CP50" s="41"/>
    </row>
    <row r="51" spans="1:94" s="53" customFormat="1" ht="15.75" customHeight="1" x14ac:dyDescent="0.25">
      <c r="A51" s="75">
        <v>3</v>
      </c>
      <c r="B51" s="76" t="s">
        <v>45</v>
      </c>
      <c r="C51" s="54" t="str">
        <f>"FY "&amp;M4-1</f>
        <v>FY 2022</v>
      </c>
      <c r="D51" s="77" t="s">
        <v>31</v>
      </c>
      <c r="E51" s="78">
        <f>OrigApprop</f>
        <v>0</v>
      </c>
      <c r="F51" s="272">
        <f>AppropFTP</f>
        <v>0</v>
      </c>
      <c r="G51" s="274">
        <f>IF(E51=0,0,(G41/$J$41)*$E$51)</f>
        <v>0</v>
      </c>
      <c r="H51" s="274">
        <f>IF(E51=0,0,(H41/$J$41)*$E$51)</f>
        <v>0</v>
      </c>
      <c r="I51" s="275">
        <f>IF(E51=0,0,(I41/$J$41)*$E$51)</f>
        <v>0</v>
      </c>
      <c r="J51" s="90">
        <f>SUM(G51:I51)</f>
        <v>0</v>
      </c>
      <c r="K51" s="263"/>
      <c r="L51" s="61"/>
      <c r="M51" s="81"/>
      <c r="N51" s="81"/>
      <c r="O51"/>
      <c r="P51"/>
      <c r="Q51"/>
      <c r="R51"/>
      <c r="S51"/>
      <c r="T51"/>
      <c r="U51"/>
      <c r="V51"/>
      <c r="W51"/>
      <c r="X51"/>
      <c r="Y51"/>
      <c r="Z51" s="344"/>
      <c r="AA51" s="346"/>
      <c r="AB51" s="337"/>
      <c r="AC51" s="337"/>
      <c r="AD51" s="110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  <c r="BF51" s="41"/>
      <c r="BG51" s="41"/>
      <c r="BH51" s="41"/>
      <c r="BI51" s="41"/>
      <c r="BJ51" s="41"/>
      <c r="BK51" s="41"/>
      <c r="BL51" s="41"/>
      <c r="BM51" s="41"/>
      <c r="BN51" s="41"/>
      <c r="BO51" s="41"/>
      <c r="BP51" s="41"/>
      <c r="BQ51" s="41"/>
      <c r="BR51" s="41"/>
      <c r="BS51" s="41"/>
      <c r="BT51" s="41"/>
      <c r="BU51" s="41"/>
      <c r="BV51" s="41"/>
      <c r="BW51" s="41"/>
      <c r="BX51" s="41"/>
      <c r="BY51" s="41"/>
      <c r="BZ51" s="41"/>
      <c r="CA51" s="41"/>
      <c r="CB51" s="41"/>
      <c r="CC51" s="41"/>
      <c r="CD51" s="41"/>
      <c r="CE51" s="41"/>
      <c r="CF51" s="41"/>
      <c r="CG51" s="41"/>
      <c r="CH51" s="41"/>
      <c r="CI51" s="41"/>
      <c r="CJ51" s="41"/>
      <c r="CK51" s="41"/>
      <c r="CL51" s="41"/>
      <c r="CM51" s="41"/>
      <c r="CN51" s="41"/>
      <c r="CO51" s="41"/>
      <c r="CP51" s="41"/>
    </row>
    <row r="52" spans="1:94" s="53" customFormat="1" ht="15.75" customHeight="1" x14ac:dyDescent="0.25">
      <c r="A52" s="82"/>
      <c r="B52" s="83"/>
      <c r="C52" s="84"/>
      <c r="D52" s="132" t="s">
        <v>46</v>
      </c>
      <c r="E52" s="133"/>
      <c r="F52" s="55">
        <f>F51</f>
        <v>0</v>
      </c>
      <c r="G52" s="79">
        <f>ROUND(G51,-2)</f>
        <v>0</v>
      </c>
      <c r="H52" s="79">
        <f>ROUND(H51,-2)</f>
        <v>0</v>
      </c>
      <c r="I52" s="266">
        <f>ROUND(I51,-2)</f>
        <v>0</v>
      </c>
      <c r="J52" s="80">
        <f>ROUND(J51,-2)</f>
        <v>0</v>
      </c>
      <c r="K52" s="263"/>
      <c r="L52" s="61"/>
      <c r="M52" s="81"/>
      <c r="N52" s="81"/>
      <c r="O52"/>
      <c r="P52"/>
      <c r="Q52"/>
      <c r="R52"/>
      <c r="S52"/>
      <c r="T52"/>
      <c r="U52"/>
      <c r="V52"/>
      <c r="W52"/>
      <c r="X52"/>
      <c r="Y52"/>
      <c r="Z52" s="344"/>
      <c r="AA52" s="347"/>
      <c r="AB52" s="337"/>
      <c r="AC52" s="337"/>
      <c r="AD52" s="110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  <c r="BF52" s="41"/>
      <c r="BG52" s="41"/>
      <c r="BH52" s="41"/>
      <c r="BI52" s="41"/>
      <c r="BJ52" s="41"/>
      <c r="BK52" s="41"/>
      <c r="BL52" s="41"/>
      <c r="BM52" s="41"/>
      <c r="BN52" s="41"/>
      <c r="BO52" s="41"/>
      <c r="BP52" s="41"/>
      <c r="BQ52" s="41"/>
      <c r="BR52" s="41"/>
      <c r="BS52" s="41"/>
      <c r="BT52" s="41"/>
      <c r="BU52" s="41"/>
      <c r="BV52" s="41"/>
      <c r="BW52" s="41"/>
      <c r="BX52" s="41"/>
      <c r="BY52" s="41"/>
      <c r="BZ52" s="41"/>
      <c r="CA52" s="41"/>
      <c r="CB52" s="41"/>
      <c r="CC52" s="41"/>
      <c r="CD52" s="41"/>
      <c r="CE52" s="41"/>
      <c r="CF52" s="41"/>
      <c r="CG52" s="41"/>
      <c r="CH52" s="41"/>
      <c r="CI52" s="41"/>
      <c r="CJ52" s="41"/>
      <c r="CK52" s="41"/>
      <c r="CL52" s="41"/>
      <c r="CM52" s="41"/>
      <c r="CN52" s="41"/>
      <c r="CO52" s="41"/>
      <c r="CP52" s="41"/>
    </row>
    <row r="53" spans="1:94" s="53" customFormat="1" ht="15" x14ac:dyDescent="0.25">
      <c r="A53" s="85"/>
      <c r="B53" s="83"/>
      <c r="C53" s="442" t="s">
        <v>47</v>
      </c>
      <c r="D53" s="443"/>
      <c r="E53" s="271"/>
      <c r="F53" s="273"/>
      <c r="G53" s="62"/>
      <c r="H53" s="62"/>
      <c r="I53" s="62"/>
      <c r="J53" s="62"/>
      <c r="K53" s="62"/>
      <c r="L53" s="61"/>
      <c r="M53" s="86"/>
      <c r="N53" s="86"/>
      <c r="O53"/>
      <c r="P53"/>
      <c r="Q53"/>
      <c r="R53"/>
      <c r="S53"/>
      <c r="T53"/>
      <c r="U53"/>
      <c r="V53"/>
      <c r="W53"/>
      <c r="X53"/>
      <c r="Y53"/>
      <c r="Z53" s="344"/>
      <c r="AA53" s="337"/>
      <c r="AB53" s="337"/>
      <c r="AC53" s="337"/>
      <c r="AD53" s="110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  <c r="BF53" s="41"/>
      <c r="BG53" s="41"/>
      <c r="BH53" s="41"/>
      <c r="BI53" s="41"/>
      <c r="BJ53" s="41"/>
      <c r="BK53" s="41"/>
      <c r="BL53" s="41"/>
      <c r="BM53" s="41"/>
      <c r="BN53" s="41"/>
      <c r="BO53" s="41"/>
      <c r="BP53" s="41"/>
      <c r="BQ53" s="41"/>
      <c r="BR53" s="41"/>
      <c r="BS53" s="41"/>
      <c r="BT53" s="41"/>
      <c r="BU53" s="41"/>
      <c r="BV53" s="41"/>
      <c r="BW53" s="41"/>
      <c r="BX53" s="41"/>
      <c r="BY53" s="41"/>
      <c r="BZ53" s="41"/>
      <c r="CA53" s="41"/>
      <c r="CB53" s="41"/>
      <c r="CC53" s="41"/>
      <c r="CD53" s="41"/>
      <c r="CE53" s="41"/>
      <c r="CF53" s="41"/>
      <c r="CG53" s="41"/>
      <c r="CH53" s="41"/>
      <c r="CI53" s="41"/>
      <c r="CJ53" s="41"/>
      <c r="CK53" s="41"/>
      <c r="CL53" s="41"/>
      <c r="CM53" s="41"/>
      <c r="CN53" s="41"/>
      <c r="CO53" s="41"/>
      <c r="CP53" s="41"/>
    </row>
    <row r="54" spans="1:94" s="53" customFormat="1" ht="15.75" customHeight="1" x14ac:dyDescent="0.25">
      <c r="A54" s="85">
        <v>4.1100000000000003</v>
      </c>
      <c r="B54" s="83"/>
      <c r="C54" s="409" t="s">
        <v>48</v>
      </c>
      <c r="D54" s="410"/>
      <c r="E54" s="59"/>
      <c r="F54" s="58">
        <v>0</v>
      </c>
      <c r="G54" s="88">
        <v>0</v>
      </c>
      <c r="H54" s="88">
        <v>0</v>
      </c>
      <c r="I54" s="265">
        <v>0</v>
      </c>
      <c r="J54" s="89">
        <f>SUM(G54:I54)</f>
        <v>0</v>
      </c>
      <c r="K54" s="62"/>
      <c r="L54" s="61"/>
      <c r="M54" s="86"/>
      <c r="N54" s="86"/>
      <c r="O54"/>
      <c r="P54"/>
      <c r="Q54"/>
      <c r="R54"/>
      <c r="S54"/>
      <c r="T54"/>
      <c r="U54"/>
      <c r="V54"/>
      <c r="W54"/>
      <c r="X54"/>
      <c r="Y54"/>
      <c r="Z54" s="344"/>
      <c r="AA54" s="337"/>
      <c r="AB54" s="337"/>
      <c r="AC54" s="337"/>
      <c r="AD54" s="110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  <c r="BF54" s="41"/>
      <c r="BG54" s="41"/>
      <c r="BH54" s="41"/>
      <c r="BI54" s="41"/>
      <c r="BJ54" s="41"/>
      <c r="BK54" s="41"/>
      <c r="BL54" s="41"/>
      <c r="BM54" s="41"/>
      <c r="BN54" s="41"/>
      <c r="BO54" s="41"/>
      <c r="BP54" s="41"/>
      <c r="BQ54" s="41"/>
      <c r="BR54" s="41"/>
      <c r="BS54" s="41"/>
      <c r="BT54" s="41"/>
      <c r="BU54" s="41"/>
      <c r="BV54" s="41"/>
      <c r="BW54" s="41"/>
      <c r="BX54" s="41"/>
      <c r="BY54" s="41"/>
      <c r="BZ54" s="41"/>
      <c r="CA54" s="41"/>
      <c r="CB54" s="41"/>
      <c r="CC54" s="41"/>
      <c r="CD54" s="41"/>
      <c r="CE54" s="41"/>
      <c r="CF54" s="41"/>
      <c r="CG54" s="41"/>
      <c r="CH54" s="41"/>
      <c r="CI54" s="41"/>
      <c r="CJ54" s="41"/>
      <c r="CK54" s="41"/>
      <c r="CL54" s="41"/>
      <c r="CM54" s="41"/>
      <c r="CN54" s="41"/>
      <c r="CO54" s="41"/>
      <c r="CP54" s="41"/>
    </row>
    <row r="55" spans="1:94" s="53" customFormat="1" ht="15.75" customHeight="1" x14ac:dyDescent="0.25">
      <c r="A55" s="85">
        <v>4.3099999999999996</v>
      </c>
      <c r="B55" s="83"/>
      <c r="C55" s="422" t="s">
        <v>49</v>
      </c>
      <c r="D55" s="423"/>
      <c r="E55" s="59"/>
      <c r="F55" s="277">
        <v>0</v>
      </c>
      <c r="G55" s="92">
        <v>0</v>
      </c>
      <c r="H55" s="92">
        <v>0</v>
      </c>
      <c r="I55" s="264">
        <v>0</v>
      </c>
      <c r="J55" s="287">
        <f>SUM(G55:I55)</f>
        <v>0</v>
      </c>
      <c r="K55" s="62"/>
      <c r="L55" s="88"/>
      <c r="M55" s="261"/>
      <c r="N55" s="89">
        <f>SUM(L55:M55)</f>
        <v>0</v>
      </c>
      <c r="O55"/>
      <c r="P55"/>
      <c r="Q55"/>
      <c r="R55"/>
      <c r="S55"/>
      <c r="T55"/>
      <c r="U55"/>
      <c r="V55"/>
      <c r="W55"/>
      <c r="X55"/>
      <c r="Y55"/>
      <c r="Z55" s="344"/>
      <c r="AA55" s="337"/>
      <c r="AB55" s="337"/>
      <c r="AC55" s="337"/>
      <c r="AD55" s="110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  <c r="BF55" s="41"/>
      <c r="BG55" s="41"/>
      <c r="BH55" s="41"/>
      <c r="BI55" s="41"/>
      <c r="BJ55" s="41"/>
      <c r="BK55" s="41"/>
      <c r="BL55" s="41"/>
      <c r="BM55" s="41"/>
      <c r="BN55" s="41"/>
      <c r="BO55" s="41"/>
      <c r="BP55" s="41"/>
      <c r="BQ55" s="41"/>
      <c r="BR55" s="41"/>
      <c r="BS55" s="41"/>
      <c r="BT55" s="41"/>
      <c r="BU55" s="41"/>
      <c r="BV55" s="41"/>
      <c r="BW55" s="41"/>
      <c r="BX55" s="41"/>
      <c r="BY55" s="41"/>
      <c r="BZ55" s="41"/>
      <c r="CA55" s="41"/>
      <c r="CB55" s="41"/>
      <c r="CC55" s="41"/>
      <c r="CD55" s="41"/>
      <c r="CE55" s="41"/>
      <c r="CF55" s="41"/>
      <c r="CG55" s="41"/>
      <c r="CH55" s="41"/>
      <c r="CI55" s="41"/>
      <c r="CJ55" s="41"/>
      <c r="CK55" s="41"/>
      <c r="CL55" s="41"/>
      <c r="CM55" s="41"/>
      <c r="CN55" s="41"/>
      <c r="CO55" s="41"/>
      <c r="CP55" s="41"/>
    </row>
    <row r="56" spans="1:94" s="53" customFormat="1" ht="15.75" customHeight="1" x14ac:dyDescent="0.25">
      <c r="A56" s="75">
        <v>5</v>
      </c>
      <c r="B56" s="76"/>
      <c r="C56" s="54" t="str">
        <f>"FY "&amp;M4-1</f>
        <v>FY 2022</v>
      </c>
      <c r="D56" s="131" t="s">
        <v>50</v>
      </c>
      <c r="E56" s="135"/>
      <c r="F56" s="55">
        <f>SUM(F52:F55)</f>
        <v>0</v>
      </c>
      <c r="G56" s="80">
        <f>SUM(G52:G55)</f>
        <v>0</v>
      </c>
      <c r="H56" s="80">
        <f>SUM(H52:H55)</f>
        <v>0</v>
      </c>
      <c r="I56" s="260">
        <f>SUM(I52:I55)</f>
        <v>0</v>
      </c>
      <c r="J56" s="80">
        <f>SUM(J52:J55)</f>
        <v>0</v>
      </c>
      <c r="K56" s="263"/>
      <c r="L56" s="61"/>
      <c r="M56" s="61"/>
      <c r="N56" s="61"/>
      <c r="O56"/>
      <c r="P56"/>
      <c r="Q56"/>
      <c r="R56"/>
      <c r="S56"/>
      <c r="T56"/>
      <c r="U56"/>
      <c r="V56"/>
      <c r="W56"/>
      <c r="X56"/>
      <c r="Y56"/>
      <c r="Z56" s="344"/>
      <c r="AA56" s="337"/>
      <c r="AB56" s="337"/>
      <c r="AC56" s="337"/>
      <c r="AD56" s="110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  <c r="BJ56" s="41"/>
      <c r="BK56" s="41"/>
      <c r="BL56" s="41"/>
      <c r="BM56" s="41"/>
      <c r="BN56" s="41"/>
      <c r="BO56" s="41"/>
      <c r="BP56" s="41"/>
      <c r="BQ56" s="41"/>
      <c r="BR56" s="41"/>
      <c r="BS56" s="41"/>
      <c r="BT56" s="41"/>
      <c r="BU56" s="41"/>
      <c r="BV56" s="41"/>
      <c r="BW56" s="41"/>
      <c r="BX56" s="41"/>
      <c r="BY56" s="41"/>
      <c r="BZ56" s="41"/>
      <c r="CA56" s="41"/>
      <c r="CB56" s="41"/>
      <c r="CC56" s="41"/>
      <c r="CD56" s="41"/>
      <c r="CE56" s="41"/>
      <c r="CF56" s="41"/>
      <c r="CG56" s="41"/>
      <c r="CH56" s="41"/>
      <c r="CI56" s="41"/>
      <c r="CJ56" s="41"/>
      <c r="CK56" s="41"/>
      <c r="CL56" s="41"/>
      <c r="CM56" s="41"/>
      <c r="CN56" s="41"/>
      <c r="CO56" s="41"/>
      <c r="CP56" s="41"/>
    </row>
    <row r="57" spans="1:94" s="53" customFormat="1" ht="15.75" customHeight="1" x14ac:dyDescent="0.25">
      <c r="A57" s="85"/>
      <c r="B57" s="83"/>
      <c r="C57" s="420" t="s">
        <v>51</v>
      </c>
      <c r="D57" s="424"/>
      <c r="E57" s="331"/>
      <c r="F57" s="273"/>
      <c r="G57" s="62"/>
      <c r="H57" s="62"/>
      <c r="I57" s="62"/>
      <c r="J57" s="62"/>
      <c r="K57" s="62"/>
      <c r="L57" s="61"/>
      <c r="M57" s="61"/>
      <c r="N57" s="61"/>
      <c r="O57"/>
      <c r="P57"/>
      <c r="Q57"/>
      <c r="R57"/>
      <c r="S57"/>
      <c r="T57"/>
      <c r="U57"/>
      <c r="V57"/>
      <c r="W57"/>
      <c r="X57"/>
      <c r="Y57"/>
      <c r="Z57" s="344"/>
      <c r="AA57" s="337"/>
      <c r="AB57" s="337"/>
      <c r="AC57" s="337"/>
      <c r="AD57" s="110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  <c r="BJ57" s="41"/>
      <c r="BK57" s="41"/>
      <c r="BL57" s="41"/>
      <c r="BM57" s="41"/>
      <c r="BN57" s="41"/>
      <c r="BO57" s="41"/>
      <c r="BP57" s="41"/>
      <c r="BQ57" s="41"/>
      <c r="BR57" s="41"/>
      <c r="BS57" s="41"/>
      <c r="BT57" s="41"/>
      <c r="BU57" s="41"/>
      <c r="BV57" s="41"/>
      <c r="BW57" s="41"/>
      <c r="BX57" s="41"/>
      <c r="BY57" s="41"/>
      <c r="BZ57" s="41"/>
      <c r="CA57" s="41"/>
      <c r="CB57" s="41"/>
      <c r="CC57" s="41"/>
      <c r="CD57" s="41"/>
      <c r="CE57" s="41"/>
      <c r="CF57" s="41"/>
      <c r="CG57" s="41"/>
      <c r="CH57" s="41"/>
      <c r="CI57" s="41"/>
      <c r="CJ57" s="41"/>
      <c r="CK57" s="41"/>
      <c r="CL57" s="41"/>
      <c r="CM57" s="41"/>
      <c r="CN57" s="41"/>
      <c r="CO57" s="41"/>
      <c r="CP57" s="41"/>
    </row>
    <row r="58" spans="1:94" s="53" customFormat="1" ht="15.75" customHeight="1" x14ac:dyDescent="0.25">
      <c r="A58" s="85">
        <v>6.31</v>
      </c>
      <c r="B58" s="83"/>
      <c r="C58" s="409" t="s">
        <v>52</v>
      </c>
      <c r="D58" s="410"/>
      <c r="E58" s="102"/>
      <c r="F58" s="58">
        <v>0</v>
      </c>
      <c r="G58" s="88">
        <v>0</v>
      </c>
      <c r="H58" s="88">
        <v>0</v>
      </c>
      <c r="I58" s="265">
        <v>0</v>
      </c>
      <c r="J58" s="89">
        <f>SUM(G58:I58)</f>
        <v>0</v>
      </c>
      <c r="K58" s="62"/>
      <c r="L58" s="88"/>
      <c r="M58" s="262"/>
      <c r="N58" s="89">
        <f>SUM(L58:M58)</f>
        <v>0</v>
      </c>
      <c r="O58"/>
      <c r="P58"/>
      <c r="Q58"/>
      <c r="R58"/>
      <c r="S58"/>
      <c r="T58"/>
      <c r="U58"/>
      <c r="V58"/>
      <c r="W58"/>
      <c r="X58"/>
      <c r="Y58"/>
      <c r="Z58" s="344"/>
      <c r="AA58" s="337"/>
      <c r="AB58" s="337"/>
      <c r="AC58" s="337"/>
      <c r="AD58" s="110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  <c r="BF58" s="41"/>
      <c r="BG58" s="41"/>
      <c r="BH58" s="41"/>
      <c r="BI58" s="41"/>
      <c r="BJ58" s="41"/>
      <c r="BK58" s="41"/>
      <c r="BL58" s="41"/>
      <c r="BM58" s="41"/>
      <c r="BN58" s="41"/>
      <c r="BO58" s="41"/>
      <c r="BP58" s="41"/>
      <c r="BQ58" s="41"/>
      <c r="BR58" s="41"/>
      <c r="BS58" s="41"/>
      <c r="BT58" s="41"/>
      <c r="BU58" s="41"/>
      <c r="BV58" s="41"/>
      <c r="BW58" s="41"/>
      <c r="BX58" s="41"/>
      <c r="BY58" s="41"/>
      <c r="BZ58" s="41"/>
      <c r="CA58" s="41"/>
      <c r="CB58" s="41"/>
      <c r="CC58" s="41"/>
      <c r="CD58" s="41"/>
      <c r="CE58" s="41"/>
      <c r="CF58" s="41"/>
      <c r="CG58" s="41"/>
      <c r="CH58" s="41"/>
      <c r="CI58" s="41"/>
      <c r="CJ58" s="41"/>
      <c r="CK58" s="41"/>
      <c r="CL58" s="41"/>
      <c r="CM58" s="41"/>
      <c r="CN58" s="41"/>
      <c r="CO58" s="41"/>
      <c r="CP58" s="41"/>
    </row>
    <row r="59" spans="1:94" s="53" customFormat="1" ht="15.75" customHeight="1" x14ac:dyDescent="0.25">
      <c r="A59" s="85">
        <v>6.51</v>
      </c>
      <c r="B59" s="83"/>
      <c r="C59" s="422" t="s">
        <v>66</v>
      </c>
      <c r="D59" s="423"/>
      <c r="E59" s="102"/>
      <c r="F59" s="58">
        <v>0</v>
      </c>
      <c r="G59" s="88">
        <v>0</v>
      </c>
      <c r="H59" s="92">
        <v>0</v>
      </c>
      <c r="I59" s="264">
        <v>0</v>
      </c>
      <c r="J59" s="267">
        <f>SUM(G59:I59)</f>
        <v>0</v>
      </c>
      <c r="K59" s="62"/>
      <c r="L59" s="88"/>
      <c r="M59" s="261"/>
      <c r="N59" s="89">
        <f>SUM(L59:M59)</f>
        <v>0</v>
      </c>
      <c r="O59"/>
      <c r="P59"/>
      <c r="Q59"/>
      <c r="R59"/>
      <c r="S59"/>
      <c r="T59"/>
      <c r="U59"/>
      <c r="V59"/>
      <c r="W59"/>
      <c r="X59"/>
      <c r="Y59"/>
      <c r="Z59" s="344"/>
      <c r="AA59" s="337"/>
      <c r="AB59" s="337"/>
      <c r="AC59" s="337"/>
      <c r="AD59" s="110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  <c r="BF59" s="41"/>
      <c r="BG59" s="41"/>
      <c r="BH59" s="41"/>
      <c r="BI59" s="41"/>
      <c r="BJ59" s="41"/>
      <c r="BK59" s="41"/>
      <c r="BL59" s="41"/>
      <c r="BM59" s="41"/>
      <c r="BN59" s="41"/>
      <c r="BO59" s="41"/>
      <c r="BP59" s="41"/>
      <c r="BQ59" s="41"/>
      <c r="BR59" s="41"/>
      <c r="BS59" s="41"/>
      <c r="BT59" s="41"/>
      <c r="BU59" s="41"/>
      <c r="BV59" s="41"/>
      <c r="BW59" s="41"/>
      <c r="BX59" s="41"/>
      <c r="BY59" s="41"/>
      <c r="BZ59" s="41"/>
      <c r="CA59" s="41"/>
      <c r="CB59" s="41"/>
      <c r="CC59" s="41"/>
      <c r="CD59" s="41"/>
      <c r="CE59" s="41"/>
      <c r="CF59" s="41"/>
      <c r="CG59" s="41"/>
      <c r="CH59" s="41"/>
      <c r="CI59" s="41"/>
      <c r="CJ59" s="41"/>
      <c r="CK59" s="41"/>
      <c r="CL59" s="41"/>
      <c r="CM59" s="41"/>
      <c r="CN59" s="41"/>
      <c r="CO59" s="41"/>
      <c r="CP59" s="41"/>
    </row>
    <row r="60" spans="1:94" s="53" customFormat="1" ht="15.75" customHeight="1" x14ac:dyDescent="0.25">
      <c r="A60" s="75">
        <v>7</v>
      </c>
      <c r="B60" s="76"/>
      <c r="C60" s="54" t="str">
        <f>"FY "&amp;M4-1</f>
        <v>FY 2022</v>
      </c>
      <c r="D60" s="131" t="s">
        <v>53</v>
      </c>
      <c r="E60" s="135"/>
      <c r="F60" s="55">
        <f>SUM(F56:F59)</f>
        <v>0</v>
      </c>
      <c r="G60" s="80">
        <f>SUM(G56:G59)</f>
        <v>0</v>
      </c>
      <c r="H60" s="80">
        <f>SUM(H56:H59)</f>
        <v>0</v>
      </c>
      <c r="I60" s="260">
        <f>SUM(I56:I59)</f>
        <v>0</v>
      </c>
      <c r="J60" s="80">
        <f>SUM(J56:J59)</f>
        <v>0</v>
      </c>
      <c r="K60" s="263"/>
      <c r="L60" s="61"/>
      <c r="M60" s="61"/>
      <c r="N60" s="60"/>
      <c r="O60"/>
      <c r="P60"/>
      <c r="Q60"/>
      <c r="R60"/>
      <c r="S60"/>
      <c r="T60"/>
      <c r="U60"/>
      <c r="V60"/>
      <c r="W60"/>
      <c r="X60"/>
      <c r="Y60"/>
      <c r="Z60" s="344"/>
      <c r="AA60" s="337"/>
      <c r="AB60" s="337"/>
      <c r="AC60" s="337"/>
      <c r="AD60" s="110"/>
      <c r="AE60" s="41"/>
      <c r="AF60" s="41"/>
      <c r="AG60" s="41"/>
      <c r="AH60" s="41"/>
      <c r="AI60" s="41"/>
      <c r="AJ60" s="41"/>
      <c r="AK60" s="41"/>
      <c r="AL60" s="41"/>
      <c r="AM60" s="41"/>
      <c r="AN60" s="41"/>
      <c r="AO60" s="41"/>
      <c r="AP60" s="41"/>
      <c r="AQ60" s="41"/>
      <c r="AR60" s="41"/>
      <c r="AS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  <c r="BF60" s="41"/>
      <c r="BG60" s="41"/>
      <c r="BH60" s="41"/>
      <c r="BI60" s="41"/>
      <c r="BJ60" s="41"/>
      <c r="BK60" s="41"/>
      <c r="BL60" s="41"/>
      <c r="BM60" s="41"/>
      <c r="BN60" s="41"/>
      <c r="BO60" s="41"/>
      <c r="BP60" s="41"/>
      <c r="BQ60" s="41"/>
      <c r="BR60" s="41"/>
      <c r="BS60" s="41"/>
      <c r="BT60" s="41"/>
      <c r="BU60" s="41"/>
      <c r="BV60" s="41"/>
      <c r="BW60" s="41"/>
      <c r="BX60" s="41"/>
      <c r="BY60" s="41"/>
      <c r="BZ60" s="41"/>
      <c r="CA60" s="41"/>
      <c r="CB60" s="41"/>
      <c r="CC60" s="41"/>
      <c r="CD60" s="41"/>
      <c r="CE60" s="41"/>
      <c r="CF60" s="41"/>
      <c r="CG60" s="41"/>
      <c r="CH60" s="41"/>
      <c r="CI60" s="41"/>
      <c r="CJ60" s="41"/>
      <c r="CK60" s="41"/>
      <c r="CL60" s="41"/>
      <c r="CM60" s="41"/>
      <c r="CN60" s="41"/>
      <c r="CO60" s="41"/>
      <c r="CP60" s="41"/>
    </row>
    <row r="61" spans="1:94" s="53" customFormat="1" ht="15.75" customHeight="1" x14ac:dyDescent="0.25">
      <c r="A61" s="85"/>
      <c r="B61" s="83"/>
      <c r="C61" s="420" t="s">
        <v>54</v>
      </c>
      <c r="D61" s="424"/>
      <c r="E61" s="331"/>
      <c r="F61" s="273"/>
      <c r="G61" s="62"/>
      <c r="H61" s="62"/>
      <c r="I61" s="62"/>
      <c r="J61" s="62"/>
      <c r="K61" s="62"/>
      <c r="L61" s="61"/>
      <c r="M61" s="61"/>
      <c r="N61" s="60"/>
      <c r="O61"/>
      <c r="P61"/>
      <c r="Q61"/>
      <c r="R61"/>
      <c r="S61"/>
      <c r="T61"/>
      <c r="U61"/>
      <c r="V61"/>
      <c r="W61"/>
      <c r="X61"/>
      <c r="Y61"/>
      <c r="Z61" s="344"/>
      <c r="AA61" s="337"/>
      <c r="AB61" s="337"/>
      <c r="AC61" s="337"/>
      <c r="AD61" s="110"/>
      <c r="AE61" s="41"/>
      <c r="AF61" s="41"/>
      <c r="AG61" s="41"/>
      <c r="AH61" s="41"/>
      <c r="AI61" s="41"/>
      <c r="AJ61" s="41"/>
      <c r="AK61" s="41"/>
      <c r="AL61" s="41"/>
      <c r="AM61" s="41"/>
      <c r="AN61" s="41"/>
      <c r="AO61" s="41"/>
      <c r="AP61" s="41"/>
      <c r="AQ61" s="41"/>
      <c r="AR61" s="41"/>
      <c r="AS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  <c r="BF61" s="41"/>
      <c r="BG61" s="41"/>
      <c r="BH61" s="41"/>
      <c r="BI61" s="41"/>
      <c r="BJ61" s="41"/>
      <c r="BK61" s="41"/>
      <c r="BL61" s="41"/>
      <c r="BM61" s="41"/>
      <c r="BN61" s="41"/>
      <c r="BO61" s="41"/>
      <c r="BP61" s="41"/>
      <c r="BQ61" s="41"/>
      <c r="BR61" s="41"/>
      <c r="BS61" s="41"/>
      <c r="BT61" s="41"/>
      <c r="BU61" s="41"/>
      <c r="BV61" s="41"/>
      <c r="BW61" s="41"/>
      <c r="BX61" s="41"/>
      <c r="BY61" s="41"/>
      <c r="BZ61" s="41"/>
      <c r="CA61" s="41"/>
      <c r="CB61" s="41"/>
      <c r="CC61" s="41"/>
      <c r="CD61" s="41"/>
      <c r="CE61" s="41"/>
      <c r="CF61" s="41"/>
      <c r="CG61" s="41"/>
      <c r="CH61" s="41"/>
      <c r="CI61" s="41"/>
      <c r="CJ61" s="41"/>
      <c r="CK61" s="41"/>
      <c r="CL61" s="41"/>
      <c r="CM61" s="41"/>
      <c r="CN61" s="41"/>
      <c r="CO61" s="41"/>
      <c r="CP61" s="41"/>
    </row>
    <row r="62" spans="1:94" s="53" customFormat="1" ht="15.75" customHeight="1" x14ac:dyDescent="0.25">
      <c r="A62" s="85">
        <v>8.31</v>
      </c>
      <c r="B62" s="83"/>
      <c r="C62" s="409" t="s">
        <v>67</v>
      </c>
      <c r="D62" s="410"/>
      <c r="E62" s="102"/>
      <c r="F62" s="58">
        <v>0</v>
      </c>
      <c r="G62" s="88">
        <v>0</v>
      </c>
      <c r="H62" s="91">
        <v>0</v>
      </c>
      <c r="I62" s="276">
        <v>0</v>
      </c>
      <c r="J62" s="89">
        <f>SUM(G62:I62)</f>
        <v>0</v>
      </c>
      <c r="K62" s="62"/>
      <c r="L62" s="88"/>
      <c r="M62" s="261"/>
      <c r="N62" s="89">
        <f>SUM(L62:M62)</f>
        <v>0</v>
      </c>
      <c r="O62"/>
      <c r="P62"/>
      <c r="Q62"/>
      <c r="R62"/>
      <c r="S62"/>
      <c r="T62"/>
      <c r="U62"/>
      <c r="V62"/>
      <c r="W62"/>
      <c r="X62"/>
      <c r="Y62"/>
      <c r="Z62" s="344"/>
      <c r="AA62" s="337"/>
      <c r="AB62" s="337"/>
      <c r="AC62" s="337"/>
      <c r="AD62" s="110"/>
      <c r="AE62" s="41"/>
      <c r="AF62" s="41"/>
      <c r="AG62" s="41"/>
      <c r="AH62" s="41"/>
      <c r="AI62" s="41"/>
      <c r="AJ62" s="41"/>
      <c r="AK62" s="41"/>
      <c r="AL62" s="41"/>
      <c r="AM62" s="41"/>
      <c r="AN62" s="41"/>
      <c r="AO62" s="41"/>
      <c r="AP62" s="41"/>
      <c r="AQ62" s="41"/>
      <c r="AR62" s="41"/>
      <c r="AS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  <c r="BF62" s="41"/>
      <c r="BG62" s="41"/>
      <c r="BH62" s="41"/>
      <c r="BI62" s="41"/>
      <c r="BJ62" s="41"/>
      <c r="BK62" s="41"/>
      <c r="BL62" s="41"/>
      <c r="BM62" s="41"/>
      <c r="BN62" s="41"/>
      <c r="BO62" s="41"/>
      <c r="BP62" s="41"/>
      <c r="BQ62" s="41"/>
      <c r="BR62" s="41"/>
      <c r="BS62" s="41"/>
      <c r="BT62" s="41"/>
      <c r="BU62" s="41"/>
      <c r="BV62" s="41"/>
      <c r="BW62" s="41"/>
      <c r="BX62" s="41"/>
      <c r="BY62" s="41"/>
      <c r="BZ62" s="41"/>
      <c r="CA62" s="41"/>
      <c r="CB62" s="41"/>
      <c r="CC62" s="41"/>
      <c r="CD62" s="41"/>
      <c r="CE62" s="41"/>
      <c r="CF62" s="41"/>
      <c r="CG62" s="41"/>
      <c r="CH62" s="41"/>
      <c r="CI62" s="41"/>
      <c r="CJ62" s="41"/>
      <c r="CK62" s="41"/>
      <c r="CL62" s="41"/>
      <c r="CM62" s="41"/>
      <c r="CN62" s="41"/>
      <c r="CO62" s="41"/>
      <c r="CP62" s="41"/>
    </row>
    <row r="63" spans="1:94" s="53" customFormat="1" ht="15.75" customHeight="1" x14ac:dyDescent="0.25">
      <c r="A63" s="85">
        <v>8.41</v>
      </c>
      <c r="B63" s="83"/>
      <c r="C63" s="409" t="s">
        <v>55</v>
      </c>
      <c r="D63" s="410"/>
      <c r="E63" s="102"/>
      <c r="F63" s="58">
        <v>0</v>
      </c>
      <c r="G63" s="89">
        <f>ROUND((OneTimePC_Total-H63)/(1+(PermVB+Retire1)),-2)</f>
        <v>0</v>
      </c>
      <c r="H63" s="89">
        <f>ROUND(IF(AND(F63&lt;0,OneTimePC_Total&lt;0),F63*Health,0),-2)</f>
        <v>0</v>
      </c>
      <c r="I63" s="310">
        <f>OneTimePC_Total-G63-H63</f>
        <v>0</v>
      </c>
      <c r="J63" s="89"/>
      <c r="K63" s="308"/>
      <c r="L63" s="88"/>
      <c r="M63" s="261"/>
      <c r="N63" s="89">
        <f>SUM(L63:M63)</f>
        <v>0</v>
      </c>
      <c r="O63"/>
      <c r="P63"/>
      <c r="Q63"/>
      <c r="R63"/>
      <c r="S63"/>
      <c r="T63"/>
      <c r="U63"/>
      <c r="V63"/>
      <c r="W63"/>
      <c r="X63"/>
      <c r="Y63"/>
      <c r="Z63" s="344"/>
      <c r="AA63" s="337"/>
      <c r="AB63" s="337"/>
      <c r="AC63" s="337"/>
      <c r="AD63" s="110"/>
      <c r="AE63" s="41"/>
      <c r="AF63" s="41"/>
      <c r="AG63" s="41"/>
      <c r="AH63" s="41"/>
      <c r="AI63" s="41"/>
      <c r="AJ63" s="41"/>
      <c r="AK63" s="41"/>
      <c r="AL63" s="41"/>
      <c r="AM63" s="41"/>
      <c r="AN63" s="41"/>
      <c r="AO63" s="41"/>
      <c r="AP63" s="41"/>
      <c r="AQ63" s="41"/>
      <c r="AR63" s="41"/>
      <c r="AS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  <c r="BF63" s="41"/>
      <c r="BG63" s="41"/>
      <c r="BH63" s="41"/>
      <c r="BI63" s="41"/>
      <c r="BJ63" s="41"/>
      <c r="BK63" s="41"/>
      <c r="BL63" s="41"/>
      <c r="BM63" s="41"/>
      <c r="BN63" s="41"/>
      <c r="BO63" s="41"/>
      <c r="BP63" s="41"/>
      <c r="BQ63" s="41"/>
      <c r="BR63" s="41"/>
      <c r="BS63" s="41"/>
      <c r="BT63" s="41"/>
      <c r="BU63" s="41"/>
      <c r="BV63" s="41"/>
      <c r="BW63" s="41"/>
      <c r="BX63" s="41"/>
      <c r="BY63" s="41"/>
      <c r="BZ63" s="41"/>
      <c r="CA63" s="41"/>
      <c r="CB63" s="41"/>
      <c r="CC63" s="41"/>
      <c r="CD63" s="41"/>
      <c r="CE63" s="41"/>
      <c r="CF63" s="41"/>
      <c r="CG63" s="41"/>
      <c r="CH63" s="41"/>
      <c r="CI63" s="41"/>
      <c r="CJ63" s="41"/>
      <c r="CK63" s="41"/>
      <c r="CL63" s="41"/>
      <c r="CM63" s="41"/>
      <c r="CN63" s="41"/>
      <c r="CO63" s="41"/>
      <c r="CP63" s="41"/>
    </row>
    <row r="64" spans="1:94" s="53" customFormat="1" ht="15.75" customHeight="1" thickBot="1" x14ac:dyDescent="0.3">
      <c r="A64" s="93">
        <v>8.51</v>
      </c>
      <c r="B64" s="93"/>
      <c r="C64" s="414" t="s">
        <v>56</v>
      </c>
      <c r="D64" s="415"/>
      <c r="E64" s="134"/>
      <c r="F64" s="58">
        <v>0</v>
      </c>
      <c r="G64" s="88"/>
      <c r="H64" s="88">
        <v>0</v>
      </c>
      <c r="I64" s="265"/>
      <c r="J64" s="89">
        <f>SUM(G64:I64)</f>
        <v>0</v>
      </c>
      <c r="K64" s="62"/>
      <c r="L64" s="88"/>
      <c r="M64" s="261"/>
      <c r="N64" s="89">
        <f>SUM(L64:M64)</f>
        <v>0</v>
      </c>
      <c r="O64"/>
      <c r="P64"/>
      <c r="Q64"/>
      <c r="R64"/>
      <c r="S64"/>
      <c r="T64"/>
      <c r="U64"/>
      <c r="V64"/>
      <c r="W64"/>
      <c r="X64"/>
      <c r="Y64"/>
      <c r="Z64" s="344"/>
      <c r="AA64" s="337"/>
      <c r="AB64" s="337"/>
      <c r="AC64" s="337"/>
      <c r="AD64" s="110"/>
      <c r="AE64" s="41"/>
      <c r="AF64" s="41"/>
      <c r="AG64" s="41"/>
      <c r="AH64" s="41"/>
      <c r="AI64" s="41"/>
      <c r="AJ64" s="41"/>
      <c r="AK64" s="41"/>
      <c r="AL64" s="41"/>
      <c r="AM64" s="41"/>
      <c r="AN64" s="41"/>
      <c r="AO64" s="41"/>
      <c r="AP64" s="41"/>
      <c r="AQ64" s="41"/>
      <c r="AR64" s="41"/>
      <c r="AS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  <c r="BF64" s="41"/>
      <c r="BG64" s="41"/>
      <c r="BH64" s="41"/>
      <c r="BI64" s="41"/>
      <c r="BJ64" s="41"/>
      <c r="BK64" s="41"/>
      <c r="BL64" s="41"/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1"/>
      <c r="CA64" s="41"/>
      <c r="CB64" s="41"/>
      <c r="CC64" s="41"/>
      <c r="CD64" s="41"/>
      <c r="CE64" s="41"/>
      <c r="CF64" s="41"/>
      <c r="CG64" s="41"/>
      <c r="CH64" s="41"/>
      <c r="CI64" s="41"/>
      <c r="CJ64" s="41"/>
      <c r="CK64" s="41"/>
      <c r="CL64" s="41"/>
      <c r="CM64" s="41"/>
      <c r="CN64" s="41"/>
      <c r="CO64" s="41"/>
      <c r="CP64" s="41"/>
    </row>
    <row r="65" spans="1:94" s="53" customFormat="1" ht="6" customHeight="1" thickTop="1" x14ac:dyDescent="0.25">
      <c r="A65" s="94"/>
      <c r="B65" s="95"/>
      <c r="C65" s="416"/>
      <c r="D65" s="417"/>
      <c r="E65" s="96"/>
      <c r="F65" s="97"/>
      <c r="G65" s="98"/>
      <c r="H65" s="98"/>
      <c r="I65" s="98"/>
      <c r="J65" s="98"/>
      <c r="K65" s="98"/>
      <c r="L65" s="98"/>
      <c r="M65" s="99"/>
      <c r="N65" s="95"/>
      <c r="O65"/>
      <c r="P65"/>
      <c r="Q65"/>
      <c r="R65"/>
      <c r="S65"/>
      <c r="T65"/>
      <c r="U65"/>
      <c r="V65"/>
      <c r="W65"/>
      <c r="X65"/>
      <c r="Y65"/>
      <c r="Z65" s="344"/>
      <c r="AA65" s="337"/>
      <c r="AB65" s="337"/>
      <c r="AC65" s="337"/>
      <c r="AD65" s="110"/>
      <c r="AE65" s="41"/>
      <c r="AF65" s="41"/>
      <c r="AG65" s="41"/>
      <c r="AH65" s="41"/>
      <c r="AI65" s="41"/>
      <c r="AJ65" s="41"/>
      <c r="AK65" s="41"/>
      <c r="AL65" s="41"/>
      <c r="AM65" s="41"/>
      <c r="AN65" s="41"/>
      <c r="AO65" s="41"/>
      <c r="AP65" s="41"/>
      <c r="AQ65" s="41"/>
      <c r="AR65" s="41"/>
      <c r="AS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  <c r="BF65" s="41"/>
      <c r="BG65" s="41"/>
      <c r="BH65" s="41"/>
      <c r="BI65" s="41"/>
      <c r="BJ65" s="41"/>
      <c r="BK65" s="41"/>
      <c r="BL65" s="41"/>
      <c r="BM65" s="41"/>
      <c r="BN65" s="41"/>
      <c r="BO65" s="41"/>
      <c r="BP65" s="41"/>
      <c r="BQ65" s="41"/>
      <c r="BR65" s="41"/>
      <c r="BS65" s="41"/>
      <c r="BT65" s="41"/>
      <c r="BU65" s="41"/>
      <c r="BV65" s="41"/>
      <c r="BW65" s="41"/>
      <c r="BX65" s="41"/>
      <c r="BY65" s="41"/>
      <c r="BZ65" s="41"/>
      <c r="CA65" s="41"/>
      <c r="CB65" s="41"/>
      <c r="CC65" s="41"/>
      <c r="CD65" s="41"/>
      <c r="CE65" s="41"/>
      <c r="CF65" s="41"/>
      <c r="CG65" s="41"/>
      <c r="CH65" s="41"/>
      <c r="CI65" s="41"/>
      <c r="CJ65" s="41"/>
      <c r="CK65" s="41"/>
      <c r="CL65" s="41"/>
      <c r="CM65" s="41"/>
      <c r="CN65" s="41"/>
      <c r="CO65" s="41"/>
      <c r="CP65" s="41"/>
    </row>
    <row r="66" spans="1:94" s="107" customFormat="1" ht="15" x14ac:dyDescent="0.25">
      <c r="A66" s="100"/>
      <c r="B66" s="101"/>
      <c r="C66" s="418"/>
      <c r="D66" s="419"/>
      <c r="E66" s="102"/>
      <c r="F66" s="103" t="s">
        <v>24</v>
      </c>
      <c r="G66" s="104" t="str">
        <f>"FY "&amp;M4-2000&amp;" Salary"</f>
        <v>FY 23 Salary</v>
      </c>
      <c r="H66" s="104" t="str">
        <f>"FY"&amp;M4-2000&amp;" Health Ben"</f>
        <v>FY23 Health Ben</v>
      </c>
      <c r="I66" s="104" t="str">
        <f>"FY "&amp;M4-2000&amp;" Var Ben"</f>
        <v>FY 23 Var Ben</v>
      </c>
      <c r="J66" s="104" t="str">
        <f>"FY "&amp;M4&amp;" Total"</f>
        <v>FY 2023 Total</v>
      </c>
      <c r="K66" s="104"/>
      <c r="L66" s="105"/>
      <c r="M66" s="105"/>
      <c r="N66" s="101"/>
      <c r="O66"/>
      <c r="P66"/>
      <c r="Q66"/>
      <c r="R66"/>
      <c r="S66"/>
      <c r="T66"/>
      <c r="U66"/>
      <c r="V66"/>
      <c r="W66"/>
      <c r="X66"/>
      <c r="Y66"/>
      <c r="Z66" s="344"/>
      <c r="AA66" s="339"/>
      <c r="AB66" s="339"/>
      <c r="AC66" s="339"/>
      <c r="AD66" s="105"/>
      <c r="AE66" s="106"/>
      <c r="AF66" s="106"/>
      <c r="AG66" s="106"/>
      <c r="AH66" s="106"/>
      <c r="AI66" s="106"/>
      <c r="AJ66" s="106"/>
      <c r="AK66" s="106"/>
      <c r="AL66" s="106"/>
      <c r="AM66" s="106"/>
      <c r="AN66" s="106"/>
      <c r="AO66" s="106"/>
      <c r="AP66" s="106"/>
      <c r="AQ66" s="106"/>
      <c r="AR66" s="106"/>
      <c r="AS66" s="106"/>
      <c r="AT66" s="106"/>
      <c r="AU66" s="106"/>
      <c r="AV66" s="106"/>
      <c r="AW66" s="106"/>
      <c r="AX66" s="106"/>
      <c r="AY66" s="106"/>
      <c r="AZ66" s="106"/>
      <c r="BA66" s="106"/>
      <c r="BB66" s="106"/>
      <c r="BC66" s="106"/>
      <c r="BD66" s="106"/>
      <c r="BE66" s="106"/>
      <c r="BF66" s="106"/>
      <c r="BG66" s="106"/>
      <c r="BH66" s="106"/>
      <c r="BI66" s="106"/>
      <c r="BJ66" s="106"/>
      <c r="BK66" s="106"/>
      <c r="BL66" s="106"/>
      <c r="BM66" s="106"/>
      <c r="BN66" s="106"/>
      <c r="BO66" s="106"/>
      <c r="BP66" s="106"/>
      <c r="BQ66" s="106"/>
      <c r="BR66" s="106"/>
      <c r="BS66" s="106"/>
      <c r="BT66" s="106"/>
      <c r="BU66" s="106"/>
      <c r="BV66" s="106"/>
      <c r="BW66" s="106"/>
      <c r="BX66" s="106"/>
      <c r="BY66" s="106"/>
      <c r="BZ66" s="106"/>
      <c r="CA66" s="106"/>
      <c r="CB66" s="106"/>
      <c r="CC66" s="106"/>
      <c r="CD66" s="106"/>
      <c r="CE66" s="106"/>
      <c r="CF66" s="106"/>
      <c r="CG66" s="106"/>
      <c r="CH66" s="106"/>
      <c r="CI66" s="106"/>
      <c r="CJ66" s="106"/>
      <c r="CK66" s="106"/>
      <c r="CL66" s="106"/>
      <c r="CM66" s="106"/>
      <c r="CN66" s="106"/>
      <c r="CO66" s="106"/>
      <c r="CP66" s="106"/>
    </row>
    <row r="67" spans="1:94" s="53" customFormat="1" ht="15" x14ac:dyDescent="0.25">
      <c r="A67" s="82">
        <v>9</v>
      </c>
      <c r="B67" s="83"/>
      <c r="C67" s="84" t="str">
        <f>"FY "&amp;M4</f>
        <v>FY 2023</v>
      </c>
      <c r="D67" s="108" t="s">
        <v>57</v>
      </c>
      <c r="E67" s="109"/>
      <c r="F67" s="55">
        <f>SUM(F60:F64)</f>
        <v>0</v>
      </c>
      <c r="G67" s="80">
        <f>SUM(G60:G64)</f>
        <v>0</v>
      </c>
      <c r="H67" s="80">
        <f>SUM(H60:H64)</f>
        <v>0</v>
      </c>
      <c r="I67" s="80">
        <f>SUM(I60:I64)</f>
        <v>0</v>
      </c>
      <c r="J67" s="80">
        <f>SUM(J60:J64)</f>
        <v>0</v>
      </c>
      <c r="K67" s="263"/>
      <c r="L67" s="110"/>
      <c r="M67" s="110"/>
      <c r="N67" s="111"/>
      <c r="O67"/>
      <c r="P67"/>
      <c r="Q67"/>
      <c r="R67"/>
      <c r="S67"/>
      <c r="T67"/>
      <c r="U67"/>
      <c r="V67"/>
      <c r="W67"/>
      <c r="X67"/>
      <c r="Y67"/>
      <c r="Z67" s="344"/>
      <c r="AA67" s="337"/>
      <c r="AB67" s="337"/>
      <c r="AC67" s="337"/>
      <c r="AD67" s="110"/>
      <c r="AE67" s="41"/>
      <c r="AF67" s="41"/>
      <c r="AG67" s="41"/>
      <c r="AH67" s="41"/>
      <c r="AI67" s="41"/>
      <c r="AJ67" s="41"/>
      <c r="AK67" s="41"/>
      <c r="AL67" s="41"/>
      <c r="AM67" s="41"/>
      <c r="AN67" s="41"/>
      <c r="AO67" s="41"/>
      <c r="AP67" s="41"/>
      <c r="AQ67" s="41"/>
      <c r="AR67" s="41"/>
      <c r="AS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  <c r="BF67" s="41"/>
      <c r="BG67" s="41"/>
      <c r="BH67" s="41"/>
      <c r="BI67" s="41"/>
      <c r="BJ67" s="41"/>
      <c r="BK67" s="41"/>
      <c r="BL67" s="41"/>
      <c r="BM67" s="41"/>
      <c r="BN67" s="41"/>
      <c r="BO67" s="41"/>
      <c r="BP67" s="41"/>
      <c r="BQ67" s="41"/>
      <c r="BR67" s="41"/>
      <c r="BS67" s="41"/>
      <c r="BT67" s="41"/>
      <c r="BU67" s="41"/>
      <c r="BV67" s="41"/>
      <c r="BW67" s="41"/>
      <c r="BX67" s="41"/>
      <c r="BY67" s="41"/>
      <c r="BZ67" s="41"/>
      <c r="CA67" s="41"/>
      <c r="CB67" s="41"/>
      <c r="CC67" s="41"/>
      <c r="CD67" s="41"/>
      <c r="CE67" s="41"/>
      <c r="CF67" s="41"/>
      <c r="CG67" s="41"/>
      <c r="CH67" s="41"/>
      <c r="CI67" s="41"/>
      <c r="CJ67" s="41"/>
      <c r="CK67" s="41"/>
      <c r="CL67" s="41"/>
      <c r="CM67" s="41"/>
      <c r="CN67" s="41"/>
      <c r="CO67" s="41"/>
      <c r="CP67" s="41"/>
    </row>
    <row r="68" spans="1:94" s="53" customFormat="1" ht="15.75" customHeight="1" x14ac:dyDescent="0.25">
      <c r="A68" s="85">
        <v>10.11</v>
      </c>
      <c r="B68" s="83"/>
      <c r="C68" s="420" t="s">
        <v>58</v>
      </c>
      <c r="D68" s="421"/>
      <c r="E68" s="112"/>
      <c r="F68" s="288"/>
      <c r="G68" s="287"/>
      <c r="H68" s="113">
        <f>IF(DUNine=0,0,ROUND(SUM(L41:L65),-2))</f>
        <v>0</v>
      </c>
      <c r="I68" s="113"/>
      <c r="J68" s="287">
        <f>SUM(G68:I68)</f>
        <v>0</v>
      </c>
      <c r="K68" s="291"/>
      <c r="L68" s="292"/>
      <c r="M68" s="292"/>
      <c r="N68" s="293"/>
      <c r="O68"/>
      <c r="P68"/>
      <c r="Q68"/>
      <c r="R68"/>
      <c r="S68"/>
      <c r="T68"/>
      <c r="U68"/>
      <c r="V68"/>
      <c r="W68"/>
      <c r="X68"/>
      <c r="Y68"/>
      <c r="Z68" s="344"/>
      <c r="AA68" s="337"/>
      <c r="AB68" s="337"/>
      <c r="AC68" s="337"/>
      <c r="AD68" s="110"/>
      <c r="AE68" s="41"/>
      <c r="AF68" s="41"/>
      <c r="AG68" s="41"/>
      <c r="AH68" s="41"/>
      <c r="AI68" s="41"/>
      <c r="AJ68" s="41"/>
      <c r="AK68" s="41"/>
      <c r="AL68" s="41"/>
      <c r="AM68" s="41"/>
      <c r="AN68" s="41"/>
      <c r="AO68" s="41"/>
      <c r="AP68" s="41"/>
      <c r="AQ68" s="41"/>
      <c r="AR68" s="41"/>
      <c r="AS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  <c r="BF68" s="41"/>
      <c r="BG68" s="41"/>
      <c r="BH68" s="41"/>
      <c r="BI68" s="41"/>
      <c r="BJ68" s="41"/>
      <c r="BK68" s="41"/>
      <c r="BL68" s="41"/>
      <c r="BM68" s="41"/>
      <c r="BN68" s="41"/>
      <c r="BO68" s="41"/>
      <c r="BP68" s="41"/>
      <c r="BQ68" s="41"/>
      <c r="BR68" s="41"/>
      <c r="BS68" s="41"/>
      <c r="BT68" s="41"/>
      <c r="BU68" s="41"/>
      <c r="BV68" s="41"/>
      <c r="BW68" s="41"/>
      <c r="BX68" s="41"/>
      <c r="BY68" s="41"/>
      <c r="BZ68" s="41"/>
      <c r="CA68" s="41"/>
      <c r="CB68" s="41"/>
      <c r="CC68" s="41"/>
      <c r="CD68" s="41"/>
      <c r="CE68" s="41"/>
      <c r="CF68" s="41"/>
      <c r="CG68" s="41"/>
      <c r="CH68" s="41"/>
      <c r="CI68" s="41"/>
      <c r="CJ68" s="41"/>
      <c r="CK68" s="41"/>
      <c r="CL68" s="41"/>
      <c r="CM68" s="41"/>
      <c r="CN68" s="41"/>
      <c r="CO68" s="41"/>
      <c r="CP68" s="41"/>
    </row>
    <row r="69" spans="1:94" s="53" customFormat="1" ht="15" x14ac:dyDescent="0.25">
      <c r="A69" s="85">
        <v>10.119999999999999</v>
      </c>
      <c r="B69" s="83"/>
      <c r="C69" s="420" t="s">
        <v>59</v>
      </c>
      <c r="D69" s="421"/>
      <c r="E69" s="112"/>
      <c r="F69" s="288"/>
      <c r="G69" s="113"/>
      <c r="H69" s="113"/>
      <c r="I69" s="113">
        <f>IF(DUNine=0,0,ROUND(SUM(M41:M64),-2))</f>
        <v>0</v>
      </c>
      <c r="J69" s="287">
        <f>SUM(G69:I69)</f>
        <v>0</v>
      </c>
      <c r="K69" s="291"/>
      <c r="L69" s="292"/>
      <c r="M69" s="292"/>
      <c r="N69" s="293"/>
      <c r="O69"/>
      <c r="P69"/>
      <c r="Q69"/>
      <c r="R69"/>
      <c r="S69"/>
      <c r="T69"/>
      <c r="U69"/>
      <c r="V69"/>
      <c r="W69"/>
      <c r="X69"/>
      <c r="Y69"/>
      <c r="Z69" s="344"/>
      <c r="AA69" s="337"/>
      <c r="AB69" s="337"/>
      <c r="AC69" s="337"/>
      <c r="AD69" s="110"/>
      <c r="AE69" s="41"/>
      <c r="AF69" s="41"/>
      <c r="AG69" s="41"/>
      <c r="AH69" s="41"/>
      <c r="AI69" s="41"/>
      <c r="AJ69" s="41"/>
      <c r="AK69" s="41"/>
      <c r="AL69" s="41"/>
      <c r="AM69" s="41"/>
      <c r="AN69" s="41"/>
      <c r="AO69" s="41"/>
      <c r="AP69" s="41"/>
      <c r="AQ69" s="41"/>
      <c r="AR69" s="41"/>
      <c r="AS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  <c r="BF69" s="41"/>
      <c r="BG69" s="41"/>
      <c r="BH69" s="41"/>
      <c r="BI69" s="41"/>
      <c r="BJ69" s="41"/>
      <c r="BK69" s="41"/>
      <c r="BL69" s="41"/>
      <c r="BM69" s="41"/>
      <c r="BN69" s="41"/>
      <c r="BO69" s="41"/>
      <c r="BP69" s="41"/>
      <c r="BQ69" s="41"/>
      <c r="BR69" s="41"/>
      <c r="BS69" s="41"/>
      <c r="BT69" s="41"/>
      <c r="BU69" s="41"/>
      <c r="BV69" s="41"/>
      <c r="BW69" s="41"/>
      <c r="BX69" s="41"/>
      <c r="BY69" s="41"/>
      <c r="BZ69" s="41"/>
      <c r="CA69" s="41"/>
      <c r="CB69" s="41"/>
      <c r="CC69" s="41"/>
      <c r="CD69" s="41"/>
      <c r="CE69" s="41"/>
      <c r="CF69" s="41"/>
      <c r="CG69" s="41"/>
      <c r="CH69" s="41"/>
      <c r="CI69" s="41"/>
      <c r="CJ69" s="41"/>
      <c r="CK69" s="41"/>
      <c r="CL69" s="41"/>
      <c r="CM69" s="41"/>
      <c r="CN69" s="41"/>
      <c r="CO69" s="41"/>
      <c r="CP69" s="41"/>
    </row>
    <row r="70" spans="1:94" s="53" customFormat="1" ht="15" x14ac:dyDescent="0.25">
      <c r="A70" s="85"/>
      <c r="B70" s="83"/>
      <c r="C70" s="407"/>
      <c r="D70" s="408"/>
      <c r="E70" s="236" t="s">
        <v>23</v>
      </c>
      <c r="F70" s="288"/>
      <c r="G70" s="113"/>
      <c r="H70" s="113"/>
      <c r="I70" s="113"/>
      <c r="J70" s="287">
        <f>SUM(G70:I70)</f>
        <v>0</v>
      </c>
      <c r="K70" s="291"/>
      <c r="L70" s="292"/>
      <c r="M70" s="294"/>
      <c r="N70" s="295"/>
      <c r="O70"/>
      <c r="P70"/>
      <c r="Q70"/>
      <c r="R70"/>
      <c r="S70"/>
      <c r="T70"/>
      <c r="U70"/>
      <c r="V70"/>
      <c r="W70"/>
      <c r="X70"/>
      <c r="Y70"/>
      <c r="Z70" s="344"/>
      <c r="AA70" s="337"/>
      <c r="AB70" s="337"/>
      <c r="AC70" s="337"/>
      <c r="AD70" s="110"/>
      <c r="AE70" s="41"/>
      <c r="AF70" s="41"/>
      <c r="AG70" s="41"/>
      <c r="AH70" s="41"/>
      <c r="AI70" s="41"/>
      <c r="AJ70" s="41"/>
      <c r="AK70" s="41"/>
      <c r="AL70" s="41"/>
      <c r="AM70" s="41"/>
      <c r="AN70" s="41"/>
      <c r="AO70" s="41"/>
      <c r="AP70" s="41"/>
      <c r="AQ70" s="41"/>
      <c r="AR70" s="41"/>
      <c r="AS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  <c r="BF70" s="41"/>
      <c r="BG70" s="41"/>
      <c r="BH70" s="41"/>
      <c r="BI70" s="41"/>
      <c r="BJ70" s="41"/>
      <c r="BK70" s="41"/>
      <c r="BL70" s="41"/>
      <c r="BM70" s="41"/>
      <c r="BN70" s="41"/>
      <c r="BO70" s="41"/>
      <c r="BP70" s="41"/>
      <c r="BQ70" s="41"/>
      <c r="BR70" s="41"/>
      <c r="BS70" s="41"/>
      <c r="BT70" s="41"/>
      <c r="BU70" s="41"/>
      <c r="BV70" s="41"/>
      <c r="BW70" s="41"/>
      <c r="BX70" s="41"/>
      <c r="BY70" s="41"/>
      <c r="BZ70" s="41"/>
      <c r="CA70" s="41"/>
      <c r="CB70" s="41"/>
      <c r="CC70" s="41"/>
      <c r="CD70" s="41"/>
      <c r="CE70" s="41"/>
      <c r="CF70" s="41"/>
      <c r="CG70" s="41"/>
      <c r="CH70" s="41"/>
      <c r="CI70" s="41"/>
      <c r="CJ70" s="41"/>
      <c r="CK70" s="41"/>
      <c r="CL70" s="41"/>
      <c r="CM70" s="41"/>
      <c r="CN70" s="41"/>
      <c r="CO70" s="41"/>
      <c r="CP70" s="41"/>
    </row>
    <row r="71" spans="1:94" s="53" customFormat="1" ht="15.75" customHeight="1" x14ac:dyDescent="0.25">
      <c r="A71" s="85">
        <v>10.51</v>
      </c>
      <c r="B71" s="83"/>
      <c r="C71" s="409" t="s">
        <v>60</v>
      </c>
      <c r="D71" s="410"/>
      <c r="E71" s="237"/>
      <c r="F71" s="288"/>
      <c r="G71" s="92">
        <v>0</v>
      </c>
      <c r="H71" s="92">
        <v>0</v>
      </c>
      <c r="I71" s="287">
        <f>ROUND(IF(AND($G71&lt;&gt;0,$E71=1),$G71*PermVBBY+$G71*Retire1BY,IF(AND($G71&lt;&gt;0,$E71=2),$G71*GroupVBBY,IF(AND($G71&lt;&gt;0,$E71=3),$G71*ElectVBBY+$G71*Retire1BY,0))),-2)</f>
        <v>0</v>
      </c>
      <c r="J71" s="113">
        <f t="shared" ref="J71:J74" si="11">SUM(G71:I71)</f>
        <v>0</v>
      </c>
      <c r="K71" s="296"/>
      <c r="L71" s="297"/>
      <c r="M71" s="349" t="s">
        <v>112</v>
      </c>
      <c r="N71" s="357"/>
      <c r="O71" s="358"/>
      <c r="P71" s="358"/>
      <c r="Q71"/>
      <c r="R71"/>
      <c r="S71"/>
      <c r="T71"/>
      <c r="U71"/>
      <c r="V71"/>
      <c r="W71"/>
      <c r="X71"/>
      <c r="Y71"/>
      <c r="Z71" s="344"/>
      <c r="AA71" s="337"/>
      <c r="AB71" s="337"/>
      <c r="AC71" s="337"/>
      <c r="AD71" s="110"/>
      <c r="AE71" s="41"/>
      <c r="AF71" s="41"/>
      <c r="AG71" s="41"/>
      <c r="AH71" s="41"/>
      <c r="AI71" s="41"/>
      <c r="AJ71" s="41"/>
      <c r="AK71" s="41"/>
      <c r="AL71" s="41"/>
      <c r="AM71" s="41"/>
      <c r="AN71" s="41"/>
      <c r="AO71" s="41"/>
      <c r="AP71" s="41"/>
      <c r="AQ71" s="41"/>
      <c r="AR71" s="41"/>
      <c r="AS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  <c r="BF71" s="41"/>
      <c r="BG71" s="41"/>
      <c r="BH71" s="41"/>
      <c r="BI71" s="41"/>
      <c r="BJ71" s="41"/>
      <c r="BK71" s="41"/>
      <c r="BL71" s="41"/>
      <c r="BM71" s="41"/>
      <c r="BN71" s="41"/>
      <c r="BO71" s="41"/>
      <c r="BP71" s="41"/>
      <c r="BQ71" s="41"/>
      <c r="BR71" s="41"/>
      <c r="BS71" s="41"/>
      <c r="BT71" s="41"/>
      <c r="BU71" s="41"/>
      <c r="BV71" s="41"/>
      <c r="BW71" s="41"/>
      <c r="BX71" s="41"/>
      <c r="BY71" s="41"/>
      <c r="BZ71" s="41"/>
      <c r="CA71" s="41"/>
      <c r="CB71" s="41"/>
      <c r="CC71" s="41"/>
      <c r="CD71" s="41"/>
      <c r="CE71" s="41"/>
      <c r="CF71" s="41"/>
      <c r="CG71" s="41"/>
      <c r="CH71" s="41"/>
      <c r="CI71" s="41"/>
      <c r="CJ71" s="41"/>
      <c r="CK71" s="41"/>
      <c r="CL71" s="41"/>
      <c r="CM71" s="41"/>
      <c r="CN71" s="41"/>
      <c r="CO71" s="41"/>
      <c r="CP71" s="41"/>
    </row>
    <row r="72" spans="1:94" s="53" customFormat="1" ht="15.75" customHeight="1" x14ac:dyDescent="0.25">
      <c r="A72" s="85">
        <v>10.61</v>
      </c>
      <c r="B72" s="83"/>
      <c r="C72" s="409" t="s">
        <v>101</v>
      </c>
      <c r="D72" s="411"/>
      <c r="E72" s="290">
        <f>CECPerm</f>
        <v>0.01</v>
      </c>
      <c r="F72" s="288"/>
      <c r="G72" s="356">
        <f>IF(DUNine=0,0,IF(DUNine&lt;0,0,ROUND(AdjPermSalary*CECPerm,-2)))</f>
        <v>0</v>
      </c>
      <c r="H72" s="287"/>
      <c r="I72" s="287">
        <f>ROUND(($G72*PermVBBY+$G72*Retire1BY),-2)</f>
        <v>0</v>
      </c>
      <c r="J72" s="113">
        <f>SUM(G72:I72)</f>
        <v>0</v>
      </c>
      <c r="K72" s="296"/>
      <c r="L72" s="298"/>
      <c r="M72" s="350">
        <f>IF(DUNine=0,0,IF(((#REF!-G39-G40)*E72)&lt;0,0,ROUND(((#REF!-G39-G40)*E72),-2)))</f>
        <v>0</v>
      </c>
      <c r="N72" s="359"/>
      <c r="O72" s="358">
        <f>IF(DUNine=0,0,IF(DUNine&lt;0,0,IF(SubCECBase&lt;RoundedAppropSalary,ROUND(AdjPermSalary*CECpermCalc,-2)+((SubCECBase-RoundedAppropSalary)*CECpermCalc),IF(SubCECBase&gt;RoundedAppropSalary,ROUND(AdjPermSalary*CECpermCalc,-2)+((SubCECBase-RoundedAppropSalary)*CECpermCalc),ROUND(AdjPermSalary*CECpermCalc,-2)))))</f>
        <v>0</v>
      </c>
      <c r="P72" s="358"/>
      <c r="Q72"/>
      <c r="R72"/>
      <c r="S72"/>
      <c r="T72"/>
      <c r="U72"/>
      <c r="V72"/>
      <c r="W72"/>
      <c r="X72"/>
      <c r="Y72"/>
      <c r="Z72" s="344"/>
      <c r="AA72" s="337"/>
      <c r="AB72" s="337"/>
      <c r="AC72" s="337"/>
      <c r="AD72" s="110"/>
      <c r="AE72" s="41"/>
      <c r="AF72" s="41"/>
      <c r="AG72" s="41"/>
      <c r="AH72" s="41"/>
      <c r="AI72" s="41"/>
      <c r="AJ72" s="41"/>
      <c r="AK72" s="41"/>
      <c r="AL72" s="41"/>
      <c r="AM72" s="41"/>
      <c r="AN72" s="41"/>
      <c r="AO72" s="41"/>
      <c r="AP72" s="41"/>
      <c r="AQ72" s="41"/>
      <c r="AR72" s="41"/>
      <c r="AS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  <c r="BF72" s="41"/>
      <c r="BG72" s="41"/>
      <c r="BH72" s="41"/>
      <c r="BI72" s="41"/>
      <c r="BJ72" s="41"/>
      <c r="BK72" s="41"/>
      <c r="BL72" s="41"/>
      <c r="BM72" s="41"/>
      <c r="BN72" s="41"/>
      <c r="BO72" s="41"/>
      <c r="BP72" s="41"/>
      <c r="BQ72" s="41"/>
      <c r="BR72" s="41"/>
      <c r="BS72" s="41"/>
      <c r="BT72" s="41"/>
      <c r="BU72" s="41"/>
      <c r="BV72" s="41"/>
      <c r="BW72" s="41"/>
      <c r="BX72" s="41"/>
      <c r="BY72" s="41"/>
      <c r="BZ72" s="41"/>
      <c r="CA72" s="41"/>
      <c r="CB72" s="41"/>
      <c r="CC72" s="41"/>
      <c r="CD72" s="41"/>
      <c r="CE72" s="41"/>
      <c r="CF72" s="41"/>
      <c r="CG72" s="41"/>
      <c r="CH72" s="41"/>
      <c r="CI72" s="41"/>
      <c r="CJ72" s="41"/>
      <c r="CK72" s="41"/>
      <c r="CL72" s="41"/>
      <c r="CM72" s="41"/>
      <c r="CN72" s="41"/>
      <c r="CO72" s="41"/>
      <c r="CP72" s="41"/>
    </row>
    <row r="73" spans="1:94" s="53" customFormat="1" ht="15.6" customHeight="1" x14ac:dyDescent="0.25">
      <c r="A73" s="85">
        <v>10.62</v>
      </c>
      <c r="B73" s="83"/>
      <c r="C73" s="409" t="s">
        <v>61</v>
      </c>
      <c r="D73" s="411"/>
      <c r="E73" s="289">
        <f>CECGroup</f>
        <v>0.01</v>
      </c>
      <c r="F73" s="288"/>
      <c r="G73" s="356">
        <f>IF(DUNine=0,0,IF(DUNine&lt;0,0,ROUND(AdjGroupSalary*CECGroup,-2)))</f>
        <v>0</v>
      </c>
      <c r="H73" s="287"/>
      <c r="I73" s="287">
        <f>ROUND(($G73*GroupVBBY),-2)</f>
        <v>0</v>
      </c>
      <c r="J73" s="113">
        <f t="shared" si="11"/>
        <v>0</v>
      </c>
      <c r="K73" s="301"/>
      <c r="L73" s="302"/>
      <c r="M73" s="360"/>
      <c r="N73" s="361"/>
      <c r="O73" s="358"/>
      <c r="P73" s="358"/>
      <c r="Q73"/>
      <c r="R73"/>
      <c r="S73"/>
      <c r="T73"/>
      <c r="U73"/>
      <c r="V73"/>
      <c r="W73"/>
      <c r="X73"/>
      <c r="Y73"/>
      <c r="Z73" s="344"/>
      <c r="AA73" s="337"/>
      <c r="AB73" s="337"/>
      <c r="AC73" s="337"/>
      <c r="AD73" s="110"/>
      <c r="AE73" s="41"/>
      <c r="AF73" s="41"/>
      <c r="AG73" s="41"/>
      <c r="AH73" s="41"/>
      <c r="AI73" s="41"/>
      <c r="AJ73" s="41"/>
      <c r="AK73" s="41"/>
      <c r="AL73" s="41"/>
      <c r="AM73" s="41"/>
      <c r="AN73" s="41"/>
      <c r="AO73" s="41"/>
      <c r="AP73" s="41"/>
      <c r="AQ73" s="41"/>
      <c r="AR73" s="41"/>
      <c r="AS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  <c r="BF73" s="41"/>
      <c r="BG73" s="41"/>
      <c r="BH73" s="41"/>
      <c r="BI73" s="41"/>
      <c r="BJ73" s="41"/>
      <c r="BK73" s="41"/>
      <c r="BL73" s="41"/>
      <c r="BM73" s="41"/>
      <c r="BN73" s="41"/>
      <c r="BO73" s="41"/>
      <c r="BP73" s="41"/>
      <c r="BQ73" s="41"/>
      <c r="BR73" s="41"/>
      <c r="BS73" s="41"/>
      <c r="BT73" s="41"/>
      <c r="BU73" s="41"/>
      <c r="BV73" s="41"/>
      <c r="BW73" s="41"/>
      <c r="BX73" s="41"/>
      <c r="BY73" s="41"/>
      <c r="BZ73" s="41"/>
      <c r="CA73" s="41"/>
      <c r="CB73" s="41"/>
      <c r="CC73" s="41"/>
      <c r="CD73" s="41"/>
      <c r="CE73" s="41"/>
      <c r="CF73" s="41"/>
      <c r="CG73" s="41"/>
      <c r="CH73" s="41"/>
      <c r="CI73" s="41"/>
      <c r="CJ73" s="41"/>
      <c r="CK73" s="41"/>
      <c r="CL73" s="41"/>
      <c r="CM73" s="41"/>
      <c r="CN73" s="41"/>
      <c r="CO73" s="41"/>
      <c r="CP73" s="41"/>
    </row>
    <row r="74" spans="1:94" s="53" customFormat="1" ht="15.6" customHeight="1" x14ac:dyDescent="0.25">
      <c r="A74" s="85">
        <v>10.63</v>
      </c>
      <c r="B74" s="83"/>
      <c r="C74" s="114" t="s">
        <v>62</v>
      </c>
      <c r="D74" s="115"/>
      <c r="E74" s="112"/>
      <c r="F74" s="288"/>
      <c r="G74" s="92">
        <v>0</v>
      </c>
      <c r="H74" s="287"/>
      <c r="I74" s="287">
        <f>ROUND(($G74*ElectVBBY+$G74*Retire1BY),-2)</f>
        <v>0</v>
      </c>
      <c r="J74" s="113">
        <f t="shared" si="11"/>
        <v>0</v>
      </c>
      <c r="K74" s="301"/>
      <c r="L74" s="302"/>
      <c r="M74" s="303"/>
      <c r="N74" s="304"/>
      <c r="O74"/>
      <c r="P74"/>
      <c r="Q74"/>
      <c r="R74"/>
      <c r="S74"/>
      <c r="T74"/>
      <c r="U74"/>
      <c r="V74"/>
      <c r="W74"/>
      <c r="X74"/>
      <c r="Y74"/>
      <c r="Z74" s="344"/>
      <c r="AA74" s="337"/>
      <c r="AB74" s="337"/>
      <c r="AC74" s="337"/>
      <c r="AD74" s="110"/>
      <c r="AE74" s="41"/>
      <c r="AF74" s="41"/>
      <c r="AG74" s="41"/>
      <c r="AH74" s="41"/>
      <c r="AI74" s="41"/>
      <c r="AJ74" s="41"/>
      <c r="AK74" s="41"/>
      <c r="AL74" s="41"/>
      <c r="AM74" s="41"/>
      <c r="AN74" s="41"/>
      <c r="AO74" s="41"/>
      <c r="AP74" s="41"/>
      <c r="AQ74" s="41"/>
      <c r="AR74" s="41"/>
      <c r="AS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  <c r="BF74" s="41"/>
      <c r="BG74" s="41"/>
      <c r="BH74" s="41"/>
      <c r="BI74" s="41"/>
      <c r="BJ74" s="41"/>
      <c r="BK74" s="41"/>
      <c r="BL74" s="41"/>
      <c r="BM74" s="41"/>
      <c r="BN74" s="41"/>
      <c r="BO74" s="41"/>
      <c r="BP74" s="41"/>
      <c r="BQ74" s="41"/>
      <c r="BR74" s="41"/>
      <c r="BS74" s="41"/>
      <c r="BT74" s="41"/>
      <c r="BU74" s="41"/>
      <c r="BV74" s="41"/>
      <c r="BW74" s="41"/>
      <c r="BX74" s="41"/>
      <c r="BY74" s="41"/>
      <c r="BZ74" s="41"/>
      <c r="CA74" s="41"/>
      <c r="CB74" s="41"/>
      <c r="CC74" s="41"/>
      <c r="CD74" s="41"/>
      <c r="CE74" s="41"/>
      <c r="CF74" s="41"/>
      <c r="CG74" s="41"/>
      <c r="CH74" s="41"/>
      <c r="CI74" s="41"/>
      <c r="CJ74" s="41"/>
      <c r="CK74" s="41"/>
      <c r="CL74" s="41"/>
      <c r="CM74" s="41"/>
      <c r="CN74" s="41"/>
      <c r="CO74" s="41"/>
      <c r="CP74" s="41"/>
    </row>
    <row r="75" spans="1:94" s="53" customFormat="1" ht="15.75" customHeight="1" x14ac:dyDescent="0.25">
      <c r="A75" s="75">
        <v>11</v>
      </c>
      <c r="B75" s="76"/>
      <c r="C75" s="54" t="str">
        <f>"FY "&amp;M4</f>
        <v>FY 2023</v>
      </c>
      <c r="D75" s="77" t="s">
        <v>63</v>
      </c>
      <c r="E75" s="112"/>
      <c r="F75" s="55">
        <f>SUM(F67:F74)</f>
        <v>0</v>
      </c>
      <c r="G75" s="80">
        <f>SUM(G67:G74)</f>
        <v>0</v>
      </c>
      <c r="H75" s="80">
        <f>SUM(H67:H74)</f>
        <v>0</v>
      </c>
      <c r="I75" s="80">
        <f>SUM(I67:I74)</f>
        <v>0</v>
      </c>
      <c r="J75" s="80">
        <f>SUM(J67:K74)</f>
        <v>0</v>
      </c>
      <c r="K75" s="296"/>
      <c r="L75" s="299"/>
      <c r="M75" s="299"/>
      <c r="N75" s="300"/>
      <c r="O75"/>
      <c r="P75"/>
      <c r="Q75"/>
      <c r="R75"/>
      <c r="S75"/>
      <c r="T75"/>
      <c r="U75"/>
      <c r="V75"/>
      <c r="W75"/>
      <c r="X75"/>
      <c r="Y75"/>
      <c r="Z75" s="344"/>
      <c r="AA75" s="337"/>
      <c r="AB75" s="337"/>
      <c r="AC75" s="337"/>
      <c r="AD75" s="110"/>
      <c r="AE75" s="41"/>
      <c r="AF75" s="41"/>
      <c r="AG75" s="41"/>
      <c r="AH75" s="41"/>
      <c r="AI75" s="41"/>
      <c r="AJ75" s="41"/>
      <c r="AK75" s="41"/>
      <c r="AL75" s="41"/>
      <c r="AM75" s="41"/>
      <c r="AN75" s="41"/>
      <c r="AO75" s="41"/>
      <c r="AP75" s="41"/>
      <c r="AQ75" s="41"/>
      <c r="AR75" s="41"/>
      <c r="AS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  <c r="BF75" s="41"/>
      <c r="BG75" s="41"/>
      <c r="BH75" s="41"/>
      <c r="BI75" s="41"/>
      <c r="BJ75" s="41"/>
      <c r="BK75" s="41"/>
      <c r="BL75" s="41"/>
      <c r="BM75" s="41"/>
      <c r="BN75" s="41"/>
      <c r="BO75" s="41"/>
      <c r="BP75" s="41"/>
      <c r="BQ75" s="41"/>
      <c r="BR75" s="41"/>
      <c r="BS75" s="41"/>
      <c r="BT75" s="41"/>
      <c r="BU75" s="41"/>
      <c r="BV75" s="41"/>
      <c r="BW75" s="41"/>
      <c r="BX75" s="41"/>
      <c r="BY75" s="41"/>
      <c r="BZ75" s="41"/>
      <c r="CA75" s="41"/>
      <c r="CB75" s="41"/>
      <c r="CC75" s="41"/>
      <c r="CD75" s="41"/>
      <c r="CE75" s="41"/>
      <c r="CF75" s="41"/>
      <c r="CG75" s="41"/>
      <c r="CH75" s="41"/>
      <c r="CI75" s="41"/>
      <c r="CJ75" s="41"/>
      <c r="CK75" s="41"/>
      <c r="CL75" s="41"/>
      <c r="CM75" s="41"/>
      <c r="CN75" s="41"/>
      <c r="CO75" s="41"/>
      <c r="CP75" s="41"/>
    </row>
    <row r="76" spans="1:94" s="53" customFormat="1" ht="28.5" customHeight="1" x14ac:dyDescent="0.25">
      <c r="A76" s="85"/>
      <c r="B76" s="83"/>
      <c r="C76" s="412" t="s">
        <v>64</v>
      </c>
      <c r="D76" s="413"/>
      <c r="E76" s="59"/>
      <c r="F76" s="59"/>
      <c r="G76" s="61"/>
      <c r="H76" s="61"/>
      <c r="I76" s="61"/>
      <c r="J76" s="61"/>
      <c r="K76" s="291"/>
      <c r="L76" s="292"/>
      <c r="M76" s="305"/>
      <c r="N76" s="293"/>
      <c r="O76"/>
      <c r="P76"/>
      <c r="Q76"/>
      <c r="R76"/>
      <c r="S76"/>
      <c r="T76"/>
      <c r="U76"/>
      <c r="V76"/>
      <c r="W76"/>
      <c r="X76"/>
      <c r="Y76"/>
      <c r="Z76" s="344"/>
      <c r="AA76" s="337"/>
      <c r="AB76" s="337"/>
      <c r="AC76" s="337"/>
      <c r="AD76" s="110"/>
      <c r="AE76" s="41"/>
      <c r="AF76" s="41"/>
      <c r="AG76" s="41"/>
      <c r="AH76" s="41"/>
      <c r="AI76" s="41"/>
      <c r="AJ76" s="41"/>
      <c r="AK76" s="41"/>
      <c r="AL76" s="41"/>
      <c r="AM76" s="41"/>
      <c r="AN76" s="41"/>
      <c r="AO76" s="41"/>
      <c r="AP76" s="41"/>
      <c r="AQ76" s="41"/>
      <c r="AR76" s="41"/>
      <c r="AS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  <c r="BF76" s="41"/>
      <c r="BG76" s="41"/>
      <c r="BH76" s="41"/>
      <c r="BI76" s="41"/>
      <c r="BJ76" s="41"/>
      <c r="BK76" s="41"/>
      <c r="BL76" s="41"/>
      <c r="BM76" s="41"/>
      <c r="BN76" s="41"/>
      <c r="BO76" s="41"/>
      <c r="BP76" s="41"/>
      <c r="BQ76" s="41"/>
      <c r="BR76" s="41"/>
      <c r="BS76" s="41"/>
      <c r="BT76" s="41"/>
      <c r="BU76" s="41"/>
      <c r="BV76" s="41"/>
      <c r="BW76" s="41"/>
      <c r="BX76" s="41"/>
      <c r="BY76" s="41"/>
      <c r="BZ76" s="41"/>
      <c r="CA76" s="41"/>
      <c r="CB76" s="41"/>
      <c r="CC76" s="41"/>
      <c r="CD76" s="41"/>
      <c r="CE76" s="41"/>
      <c r="CF76" s="41"/>
      <c r="CG76" s="41"/>
      <c r="CH76" s="41"/>
      <c r="CI76" s="41"/>
      <c r="CJ76" s="41"/>
      <c r="CK76" s="41"/>
      <c r="CL76" s="41"/>
      <c r="CM76" s="41"/>
      <c r="CN76" s="41"/>
      <c r="CO76" s="41"/>
      <c r="CP76" s="41"/>
    </row>
    <row r="77" spans="1:94" s="53" customFormat="1" ht="15" x14ac:dyDescent="0.25">
      <c r="A77" s="116">
        <v>12.01</v>
      </c>
      <c r="B77" s="57"/>
      <c r="C77" s="405"/>
      <c r="D77" s="406"/>
      <c r="E77" s="87"/>
      <c r="F77" s="58"/>
      <c r="G77" s="88"/>
      <c r="H77" s="88"/>
      <c r="I77" s="88"/>
      <c r="J77" s="80">
        <f>ROUND(SUM(G77:I77),-2)</f>
        <v>0</v>
      </c>
      <c r="K77" s="296"/>
      <c r="L77" s="292"/>
      <c r="M77" s="292"/>
      <c r="N77" s="293"/>
      <c r="O77"/>
      <c r="P77"/>
      <c r="Q77"/>
      <c r="R77"/>
      <c r="S77"/>
      <c r="T77"/>
      <c r="U77"/>
      <c r="V77"/>
      <c r="W77"/>
      <c r="X77"/>
      <c r="Y77"/>
      <c r="Z77" s="344"/>
      <c r="AA77" s="337"/>
      <c r="AB77" s="337"/>
      <c r="AC77" s="337"/>
      <c r="AD77" s="110"/>
      <c r="AE77" s="41"/>
      <c r="AF77" s="41"/>
      <c r="AG77" s="41"/>
      <c r="AH77" s="41"/>
      <c r="AI77" s="41"/>
      <c r="AJ77" s="41"/>
      <c r="AK77" s="41"/>
      <c r="AL77" s="41"/>
      <c r="AM77" s="41"/>
      <c r="AN77" s="41"/>
      <c r="AO77" s="41"/>
      <c r="AP77" s="41"/>
      <c r="AQ77" s="41"/>
      <c r="AR77" s="41"/>
      <c r="AS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  <c r="BF77" s="41"/>
      <c r="BG77" s="41"/>
      <c r="BH77" s="41"/>
      <c r="BI77" s="41"/>
      <c r="BJ77" s="41"/>
      <c r="BK77" s="41"/>
      <c r="BL77" s="41"/>
      <c r="BM77" s="41"/>
      <c r="BN77" s="41"/>
      <c r="BO77" s="41"/>
      <c r="BP77" s="41"/>
      <c r="BQ77" s="41"/>
      <c r="BR77" s="41"/>
      <c r="BS77" s="41"/>
      <c r="BT77" s="41"/>
      <c r="BU77" s="41"/>
      <c r="BV77" s="41"/>
      <c r="BW77" s="41"/>
      <c r="BX77" s="41"/>
      <c r="BY77" s="41"/>
      <c r="BZ77" s="41"/>
      <c r="CA77" s="41"/>
      <c r="CB77" s="41"/>
      <c r="CC77" s="41"/>
      <c r="CD77" s="41"/>
      <c r="CE77" s="41"/>
      <c r="CF77" s="41"/>
      <c r="CG77" s="41"/>
      <c r="CH77" s="41"/>
      <c r="CI77" s="41"/>
      <c r="CJ77" s="41"/>
      <c r="CK77" s="41"/>
      <c r="CL77" s="41"/>
      <c r="CM77" s="41"/>
      <c r="CN77" s="41"/>
      <c r="CO77" s="41"/>
      <c r="CP77" s="41"/>
    </row>
    <row r="78" spans="1:94" s="53" customFormat="1" ht="15" x14ac:dyDescent="0.25">
      <c r="A78" s="116">
        <v>12.02</v>
      </c>
      <c r="B78" s="57"/>
      <c r="C78" s="405"/>
      <c r="D78" s="406"/>
      <c r="E78" s="87"/>
      <c r="F78" s="58"/>
      <c r="G78" s="88"/>
      <c r="H78" s="88"/>
      <c r="I78" s="88"/>
      <c r="J78" s="80">
        <f>ROUND(SUM(G78:I78),-2)</f>
        <v>0</v>
      </c>
      <c r="K78" s="296"/>
      <c r="L78" s="292"/>
      <c r="M78" s="292"/>
      <c r="N78" s="293"/>
      <c r="O78"/>
      <c r="P78"/>
      <c r="Q78"/>
      <c r="R78"/>
      <c r="S78"/>
      <c r="T78"/>
      <c r="U78"/>
      <c r="V78"/>
      <c r="W78"/>
      <c r="X78"/>
      <c r="Y78"/>
      <c r="Z78" s="344"/>
      <c r="AA78" s="337"/>
      <c r="AB78" s="337"/>
      <c r="AC78" s="337"/>
      <c r="AD78" s="110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</row>
    <row r="79" spans="1:94" s="53" customFormat="1" ht="15" x14ac:dyDescent="0.25">
      <c r="A79" s="116">
        <v>12.03</v>
      </c>
      <c r="B79" s="57" t="s">
        <v>45</v>
      </c>
      <c r="C79" s="405"/>
      <c r="D79" s="406"/>
      <c r="E79" s="87"/>
      <c r="F79" s="58"/>
      <c r="G79" s="88"/>
      <c r="H79" s="88"/>
      <c r="I79" s="88"/>
      <c r="J79" s="80">
        <f>ROUND(SUM(G79:I79),-2)</f>
        <v>0</v>
      </c>
      <c r="K79" s="296"/>
      <c r="L79" s="292"/>
      <c r="M79" s="292"/>
      <c r="N79" s="293"/>
      <c r="O79"/>
      <c r="P79"/>
      <c r="Q79"/>
      <c r="R79"/>
      <c r="S79"/>
      <c r="T79"/>
      <c r="U79"/>
      <c r="V79"/>
      <c r="W79"/>
      <c r="X79"/>
      <c r="Y79"/>
      <c r="Z79" s="344"/>
      <c r="AA79" s="337"/>
      <c r="AB79" s="337"/>
      <c r="AC79" s="337"/>
      <c r="AD79" s="110"/>
      <c r="AE79" s="41"/>
      <c r="AF79" s="41"/>
      <c r="AG79" s="41"/>
      <c r="AH79" s="41"/>
      <c r="AI79" s="41"/>
      <c r="AJ79" s="41"/>
      <c r="AK79" s="41"/>
      <c r="AL79" s="41"/>
      <c r="AM79" s="41"/>
      <c r="AN79" s="41"/>
      <c r="AO79" s="41"/>
      <c r="AP79" s="41"/>
      <c r="AQ79" s="41"/>
      <c r="AR79" s="41"/>
      <c r="AS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  <c r="BF79" s="41"/>
      <c r="BG79" s="41"/>
      <c r="BH79" s="41"/>
      <c r="BI79" s="41"/>
      <c r="BJ79" s="41"/>
      <c r="BK79" s="41"/>
      <c r="BL79" s="41"/>
      <c r="BM79" s="41"/>
      <c r="BN79" s="41"/>
      <c r="BO79" s="41"/>
      <c r="BP79" s="41"/>
      <c r="BQ79" s="41"/>
      <c r="BR79" s="41"/>
      <c r="BS79" s="41"/>
      <c r="BT79" s="41"/>
      <c r="BU79" s="41"/>
      <c r="BV79" s="41"/>
      <c r="BW79" s="41"/>
      <c r="BX79" s="41"/>
      <c r="BY79" s="41"/>
      <c r="BZ79" s="41"/>
      <c r="CA79" s="41"/>
      <c r="CB79" s="41"/>
      <c r="CC79" s="41"/>
      <c r="CD79" s="41"/>
      <c r="CE79" s="41"/>
      <c r="CF79" s="41"/>
      <c r="CG79" s="41"/>
      <c r="CH79" s="41"/>
      <c r="CI79" s="41"/>
      <c r="CJ79" s="41"/>
      <c r="CK79" s="41"/>
      <c r="CL79" s="41"/>
      <c r="CM79" s="41"/>
      <c r="CN79" s="41"/>
      <c r="CO79" s="41"/>
      <c r="CP79" s="41"/>
    </row>
    <row r="80" spans="1:94" s="53" customFormat="1" ht="15.75" customHeight="1" x14ac:dyDescent="0.25">
      <c r="A80" s="117">
        <v>13</v>
      </c>
      <c r="B80" s="118"/>
      <c r="C80" s="119" t="str">
        <f>"FY "&amp;M4</f>
        <v>FY 2023</v>
      </c>
      <c r="D80" s="120" t="s">
        <v>65</v>
      </c>
      <c r="E80" s="121"/>
      <c r="F80" s="55">
        <f>SUM(F75:F79)</f>
        <v>0</v>
      </c>
      <c r="G80" s="80">
        <f>SUM(G75:G79)</f>
        <v>0</v>
      </c>
      <c r="H80" s="80">
        <f>SUM(H75:H79)</f>
        <v>0</v>
      </c>
      <c r="I80" s="80">
        <f>SUM(I75:I79)</f>
        <v>0</v>
      </c>
      <c r="J80" s="80">
        <f>SUM(J75:J79)</f>
        <v>0</v>
      </c>
      <c r="K80" s="270"/>
      <c r="L80" s="122"/>
      <c r="M80" s="122"/>
      <c r="N80" s="123"/>
      <c r="O80"/>
      <c r="P80"/>
      <c r="Q80"/>
      <c r="R80"/>
      <c r="S80"/>
      <c r="T80"/>
      <c r="U80"/>
      <c r="V80"/>
      <c r="W80"/>
      <c r="X80"/>
      <c r="Y80"/>
      <c r="Z80" s="344"/>
      <c r="AA80" s="337"/>
      <c r="AB80" s="337"/>
      <c r="AC80" s="337"/>
      <c r="AD80" s="110"/>
      <c r="AE80" s="41"/>
      <c r="AF80" s="41"/>
      <c r="AG80" s="41"/>
      <c r="AH80" s="41"/>
      <c r="AI80" s="41"/>
      <c r="AJ80" s="41"/>
      <c r="AK80" s="41"/>
      <c r="AL80" s="41"/>
      <c r="AM80" s="41"/>
      <c r="AN80" s="41"/>
      <c r="AO80" s="41"/>
      <c r="AP80" s="41"/>
      <c r="AQ80" s="41"/>
      <c r="AR80" s="41"/>
      <c r="AS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  <c r="BF80" s="41"/>
      <c r="BG80" s="41"/>
      <c r="BH80" s="41"/>
      <c r="BI80" s="41"/>
      <c r="BJ80" s="41"/>
      <c r="BK80" s="41"/>
      <c r="BL80" s="41"/>
      <c r="BM80" s="41"/>
      <c r="BN80" s="41"/>
      <c r="BO80" s="41"/>
      <c r="BP80" s="41"/>
      <c r="BQ80" s="41"/>
      <c r="BR80" s="41"/>
      <c r="BS80" s="41"/>
      <c r="BT80" s="41"/>
      <c r="BU80" s="41"/>
      <c r="BV80" s="41"/>
      <c r="BW80" s="41"/>
      <c r="BX80" s="41"/>
      <c r="BY80" s="41"/>
      <c r="BZ80" s="41"/>
      <c r="CA80" s="41"/>
      <c r="CB80" s="41"/>
      <c r="CC80" s="41"/>
      <c r="CD80" s="41"/>
      <c r="CE80" s="41"/>
      <c r="CF80" s="41"/>
      <c r="CG80" s="41"/>
      <c r="CH80" s="41"/>
      <c r="CI80" s="41"/>
      <c r="CJ80" s="41"/>
      <c r="CK80" s="41"/>
      <c r="CL80" s="41"/>
      <c r="CM80" s="41"/>
      <c r="CN80" s="41"/>
      <c r="CO80" s="41"/>
      <c r="CP80" s="41"/>
    </row>
  </sheetData>
  <mergeCells count="51">
    <mergeCell ref="C39:D39"/>
    <mergeCell ref="C8:D8"/>
    <mergeCell ref="C9:D9"/>
    <mergeCell ref="C10:D10"/>
    <mergeCell ref="C11:D11"/>
    <mergeCell ref="C12:D12"/>
    <mergeCell ref="C13:D13"/>
    <mergeCell ref="C16:D16"/>
    <mergeCell ref="C17:D17"/>
    <mergeCell ref="C18:D18"/>
    <mergeCell ref="C38:D38"/>
    <mergeCell ref="C37:D37"/>
    <mergeCell ref="M1:N1"/>
    <mergeCell ref="M2:N2"/>
    <mergeCell ref="M3:N3"/>
    <mergeCell ref="M4:N4"/>
    <mergeCell ref="I5:L5"/>
    <mergeCell ref="C64:D64"/>
    <mergeCell ref="C57:D57"/>
    <mergeCell ref="C58:D58"/>
    <mergeCell ref="C59:D59"/>
    <mergeCell ref="K45:N45"/>
    <mergeCell ref="K46:N47"/>
    <mergeCell ref="E46:J47"/>
    <mergeCell ref="C79:D79"/>
    <mergeCell ref="C78:D78"/>
    <mergeCell ref="C66:D66"/>
    <mergeCell ref="C68:D68"/>
    <mergeCell ref="C69:D69"/>
    <mergeCell ref="C70:D70"/>
    <mergeCell ref="C77:D77"/>
    <mergeCell ref="C71:D71"/>
    <mergeCell ref="C73:D73"/>
    <mergeCell ref="C76:D76"/>
    <mergeCell ref="C72:D72"/>
    <mergeCell ref="AA8:AC8"/>
    <mergeCell ref="AA37:AC37"/>
    <mergeCell ref="AA43:AC43"/>
    <mergeCell ref="C65:D65"/>
    <mergeCell ref="C53:D53"/>
    <mergeCell ref="C61:D61"/>
    <mergeCell ref="C41:D41"/>
    <mergeCell ref="C42:D42"/>
    <mergeCell ref="C43:D44"/>
    <mergeCell ref="C54:D54"/>
    <mergeCell ref="C55:D55"/>
    <mergeCell ref="C50:D50"/>
    <mergeCell ref="K43:N43"/>
    <mergeCell ref="K44:N44"/>
    <mergeCell ref="C62:D62"/>
    <mergeCell ref="C63:D63"/>
  </mergeCells>
  <conditionalFormatting sqref="K44">
    <cfRule type="expression" dxfId="8" priority="5">
      <formula>$J$44&lt;0</formula>
    </cfRule>
  </conditionalFormatting>
  <conditionalFormatting sqref="K43">
    <cfRule type="expression" dxfId="7" priority="4">
      <formula>$J$43&lt;0</formula>
    </cfRule>
  </conditionalFormatting>
  <conditionalFormatting sqref="L16">
    <cfRule type="expression" dxfId="6" priority="3">
      <formula>$J$16&lt;0</formula>
    </cfRule>
  </conditionalFormatting>
  <conditionalFormatting sqref="K45">
    <cfRule type="expression" dxfId="5" priority="2">
      <formula>$J$44&lt;0</formula>
    </cfRule>
  </conditionalFormatting>
  <conditionalFormatting sqref="K43:N45">
    <cfRule type="containsText" dxfId="4" priority="1" operator="containsText" text="underfunding">
      <formula>NOT(ISERROR(SEARCH("underfunding",K43)))</formula>
    </cfRule>
  </conditionalFormatting>
  <printOptions horizontalCentered="1"/>
  <pageMargins left="0.5" right="0.5" top="0.65" bottom="0.65" header="0.26" footer="0.31"/>
  <pageSetup scale="63" fitToHeight="2" orientation="landscape" r:id="rId1"/>
  <headerFooter>
    <oddHeader>&amp;L&amp;"Helv,Bold"FORM B6:  WAGE &amp;&amp; SALARY RECONCILIATION</oddHeader>
    <oddFooter>&amp;LPrinted: &amp;D, &amp;T&amp;RPage &amp;P of &amp;N</oddFooter>
  </headerFooter>
  <rowBreaks count="1" manualBreakCount="1">
    <brk id="64" max="12" man="1"/>
  </rowBreaks>
  <legacy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200-000000000000}">
          <x14:formula1>
            <xm:f>Benefits!$A$20:$A$26</xm:f>
          </x14:formula1>
          <xm:sqref>C20:C30 C32:C36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2">
    <pageSetUpPr fitToPage="1"/>
  </sheetPr>
  <dimension ref="A1:L43"/>
  <sheetViews>
    <sheetView topLeftCell="A27" workbookViewId="0">
      <selection activeCell="A35" sqref="A35:L43"/>
    </sheetView>
  </sheetViews>
  <sheetFormatPr defaultRowHeight="15" x14ac:dyDescent="0.25"/>
  <cols>
    <col min="1" max="1" width="9" customWidth="1"/>
    <col min="2" max="2" width="39.28515625" customWidth="1"/>
    <col min="3" max="3" width="13" customWidth="1"/>
    <col min="4" max="4" width="12.28515625" customWidth="1"/>
    <col min="5" max="5" width="12.140625" customWidth="1"/>
    <col min="6" max="6" width="14.5703125" customWidth="1"/>
    <col min="7" max="7" width="19.5703125" customWidth="1"/>
    <col min="8" max="8" width="13.7109375" customWidth="1"/>
    <col min="9" max="9" width="0" hidden="1" customWidth="1"/>
    <col min="10" max="10" width="18.42578125" customWidth="1"/>
    <col min="11" max="11" width="16.42578125" customWidth="1"/>
    <col min="12" max="12" width="16.140625" customWidth="1"/>
  </cols>
  <sheetData>
    <row r="1" spans="1:12" x14ac:dyDescent="0.25">
      <c r="A1" s="395" t="s">
        <v>279</v>
      </c>
      <c r="B1" s="395"/>
      <c r="C1" s="395"/>
      <c r="D1" s="395"/>
      <c r="E1" s="395"/>
      <c r="F1" s="395"/>
      <c r="G1" s="395"/>
      <c r="H1" s="395"/>
      <c r="I1" s="395"/>
      <c r="J1" s="395"/>
      <c r="K1" s="395"/>
      <c r="L1" s="395"/>
    </row>
    <row r="2" spans="1:12" ht="39" x14ac:dyDescent="0.25">
      <c r="A2" s="473" t="s">
        <v>22</v>
      </c>
      <c r="B2" s="474"/>
      <c r="C2" s="370" t="s">
        <v>23</v>
      </c>
      <c r="D2" s="49" t="s">
        <v>24</v>
      </c>
      <c r="E2" s="50" t="str">
        <f>"FY "&amp;'LABA|0349-00'!FiscalYear-1&amp;" SALARY"</f>
        <v>FY 2022 SALARY</v>
      </c>
      <c r="F2" s="50" t="str">
        <f>"FY "&amp;'LABA|0349-00'!FiscalYear-1&amp;" HEALTH BENEFITS"</f>
        <v>FY 2022 HEALTH BENEFITS</v>
      </c>
      <c r="G2" s="50" t="str">
        <f>"FY "&amp;'LABA|0349-00'!FiscalYear-1&amp;" VAR BENEFITS"</f>
        <v>FY 2022 VAR BENEFITS</v>
      </c>
      <c r="H2" s="50" t="str">
        <f>"FY "&amp;'LABA|0349-00'!FiscalYear-1&amp;" TOTAL"</f>
        <v>FY 2022 TOTAL</v>
      </c>
      <c r="I2" s="50" t="str">
        <f>"FY "&amp;'LABA|0349-00'!FiscalYear&amp;" SALARY CHANGE"</f>
        <v>FY 2023 SALARY CHANGE</v>
      </c>
      <c r="J2" s="50" t="str">
        <f>"FY "&amp;'LABA|0349-00'!FiscalYear&amp;" CHG HEALTH BENEFITS"</f>
        <v>FY 2023 CHG HEALTH BENEFITS</v>
      </c>
      <c r="K2" s="50" t="str">
        <f>"FY "&amp;'LABA|0349-00'!FiscalYear&amp;" CHG VAR BENEFITS"</f>
        <v>FY 2023 CHG VAR BENEFITS</v>
      </c>
      <c r="L2" s="50" t="s">
        <v>25</v>
      </c>
    </row>
    <row r="3" spans="1:12" x14ac:dyDescent="0.25">
      <c r="A3" s="465" t="s">
        <v>26</v>
      </c>
      <c r="B3" s="466"/>
      <c r="C3" s="141"/>
      <c r="D3" s="142"/>
      <c r="E3" s="143"/>
      <c r="F3" s="143"/>
      <c r="G3" s="143"/>
      <c r="H3" s="144"/>
      <c r="I3" s="144"/>
      <c r="J3" s="145"/>
      <c r="K3" s="146"/>
      <c r="L3" s="144"/>
    </row>
    <row r="4" spans="1:12" x14ac:dyDescent="0.25">
      <c r="A4" s="444" t="s">
        <v>27</v>
      </c>
      <c r="B4" s="467"/>
      <c r="C4" s="217">
        <v>1</v>
      </c>
      <c r="D4" s="288">
        <f>[0]!LABA034900col_INC_FTI</f>
        <v>0.23</v>
      </c>
      <c r="E4" s="218">
        <f>[0]!LABA034900col_FTI_SALARY_PERM</f>
        <v>49069.48</v>
      </c>
      <c r="F4" s="218">
        <f>[0]!LABA034900col_HEALTH_PERM</f>
        <v>2679.5</v>
      </c>
      <c r="G4" s="218">
        <f>[0]!LABA034900col_TOT_VB_PERM</f>
        <v>9314.7007988000023</v>
      </c>
      <c r="H4" s="219">
        <f>SUM(E4:G4)</f>
        <v>61063.680798800007</v>
      </c>
      <c r="I4" s="219">
        <f>[0]!LABA034900col_1_27TH_PP</f>
        <v>0</v>
      </c>
      <c r="J4" s="218">
        <f>[0]!LABA034900col_HEALTH_PERM_CHG</f>
        <v>0</v>
      </c>
      <c r="K4" s="218">
        <f>[0]!LABA034900col_TOT_VB_PERM_CHG</f>
        <v>-177.52834799999991</v>
      </c>
      <c r="L4" s="218">
        <f>SUM(J4:K4)</f>
        <v>-177.52834799999991</v>
      </c>
    </row>
    <row r="5" spans="1:12" x14ac:dyDescent="0.25">
      <c r="A5" s="444" t="s">
        <v>28</v>
      </c>
      <c r="B5" s="467"/>
      <c r="C5" s="217">
        <v>2</v>
      </c>
      <c r="D5" s="288"/>
      <c r="E5" s="218">
        <f>[0]!LABA034900col_Group_Salary</f>
        <v>4400</v>
      </c>
      <c r="F5" s="218">
        <v>0</v>
      </c>
      <c r="G5" s="218">
        <f>[0]!LABA034900col_Group_Ben</f>
        <v>338.2</v>
      </c>
      <c r="H5" s="219">
        <f>SUM(E5:G5)</f>
        <v>4738.2</v>
      </c>
      <c r="I5" s="268"/>
      <c r="J5" s="218"/>
      <c r="K5" s="218"/>
      <c r="L5" s="218"/>
    </row>
    <row r="6" spans="1:12" x14ac:dyDescent="0.25">
      <c r="A6" s="444" t="s">
        <v>29</v>
      </c>
      <c r="B6" s="445"/>
      <c r="C6" s="217">
        <v>3</v>
      </c>
      <c r="D6" s="288">
        <f>[0]!LABA034900col_TOTAL_ELECT_PCN_FTI</f>
        <v>0</v>
      </c>
      <c r="E6" s="218">
        <f>[0]!LABA034900col_FTI_SALARY_ELECT</f>
        <v>0</v>
      </c>
      <c r="F6" s="218">
        <f>[0]!LABA034900col_HEALTH_ELECT</f>
        <v>0</v>
      </c>
      <c r="G6" s="218">
        <f>[0]!LABA034900col_TOT_VB_ELECT</f>
        <v>0</v>
      </c>
      <c r="H6" s="219">
        <f>SUM(E6:G6)</f>
        <v>0</v>
      </c>
      <c r="I6" s="268"/>
      <c r="J6" s="218">
        <f>[0]!LABA034900col_HEALTH_ELECT_CHG</f>
        <v>0</v>
      </c>
      <c r="K6" s="218">
        <f>[0]!LABA034900col_TOT_VB_ELECT_CHG</f>
        <v>0</v>
      </c>
      <c r="L6" s="219">
        <f>SUM(J6:K6)</f>
        <v>0</v>
      </c>
    </row>
    <row r="7" spans="1:12" x14ac:dyDescent="0.25">
      <c r="A7" s="444" t="s">
        <v>30</v>
      </c>
      <c r="B7" s="467"/>
      <c r="C7" s="217"/>
      <c r="D7" s="220">
        <f>SUM(D4:D6)</f>
        <v>0.23</v>
      </c>
      <c r="E7" s="221">
        <f>SUM(E4:E6)</f>
        <v>53469.48</v>
      </c>
      <c r="F7" s="221">
        <f>SUM(F4:F6)</f>
        <v>2679.5</v>
      </c>
      <c r="G7" s="221">
        <f>SUM(G4:G6)</f>
        <v>9652.900798800003</v>
      </c>
      <c r="H7" s="219">
        <f>SUM(E7:G7)</f>
        <v>65801.880798800004</v>
      </c>
      <c r="I7" s="268"/>
      <c r="J7" s="219">
        <f>SUM(J4:J6)</f>
        <v>0</v>
      </c>
      <c r="K7" s="219">
        <f>SUM(K4:K6)</f>
        <v>-177.52834799999991</v>
      </c>
      <c r="L7" s="219">
        <f>SUM(L4:L6)</f>
        <v>-177.52834799999991</v>
      </c>
    </row>
    <row r="8" spans="1:12" x14ac:dyDescent="0.25">
      <c r="A8" s="365"/>
      <c r="B8" s="371"/>
      <c r="C8" s="217"/>
      <c r="D8" s="220"/>
      <c r="E8" s="219"/>
      <c r="F8" s="219"/>
      <c r="G8" s="219"/>
      <c r="H8" s="219"/>
      <c r="I8" s="268"/>
      <c r="J8" s="219"/>
      <c r="K8" s="222"/>
      <c r="L8" s="222"/>
    </row>
    <row r="9" spans="1:12" x14ac:dyDescent="0.25">
      <c r="A9" s="157" t="str">
        <f>"FY "&amp;'LABA|0349-00'!FiscalYear-1</f>
        <v>FY 2022</v>
      </c>
      <c r="B9" s="158" t="s">
        <v>31</v>
      </c>
      <c r="C9" s="355">
        <v>70000</v>
      </c>
      <c r="D9" s="55">
        <v>0.85</v>
      </c>
      <c r="E9" s="223">
        <f>IF('LABA|0349-00'!OrigApprop=0,0,(E7/H7)*'LABA|0349-00'!OrigApprop)</f>
        <v>56880.79967568734</v>
      </c>
      <c r="F9" s="223">
        <f>IF('LABA|0349-00'!OrigApprop=0,0,(F7/H7)*'LABA|0349-00'!OrigApprop)</f>
        <v>2850.4504388485584</v>
      </c>
      <c r="G9" s="223">
        <f>IF(E9=0,0,(G7/H7)*'LABA|0349-00'!OrigApprop)</f>
        <v>10268.749885464103</v>
      </c>
      <c r="H9" s="223">
        <f>SUM(E9:G9)</f>
        <v>70000</v>
      </c>
      <c r="I9" s="268"/>
      <c r="J9" s="224"/>
      <c r="K9" s="224"/>
      <c r="L9" s="224"/>
    </row>
    <row r="10" spans="1:12" x14ac:dyDescent="0.25">
      <c r="A10" s="454" t="s">
        <v>32</v>
      </c>
      <c r="B10" s="455"/>
      <c r="C10" s="160" t="s">
        <v>33</v>
      </c>
      <c r="D10" s="161">
        <f>D9-D7</f>
        <v>0.62</v>
      </c>
      <c r="E10" s="162">
        <f>E9-E7</f>
        <v>3411.3196756873367</v>
      </c>
      <c r="F10" s="162">
        <f>F9-F7</f>
        <v>170.95043884855841</v>
      </c>
      <c r="G10" s="162">
        <f>G9-G7</f>
        <v>615.84908666410047</v>
      </c>
      <c r="H10" s="162">
        <f>H9-H7</f>
        <v>4198.1192011999956</v>
      </c>
      <c r="I10" s="269"/>
      <c r="J10" s="56" t="str">
        <f>IF('LABA|0349-00'!OrigApprop=0,"ERROR! Enter Original Appropriation amount in DU 3.00!","Calculated "&amp;IF('LABA|0349-00'!AdjustedTotal&gt;0,"overfunding ","underfunding ")&amp;"is "&amp;TEXT('LABA|0349-00'!AdjustedTotal/'LABA|0349-00'!AppropTotal,"#.0%;(#.0% );0% ;")&amp;" of Original Appropriation")</f>
        <v>Calculated overfunding is 6.0% of Original Appropriation</v>
      </c>
      <c r="K10" s="163"/>
      <c r="L10" s="164"/>
    </row>
    <row r="12" spans="1:12" x14ac:dyDescent="0.25">
      <c r="A12" s="395" t="s">
        <v>285</v>
      </c>
      <c r="B12" s="395"/>
      <c r="C12" s="395"/>
      <c r="D12" s="395"/>
      <c r="E12" s="395"/>
      <c r="F12" s="395"/>
      <c r="G12" s="395"/>
      <c r="H12" s="395"/>
      <c r="I12" s="395"/>
      <c r="J12" s="395"/>
      <c r="K12" s="395"/>
      <c r="L12" s="395"/>
    </row>
    <row r="13" spans="1:12" ht="39" x14ac:dyDescent="0.25">
      <c r="A13" s="473" t="s">
        <v>22</v>
      </c>
      <c r="B13" s="474"/>
      <c r="C13" s="370" t="s">
        <v>23</v>
      </c>
      <c r="D13" s="49" t="s">
        <v>24</v>
      </c>
      <c r="E13" s="50" t="str">
        <f>"FY "&amp;'LABA|0482-00'!FiscalYear-1&amp;" SALARY"</f>
        <v>FY 2022 SALARY</v>
      </c>
      <c r="F13" s="50" t="str">
        <f>"FY "&amp;'LABA|0482-00'!FiscalYear-1&amp;" HEALTH BENEFITS"</f>
        <v>FY 2022 HEALTH BENEFITS</v>
      </c>
      <c r="G13" s="50" t="str">
        <f>"FY "&amp;'LABA|0482-00'!FiscalYear-1&amp;" VAR BENEFITS"</f>
        <v>FY 2022 VAR BENEFITS</v>
      </c>
      <c r="H13" s="50" t="str">
        <f>"FY "&amp;'LABA|0482-00'!FiscalYear-1&amp;" TOTAL"</f>
        <v>FY 2022 TOTAL</v>
      </c>
      <c r="I13" s="50" t="str">
        <f>"FY "&amp;'LABA|0482-00'!FiscalYear&amp;" SALARY CHANGE"</f>
        <v>FY 2023 SALARY CHANGE</v>
      </c>
      <c r="J13" s="50" t="str">
        <f>"FY "&amp;'LABA|0482-00'!FiscalYear&amp;" CHG HEALTH BENEFITS"</f>
        <v>FY 2023 CHG HEALTH BENEFITS</v>
      </c>
      <c r="K13" s="50" t="str">
        <f>"FY "&amp;'LABA|0482-00'!FiscalYear&amp;" CHG VAR BENEFITS"</f>
        <v>FY 2023 CHG VAR BENEFITS</v>
      </c>
      <c r="L13" s="50" t="s">
        <v>25</v>
      </c>
    </row>
    <row r="14" spans="1:12" x14ac:dyDescent="0.25">
      <c r="A14" s="465" t="s">
        <v>26</v>
      </c>
      <c r="B14" s="466"/>
      <c r="C14" s="141"/>
      <c r="D14" s="142"/>
      <c r="E14" s="143"/>
      <c r="F14" s="143"/>
      <c r="G14" s="143"/>
      <c r="H14" s="144"/>
      <c r="I14" s="144"/>
      <c r="J14" s="145"/>
      <c r="K14" s="146"/>
      <c r="L14" s="144"/>
    </row>
    <row r="15" spans="1:12" x14ac:dyDescent="0.25">
      <c r="A15" s="444" t="s">
        <v>27</v>
      </c>
      <c r="B15" s="467"/>
      <c r="C15" s="217">
        <v>1</v>
      </c>
      <c r="D15" s="288">
        <f>[0]!LABA048270col_INC_FTI</f>
        <v>3.77</v>
      </c>
      <c r="E15" s="218">
        <f>[0]!LABA048270col_FTI_SALARY_PERM</f>
        <v>384173.70999999996</v>
      </c>
      <c r="F15" s="218">
        <f>[0]!LABA048270col_HEALTH_PERM</f>
        <v>43920.5</v>
      </c>
      <c r="G15" s="218">
        <f>[0]!LABA048270col_TOT_VB_PERM</f>
        <v>78436.233143099991</v>
      </c>
      <c r="H15" s="219">
        <f>SUM(E15:G15)</f>
        <v>506530.44314309995</v>
      </c>
      <c r="I15" s="219">
        <f>[0]!LABA048270col_1_27TH_PP</f>
        <v>0</v>
      </c>
      <c r="J15" s="218">
        <f>[0]!LABA048270col_HEALTH_PERM_CHG</f>
        <v>0</v>
      </c>
      <c r="K15" s="218">
        <f>[0]!LABA048270col_TOT_VB_PERM_CHG</f>
        <v>-1715.8119209999988</v>
      </c>
      <c r="L15" s="218">
        <f>SUM(J15:K15)</f>
        <v>-1715.8119209999988</v>
      </c>
    </row>
    <row r="16" spans="1:12" x14ac:dyDescent="0.25">
      <c r="A16" s="444" t="s">
        <v>28</v>
      </c>
      <c r="B16" s="467"/>
      <c r="C16" s="217">
        <v>2</v>
      </c>
      <c r="D16" s="288"/>
      <c r="E16" s="218">
        <f>[0]!LABA048270col_Group_Salary</f>
        <v>0</v>
      </c>
      <c r="F16" s="218">
        <v>0</v>
      </c>
      <c r="G16" s="218">
        <f>[0]!LABA048270col_Group_Ben</f>
        <v>0</v>
      </c>
      <c r="H16" s="219">
        <f>SUM(E16:G16)</f>
        <v>0</v>
      </c>
      <c r="I16" s="268"/>
      <c r="J16" s="218"/>
      <c r="K16" s="218"/>
      <c r="L16" s="218"/>
    </row>
    <row r="17" spans="1:12" x14ac:dyDescent="0.25">
      <c r="A17" s="444" t="s">
        <v>29</v>
      </c>
      <c r="B17" s="445"/>
      <c r="C17" s="217">
        <v>3</v>
      </c>
      <c r="D17" s="288">
        <f>[0]!LABA048270col_TOTAL_ELECT_PCN_FTI</f>
        <v>0</v>
      </c>
      <c r="E17" s="218">
        <f>[0]!LABA048270col_FTI_SALARY_ELECT</f>
        <v>0</v>
      </c>
      <c r="F17" s="218">
        <f>[0]!LABA048270col_HEALTH_ELECT</f>
        <v>0</v>
      </c>
      <c r="G17" s="218">
        <f>[0]!LABA048270col_TOT_VB_ELECT</f>
        <v>0</v>
      </c>
      <c r="H17" s="219">
        <f>SUM(E17:G17)</f>
        <v>0</v>
      </c>
      <c r="I17" s="268"/>
      <c r="J17" s="218">
        <f>[0]!LABA048270col_HEALTH_ELECT_CHG</f>
        <v>0</v>
      </c>
      <c r="K17" s="218">
        <f>[0]!LABA048270col_TOT_VB_ELECT_CHG</f>
        <v>0</v>
      </c>
      <c r="L17" s="219">
        <f>SUM(J17:K17)</f>
        <v>0</v>
      </c>
    </row>
    <row r="18" spans="1:12" x14ac:dyDescent="0.25">
      <c r="A18" s="444" t="s">
        <v>30</v>
      </c>
      <c r="B18" s="467"/>
      <c r="C18" s="217"/>
      <c r="D18" s="220">
        <f>SUM(D15:D17)</f>
        <v>3.77</v>
      </c>
      <c r="E18" s="221">
        <f>SUM(E15:E17)</f>
        <v>384173.70999999996</v>
      </c>
      <c r="F18" s="221">
        <f>SUM(F15:F17)</f>
        <v>43920.5</v>
      </c>
      <c r="G18" s="221">
        <f>SUM(G15:G17)</f>
        <v>78436.233143099991</v>
      </c>
      <c r="H18" s="219">
        <f>SUM(E18:G18)</f>
        <v>506530.44314309995</v>
      </c>
      <c r="I18" s="268"/>
      <c r="J18" s="219">
        <f>SUM(J15:J17)</f>
        <v>0</v>
      </c>
      <c r="K18" s="219">
        <f>SUM(K15:K17)</f>
        <v>-1715.8119209999988</v>
      </c>
      <c r="L18" s="219">
        <f>SUM(L15:L17)</f>
        <v>-1715.8119209999988</v>
      </c>
    </row>
    <row r="19" spans="1:12" x14ac:dyDescent="0.25">
      <c r="A19" s="365"/>
      <c r="B19" s="371"/>
      <c r="C19" s="217"/>
      <c r="D19" s="220"/>
      <c r="E19" s="219"/>
      <c r="F19" s="219"/>
      <c r="G19" s="219"/>
      <c r="H19" s="219"/>
      <c r="I19" s="268"/>
      <c r="J19" s="219"/>
      <c r="K19" s="222"/>
      <c r="L19" s="222"/>
    </row>
    <row r="20" spans="1:12" x14ac:dyDescent="0.25">
      <c r="A20" s="157" t="str">
        <f>"FY "&amp;'LABA|0482-00'!FiscalYear-1</f>
        <v>FY 2022</v>
      </c>
      <c r="B20" s="158" t="s">
        <v>31</v>
      </c>
      <c r="C20" s="355">
        <v>537900</v>
      </c>
      <c r="D20" s="55">
        <v>3.15</v>
      </c>
      <c r="E20" s="223">
        <f>IF('LABA|0482-00'!OrigApprop=0,0,(E18/H18)*'LABA|0482-00'!OrigApprop)</f>
        <v>407965.68381304597</v>
      </c>
      <c r="F20" s="223">
        <f>IF('LABA|0482-00'!OrigApprop=0,0,(F18/H18)*'LABA|0482-00'!OrigApprop)</f>
        <v>46640.507534757882</v>
      </c>
      <c r="G20" s="223">
        <f>IF(E20=0,0,(G18/H18)*'LABA|0482-00'!OrigApprop)</f>
        <v>83293.808652196152</v>
      </c>
      <c r="H20" s="223">
        <f>SUM(E20:G20)</f>
        <v>537900</v>
      </c>
      <c r="I20" s="268"/>
      <c r="J20" s="224"/>
      <c r="K20" s="224"/>
      <c r="L20" s="224"/>
    </row>
    <row r="21" spans="1:12" x14ac:dyDescent="0.25">
      <c r="A21" s="454" t="s">
        <v>32</v>
      </c>
      <c r="B21" s="455"/>
      <c r="C21" s="160" t="s">
        <v>33</v>
      </c>
      <c r="D21" s="161">
        <f>D20-D18</f>
        <v>-0.62000000000000011</v>
      </c>
      <c r="E21" s="162">
        <f>E20-E18</f>
        <v>23791.973813046003</v>
      </c>
      <c r="F21" s="162">
        <f>F20-F18</f>
        <v>2720.0075347578822</v>
      </c>
      <c r="G21" s="162">
        <f>G20-G18</f>
        <v>4857.5755090961611</v>
      </c>
      <c r="H21" s="162">
        <f>H20-H18</f>
        <v>31369.556856900046</v>
      </c>
      <c r="I21" s="269"/>
      <c r="J21" s="56" t="str">
        <f>IF('LABA|0482-00'!OrigApprop=0,"ERROR! Enter Original Appropriation amount in DU 3.00!","Calculated "&amp;IF('LABA|0482-00'!AdjustedTotal&gt;0,"overfunding ","underfunding ")&amp;"is "&amp;TEXT('LABA|0482-00'!AdjustedTotal/'LABA|0482-00'!AppropTotal,"#.0%;(#.0% );0% ;")&amp;" of Original Appropriation")</f>
        <v>Calculated overfunding is 5.8% of Original Appropriation</v>
      </c>
      <c r="K21" s="163"/>
      <c r="L21" s="164"/>
    </row>
    <row r="23" spans="1:12" x14ac:dyDescent="0.25">
      <c r="A23" s="395" t="s">
        <v>288</v>
      </c>
      <c r="B23" s="395"/>
      <c r="C23" s="395"/>
      <c r="D23" s="395"/>
      <c r="E23" s="395"/>
      <c r="F23" s="395"/>
      <c r="G23" s="395"/>
      <c r="H23" s="395"/>
      <c r="I23" s="395"/>
      <c r="J23" s="395"/>
      <c r="K23" s="395"/>
      <c r="L23" s="395"/>
    </row>
    <row r="24" spans="1:12" ht="39" x14ac:dyDescent="0.25">
      <c r="A24" s="473" t="s">
        <v>22</v>
      </c>
      <c r="B24" s="474"/>
      <c r="C24" s="370" t="s">
        <v>23</v>
      </c>
      <c r="D24" s="49" t="s">
        <v>24</v>
      </c>
      <c r="E24" s="50" t="str">
        <f>"FY "&amp;[0]!FiscalYear-1&amp;" SALARY"</f>
        <v>FY 2022 SALARY</v>
      </c>
      <c r="F24" s="50" t="str">
        <f>"FY "&amp;[0]!FiscalYear-1&amp;" HEALTH BENEFITS"</f>
        <v>FY 2022 HEALTH BENEFITS</v>
      </c>
      <c r="G24" s="50" t="str">
        <f>"FY "&amp;[0]!FiscalYear-1&amp;" VAR BENEFITS"</f>
        <v>FY 2022 VAR BENEFITS</v>
      </c>
      <c r="H24" s="50" t="str">
        <f>"FY "&amp;[0]!FiscalYear-1&amp;" TOTAL"</f>
        <v>FY 2022 TOTAL</v>
      </c>
      <c r="I24" s="50" t="str">
        <f>"FY "&amp;[0]!FiscalYear&amp;" SALARY CHANGE"</f>
        <v>FY 2023 SALARY CHANGE</v>
      </c>
      <c r="J24" s="50" t="str">
        <f>"FY "&amp;[0]!FiscalYear&amp;" CHG HEALTH BENEFITS"</f>
        <v>FY 2023 CHG HEALTH BENEFITS</v>
      </c>
      <c r="K24" s="50" t="str">
        <f>"FY "&amp;[0]!FiscalYear&amp;" CHG VAR BENEFITS"</f>
        <v>FY 2023 CHG VAR BENEFITS</v>
      </c>
      <c r="L24" s="50" t="s">
        <v>25</v>
      </c>
    </row>
    <row r="25" spans="1:12" x14ac:dyDescent="0.25">
      <c r="A25" s="465" t="s">
        <v>26</v>
      </c>
      <c r="B25" s="466"/>
      <c r="C25" s="141"/>
      <c r="D25" s="142"/>
      <c r="E25" s="143"/>
      <c r="F25" s="143"/>
      <c r="G25" s="143"/>
      <c r="H25" s="144"/>
      <c r="I25" s="144"/>
      <c r="J25" s="145"/>
      <c r="K25" s="146"/>
      <c r="L25" s="144"/>
    </row>
    <row r="26" spans="1:12" x14ac:dyDescent="0.25">
      <c r="A26" s="444" t="s">
        <v>27</v>
      </c>
      <c r="B26" s="467"/>
      <c r="C26" s="217">
        <v>1</v>
      </c>
      <c r="D26" s="288">
        <f>[0]!LABB034900col_INC_FTI</f>
        <v>0</v>
      </c>
      <c r="E26" s="218">
        <f>[0]!LABB034900col_FTI_SALARY_PERM</f>
        <v>0</v>
      </c>
      <c r="F26" s="218">
        <f>[0]!LABB034900col_HEALTH_PERM</f>
        <v>0</v>
      </c>
      <c r="G26" s="218">
        <f>[0]!LABB034900col_TOT_VB_PERM</f>
        <v>0</v>
      </c>
      <c r="H26" s="219">
        <f>SUM(E26:G26)</f>
        <v>0</v>
      </c>
      <c r="I26" s="219">
        <f>[0]!LABB034900col_1_27TH_PP</f>
        <v>0</v>
      </c>
      <c r="J26" s="218">
        <f>[0]!LABB034900col_HEALTH_PERM_CHG</f>
        <v>0</v>
      </c>
      <c r="K26" s="218">
        <f>[0]!LABB034900col_TOT_VB_PERM_CHG</f>
        <v>0</v>
      </c>
      <c r="L26" s="218">
        <f>SUM(J26:K26)</f>
        <v>0</v>
      </c>
    </row>
    <row r="27" spans="1:12" x14ac:dyDescent="0.25">
      <c r="A27" s="444" t="s">
        <v>28</v>
      </c>
      <c r="B27" s="467"/>
      <c r="C27" s="217">
        <v>2</v>
      </c>
      <c r="D27" s="288"/>
      <c r="E27" s="218">
        <f>[0]!LABB034900col_Group_Salary</f>
        <v>0</v>
      </c>
      <c r="F27" s="218">
        <v>0</v>
      </c>
      <c r="G27" s="218">
        <f>[0]!LABB034900col_Group_Ben</f>
        <v>0</v>
      </c>
      <c r="H27" s="219">
        <f>SUM(E27:G27)</f>
        <v>0</v>
      </c>
      <c r="I27" s="268"/>
      <c r="J27" s="218"/>
      <c r="K27" s="218"/>
      <c r="L27" s="218"/>
    </row>
    <row r="28" spans="1:12" x14ac:dyDescent="0.25">
      <c r="A28" s="444" t="s">
        <v>29</v>
      </c>
      <c r="B28" s="445"/>
      <c r="C28" s="217">
        <v>3</v>
      </c>
      <c r="D28" s="288">
        <f>[0]!LABB034900col_TOTAL_ELECT_PCN_FTI</f>
        <v>0</v>
      </c>
      <c r="E28" s="218">
        <f>[0]!LABB034900col_FTI_SALARY_ELECT</f>
        <v>0</v>
      </c>
      <c r="F28" s="218">
        <f>[0]!LABB034900col_HEALTH_ELECT</f>
        <v>0</v>
      </c>
      <c r="G28" s="218">
        <f>[0]!LABB034900col_TOT_VB_ELECT</f>
        <v>0</v>
      </c>
      <c r="H28" s="219">
        <f>SUM(E28:G28)</f>
        <v>0</v>
      </c>
      <c r="I28" s="268"/>
      <c r="J28" s="218">
        <f>[0]!LABB034900col_HEALTH_ELECT_CHG</f>
        <v>0</v>
      </c>
      <c r="K28" s="218">
        <f>[0]!LABB034900col_TOT_VB_ELECT_CHG</f>
        <v>0</v>
      </c>
      <c r="L28" s="219">
        <f>SUM(J28:K28)</f>
        <v>0</v>
      </c>
    </row>
    <row r="29" spans="1:12" x14ac:dyDescent="0.25">
      <c r="A29" s="444" t="s">
        <v>30</v>
      </c>
      <c r="B29" s="467"/>
      <c r="C29" s="217"/>
      <c r="D29" s="220">
        <f>SUM(D26:D28)</f>
        <v>0</v>
      </c>
      <c r="E29" s="221">
        <f>SUM(E26:E28)</f>
        <v>0</v>
      </c>
      <c r="F29" s="221">
        <f>SUM(F26:F28)</f>
        <v>0</v>
      </c>
      <c r="G29" s="221">
        <f>SUM(G26:G28)</f>
        <v>0</v>
      </c>
      <c r="H29" s="219">
        <f>SUM(E29:G29)</f>
        <v>0</v>
      </c>
      <c r="I29" s="268"/>
      <c r="J29" s="219">
        <f>SUM(J26:J28)</f>
        <v>0</v>
      </c>
      <c r="K29" s="219">
        <f>SUM(K26:K28)</f>
        <v>0</v>
      </c>
      <c r="L29" s="219">
        <f>SUM(L26:L28)</f>
        <v>0</v>
      </c>
    </row>
    <row r="30" spans="1:12" x14ac:dyDescent="0.25">
      <c r="A30" s="365"/>
      <c r="B30" s="371"/>
      <c r="C30" s="217"/>
      <c r="D30" s="220"/>
      <c r="E30" s="219"/>
      <c r="F30" s="219"/>
      <c r="G30" s="219"/>
      <c r="H30" s="219"/>
      <c r="I30" s="268"/>
      <c r="J30" s="219"/>
      <c r="K30" s="222"/>
      <c r="L30" s="222"/>
    </row>
    <row r="31" spans="1:12" x14ac:dyDescent="0.25">
      <c r="A31" s="157" t="str">
        <f>"FY "&amp;[0]!FiscalYear-1</f>
        <v>FY 2022</v>
      </c>
      <c r="B31" s="158" t="s">
        <v>31</v>
      </c>
      <c r="C31" s="355">
        <v>70000</v>
      </c>
      <c r="D31" s="55">
        <v>0.85</v>
      </c>
      <c r="E31" s="223">
        <f>IF([0]!OrigApprop=0,0,(E29/H29)*[0]!OrigApprop)</f>
        <v>0</v>
      </c>
      <c r="F31" s="223">
        <f>IF([0]!OrigApprop=0,0,(F29/H29)*[0]!OrigApprop)</f>
        <v>0</v>
      </c>
      <c r="G31" s="223">
        <f>IF(E31=0,0,(G29/H29)*[0]!OrigApprop)</f>
        <v>0</v>
      </c>
      <c r="H31" s="223">
        <f>SUM(E31:G31)</f>
        <v>0</v>
      </c>
      <c r="I31" s="268"/>
      <c r="J31" s="224"/>
      <c r="K31" s="224"/>
      <c r="L31" s="224"/>
    </row>
    <row r="32" spans="1:12" x14ac:dyDescent="0.25">
      <c r="A32" s="454" t="s">
        <v>32</v>
      </c>
      <c r="B32" s="455"/>
      <c r="C32" s="160" t="s">
        <v>33</v>
      </c>
      <c r="D32" s="161">
        <f>D31-D29</f>
        <v>0.85</v>
      </c>
      <c r="E32" s="162">
        <f>E31-E29</f>
        <v>0</v>
      </c>
      <c r="F32" s="162">
        <f>F31-F29</f>
        <v>0</v>
      </c>
      <c r="G32" s="162">
        <f>G31-G29</f>
        <v>0</v>
      </c>
      <c r="H32" s="162">
        <f>H31-H29</f>
        <v>0</v>
      </c>
      <c r="I32" s="269"/>
      <c r="J32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32" s="163"/>
      <c r="L32" s="164"/>
    </row>
    <row r="34" spans="1:12" x14ac:dyDescent="0.25">
      <c r="A34" s="395" t="s">
        <v>291</v>
      </c>
      <c r="B34" s="395"/>
      <c r="C34" s="395"/>
      <c r="D34" s="395"/>
      <c r="E34" s="395"/>
      <c r="F34" s="395"/>
      <c r="G34" s="395"/>
      <c r="H34" s="395"/>
      <c r="I34" s="395"/>
      <c r="J34" s="395"/>
      <c r="K34" s="395"/>
      <c r="L34" s="395"/>
    </row>
    <row r="35" spans="1:12" ht="39" x14ac:dyDescent="0.25">
      <c r="A35" s="473" t="s">
        <v>22</v>
      </c>
      <c r="B35" s="474"/>
      <c r="C35" s="370" t="s">
        <v>23</v>
      </c>
      <c r="D35" s="49" t="s">
        <v>24</v>
      </c>
      <c r="E35" s="50" t="str">
        <f>"FY "&amp;[0]!FiscalYear-1&amp;" SALARY"</f>
        <v>FY 2022 SALARY</v>
      </c>
      <c r="F35" s="50" t="str">
        <f>"FY "&amp;[0]!FiscalYear-1&amp;" HEALTH BENEFITS"</f>
        <v>FY 2022 HEALTH BENEFITS</v>
      </c>
      <c r="G35" s="50" t="str">
        <f>"FY "&amp;[0]!FiscalYear-1&amp;" VAR BENEFITS"</f>
        <v>FY 2022 VAR BENEFITS</v>
      </c>
      <c r="H35" s="50" t="str">
        <f>"FY "&amp;[0]!FiscalYear-1&amp;" TOTAL"</f>
        <v>FY 2022 TOTAL</v>
      </c>
      <c r="I35" s="50" t="str">
        <f>"FY "&amp;[0]!FiscalYear&amp;" SALARY CHANGE"</f>
        <v>FY 2023 SALARY CHANGE</v>
      </c>
      <c r="J35" s="50" t="str">
        <f>"FY "&amp;[0]!FiscalYear&amp;" CHG HEALTH BENEFITS"</f>
        <v>FY 2023 CHG HEALTH BENEFITS</v>
      </c>
      <c r="K35" s="50" t="str">
        <f>"FY "&amp;[0]!FiscalYear&amp;" CHG VAR BENEFITS"</f>
        <v>FY 2023 CHG VAR BENEFITS</v>
      </c>
      <c r="L35" s="50" t="s">
        <v>25</v>
      </c>
    </row>
    <row r="36" spans="1:12" x14ac:dyDescent="0.25">
      <c r="A36" s="465" t="s">
        <v>26</v>
      </c>
      <c r="B36" s="466"/>
      <c r="C36" s="141"/>
      <c r="D36" s="142"/>
      <c r="E36" s="143"/>
      <c r="F36" s="143"/>
      <c r="G36" s="143"/>
      <c r="H36" s="144"/>
      <c r="I36" s="144"/>
      <c r="J36" s="145"/>
      <c r="K36" s="146"/>
      <c r="L36" s="144"/>
    </row>
    <row r="37" spans="1:12" x14ac:dyDescent="0.25">
      <c r="A37" s="444" t="s">
        <v>27</v>
      </c>
      <c r="B37" s="467"/>
      <c r="C37" s="217">
        <v>1</v>
      </c>
      <c r="D37" s="288">
        <f>[0]!LABB048270col_INC_FTI</f>
        <v>0</v>
      </c>
      <c r="E37" s="218">
        <f>[0]!LABB048270col_FTI_SALARY_PERM</f>
        <v>0</v>
      </c>
      <c r="F37" s="218">
        <f>[0]!LABB048270col_HEALTH_PERM</f>
        <v>0</v>
      </c>
      <c r="G37" s="218">
        <f>[0]!LABB048270col_TOT_VB_PERM</f>
        <v>0</v>
      </c>
      <c r="H37" s="219">
        <f>SUM(E37:G37)</f>
        <v>0</v>
      </c>
      <c r="I37" s="219">
        <f>[0]!LABB048270col_1_27TH_PP</f>
        <v>0</v>
      </c>
      <c r="J37" s="218">
        <f>[0]!LABB048270col_HEALTH_PERM_CHG</f>
        <v>0</v>
      </c>
      <c r="K37" s="218">
        <f>[0]!LABB048270col_TOT_VB_PERM_CHG</f>
        <v>0</v>
      </c>
      <c r="L37" s="218">
        <f>SUM(J37:K37)</f>
        <v>0</v>
      </c>
    </row>
    <row r="38" spans="1:12" x14ac:dyDescent="0.25">
      <c r="A38" s="444" t="s">
        <v>28</v>
      </c>
      <c r="B38" s="467"/>
      <c r="C38" s="217">
        <v>2</v>
      </c>
      <c r="D38" s="288"/>
      <c r="E38" s="218">
        <f>[0]!LABB048270col_Group_Salary</f>
        <v>0</v>
      </c>
      <c r="F38" s="218">
        <v>0</v>
      </c>
      <c r="G38" s="218">
        <f>[0]!LABB048270col_Group_Ben</f>
        <v>0</v>
      </c>
      <c r="H38" s="219">
        <f>SUM(E38:G38)</f>
        <v>0</v>
      </c>
      <c r="I38" s="268"/>
      <c r="J38" s="218"/>
      <c r="K38" s="218"/>
      <c r="L38" s="218"/>
    </row>
    <row r="39" spans="1:12" x14ac:dyDescent="0.25">
      <c r="A39" s="444" t="s">
        <v>29</v>
      </c>
      <c r="B39" s="445"/>
      <c r="C39" s="217">
        <v>3</v>
      </c>
      <c r="D39" s="288">
        <f>[0]!LABB048270col_TOTAL_ELECT_PCN_FTI</f>
        <v>0</v>
      </c>
      <c r="E39" s="218">
        <f>[0]!LABB048270col_FTI_SALARY_ELECT</f>
        <v>0</v>
      </c>
      <c r="F39" s="218">
        <f>[0]!LABB048270col_HEALTH_ELECT</f>
        <v>0</v>
      </c>
      <c r="G39" s="218">
        <f>[0]!LABB048270col_TOT_VB_ELECT</f>
        <v>0</v>
      </c>
      <c r="H39" s="219">
        <f>SUM(E39:G39)</f>
        <v>0</v>
      </c>
      <c r="I39" s="268"/>
      <c r="J39" s="218">
        <f>[0]!LABB048270col_HEALTH_ELECT_CHG</f>
        <v>0</v>
      </c>
      <c r="K39" s="218">
        <f>[0]!LABB048270col_TOT_VB_ELECT_CHG</f>
        <v>0</v>
      </c>
      <c r="L39" s="219">
        <f>SUM(J39:K39)</f>
        <v>0</v>
      </c>
    </row>
    <row r="40" spans="1:12" x14ac:dyDescent="0.25">
      <c r="A40" s="444" t="s">
        <v>30</v>
      </c>
      <c r="B40" s="467"/>
      <c r="C40" s="217"/>
      <c r="D40" s="220">
        <f>SUM(D37:D39)</f>
        <v>0</v>
      </c>
      <c r="E40" s="221">
        <f>SUM(E37:E39)</f>
        <v>0</v>
      </c>
      <c r="F40" s="221">
        <f>SUM(F37:F39)</f>
        <v>0</v>
      </c>
      <c r="G40" s="221">
        <f>SUM(G37:G39)</f>
        <v>0</v>
      </c>
      <c r="H40" s="219">
        <f>SUM(E40:G40)</f>
        <v>0</v>
      </c>
      <c r="I40" s="268"/>
      <c r="J40" s="219">
        <f>SUM(J37:J39)</f>
        <v>0</v>
      </c>
      <c r="K40" s="219">
        <f>SUM(K37:K39)</f>
        <v>0</v>
      </c>
      <c r="L40" s="219">
        <f>SUM(L37:L39)</f>
        <v>0</v>
      </c>
    </row>
    <row r="41" spans="1:12" x14ac:dyDescent="0.25">
      <c r="A41" s="365"/>
      <c r="B41" s="371"/>
      <c r="C41" s="217"/>
      <c r="D41" s="220"/>
      <c r="E41" s="219"/>
      <c r="F41" s="219"/>
      <c r="G41" s="219"/>
      <c r="H41" s="219"/>
      <c r="I41" s="268"/>
      <c r="J41" s="219"/>
      <c r="K41" s="222"/>
      <c r="L41" s="222"/>
    </row>
    <row r="42" spans="1:12" x14ac:dyDescent="0.25">
      <c r="A42" s="157" t="str">
        <f>"FY "&amp;[0]!FiscalYear-1</f>
        <v>FY 2022</v>
      </c>
      <c r="B42" s="158" t="s">
        <v>31</v>
      </c>
      <c r="C42" s="355">
        <v>537900</v>
      </c>
      <c r="D42" s="55">
        <v>3.15</v>
      </c>
      <c r="E42" s="223">
        <f>IF([0]!OrigApprop=0,0,(E40/H40)*[0]!OrigApprop)</f>
        <v>0</v>
      </c>
      <c r="F42" s="223">
        <f>IF([0]!OrigApprop=0,0,(F40/H40)*[0]!OrigApprop)</f>
        <v>0</v>
      </c>
      <c r="G42" s="223">
        <f>IF(E42=0,0,(G40/H40)*[0]!OrigApprop)</f>
        <v>0</v>
      </c>
      <c r="H42" s="223">
        <f>SUM(E42:G42)</f>
        <v>0</v>
      </c>
      <c r="I42" s="268"/>
      <c r="J42" s="224"/>
      <c r="K42" s="224"/>
      <c r="L42" s="224"/>
    </row>
    <row r="43" spans="1:12" x14ac:dyDescent="0.25">
      <c r="A43" s="454" t="s">
        <v>32</v>
      </c>
      <c r="B43" s="455"/>
      <c r="C43" s="160" t="s">
        <v>33</v>
      </c>
      <c r="D43" s="161">
        <f>D42-D40</f>
        <v>3.15</v>
      </c>
      <c r="E43" s="162">
        <f>E42-E40</f>
        <v>0</v>
      </c>
      <c r="F43" s="162">
        <f>F42-F40</f>
        <v>0</v>
      </c>
      <c r="G43" s="162">
        <f>G42-G40</f>
        <v>0</v>
      </c>
      <c r="H43" s="162">
        <f>H42-H40</f>
        <v>0</v>
      </c>
      <c r="I43" s="269"/>
      <c r="J43" s="56" t="str">
        <f>IF([0]!OrigApprop=0,"ERROR! Enter Original Appropriation amount in DU 3.00!","Calculated "&amp;IF([0]!AdjustedTotal&gt;0,"overfunding ","underfunding ")&amp;"is "&amp;TEXT([0]!AdjustedTotal/[0]!AppropTotal,"#.0%;(#.0% );0% ;")&amp;" of Original Appropriation")</f>
        <v>ERROR! Enter Original Appropriation amount in DU 3.00!</v>
      </c>
      <c r="K43" s="163"/>
      <c r="L43" s="164"/>
    </row>
  </sheetData>
  <mergeCells count="28">
    <mergeCell ref="A7:B7"/>
    <mergeCell ref="A2:B2"/>
    <mergeCell ref="A3:B3"/>
    <mergeCell ref="A4:B4"/>
    <mergeCell ref="A5:B5"/>
    <mergeCell ref="A6:B6"/>
    <mergeCell ref="A27:B27"/>
    <mergeCell ref="A10:B10"/>
    <mergeCell ref="A13:B13"/>
    <mergeCell ref="A14:B14"/>
    <mergeCell ref="A15:B15"/>
    <mergeCell ref="A16:B16"/>
    <mergeCell ref="A17:B17"/>
    <mergeCell ref="A18:B18"/>
    <mergeCell ref="A21:B21"/>
    <mergeCell ref="A24:B24"/>
    <mergeCell ref="A25:B25"/>
    <mergeCell ref="A26:B26"/>
    <mergeCell ref="A38:B38"/>
    <mergeCell ref="A39:B39"/>
    <mergeCell ref="A40:B40"/>
    <mergeCell ref="A43:B43"/>
    <mergeCell ref="A28:B28"/>
    <mergeCell ref="A29:B29"/>
    <mergeCell ref="A32:B32"/>
    <mergeCell ref="A35:B35"/>
    <mergeCell ref="A36:B36"/>
    <mergeCell ref="A37:B37"/>
  </mergeCells>
  <conditionalFormatting sqref="J10">
    <cfRule type="expression" dxfId="3" priority="4">
      <formula>$J$16&lt;0</formula>
    </cfRule>
  </conditionalFormatting>
  <conditionalFormatting sqref="J21">
    <cfRule type="expression" dxfId="2" priority="3">
      <formula>$J$16&lt;0</formula>
    </cfRule>
  </conditionalFormatting>
  <conditionalFormatting sqref="J32">
    <cfRule type="expression" dxfId="1" priority="2">
      <formula>$J$16&lt;0</formula>
    </cfRule>
  </conditionalFormatting>
  <conditionalFormatting sqref="J43">
    <cfRule type="expression" dxfId="0" priority="1">
      <formula>$J$16&lt;0</formula>
    </cfRule>
  </conditionalFormatting>
  <pageMargins left="0.7" right="0.7" top="0.75" bottom="0.75" header="0.3" footer="0.3"/>
  <pageSetup scale="66" orientation="landscape" r:id="rId1"/>
  <headerFooter>
    <oddHeader>&amp;L&amp;"Arial"&amp;14 Board of Land Commissioners&amp;R&amp;"Arial"&amp;10 Agency 322</oddHeader>
    <oddFooter>&amp;L&amp;"Arial"&amp;10 B6:Summary by Program, by Fund&amp;R&amp;"Arial"&amp;10 FY 2022 Request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3">
    <pageSetUpPr fitToPage="1"/>
  </sheetPr>
  <dimension ref="A2:M21"/>
  <sheetViews>
    <sheetView workbookViewId="0">
      <selection activeCell="E8" sqref="E8:M21"/>
    </sheetView>
  </sheetViews>
  <sheetFormatPr defaultRowHeight="15" x14ac:dyDescent="0.25"/>
  <cols>
    <col min="1" max="1" width="2.7109375" customWidth="1"/>
    <col min="2" max="2" width="9.5703125" bestFit="1" customWidth="1"/>
    <col min="3" max="3" width="7.7109375" bestFit="1" customWidth="1"/>
    <col min="4" max="4" width="5.7109375" customWidth="1"/>
    <col min="5" max="5" width="5.7109375" bestFit="1" customWidth="1"/>
    <col min="6" max="6" width="11.7109375" bestFit="1" customWidth="1"/>
    <col min="7" max="7" width="14" bestFit="1" customWidth="1"/>
    <col min="8" max="8" width="11.7109375" bestFit="1" customWidth="1"/>
    <col min="9" max="9" width="15.42578125" bestFit="1" customWidth="1"/>
    <col min="10" max="10" width="17" bestFit="1" customWidth="1"/>
    <col min="11" max="11" width="11.7109375" bestFit="1" customWidth="1"/>
    <col min="12" max="12" width="15.42578125" bestFit="1" customWidth="1"/>
    <col min="13" max="13" width="17" bestFit="1" customWidth="1"/>
  </cols>
  <sheetData>
    <row r="2" spans="1:13" ht="21" x14ac:dyDescent="0.35">
      <c r="A2" s="251" t="s">
        <v>97</v>
      </c>
      <c r="B2" s="251"/>
      <c r="C2" s="251"/>
    </row>
    <row r="4" spans="1:13" ht="21" x14ac:dyDescent="0.35">
      <c r="A4" s="252"/>
      <c r="B4" s="252"/>
      <c r="C4" s="252"/>
    </row>
    <row r="5" spans="1:13" ht="15.75" customHeight="1" x14ac:dyDescent="0.25">
      <c r="E5" s="255" t="s">
        <v>83</v>
      </c>
      <c r="F5" s="475" t="s">
        <v>295</v>
      </c>
      <c r="G5" s="475"/>
      <c r="H5" s="476" t="s">
        <v>293</v>
      </c>
      <c r="I5" s="475" t="s">
        <v>296</v>
      </c>
      <c r="J5" s="475"/>
      <c r="K5" s="476" t="s">
        <v>294</v>
      </c>
      <c r="L5" s="475" t="s">
        <v>297</v>
      </c>
      <c r="M5" s="475"/>
    </row>
    <row r="6" spans="1:13" ht="15.75" x14ac:dyDescent="0.25">
      <c r="E6" s="249"/>
      <c r="F6" s="253" t="s">
        <v>94</v>
      </c>
      <c r="G6" s="254" t="s">
        <v>96</v>
      </c>
      <c r="H6" s="477"/>
      <c r="I6" s="253" t="s">
        <v>98</v>
      </c>
      <c r="J6" s="254" t="s">
        <v>95</v>
      </c>
      <c r="K6" s="477"/>
      <c r="L6" s="278" t="s">
        <v>98</v>
      </c>
      <c r="M6" s="254" t="s">
        <v>95</v>
      </c>
    </row>
    <row r="7" spans="1:13" x14ac:dyDescent="0.25">
      <c r="A7" s="392" t="s">
        <v>298</v>
      </c>
      <c r="D7" s="250"/>
    </row>
    <row r="8" spans="1:13" x14ac:dyDescent="0.25">
      <c r="C8" t="s">
        <v>277</v>
      </c>
      <c r="D8" s="250"/>
      <c r="E8" s="402">
        <f>Data!AS30</f>
        <v>0.23</v>
      </c>
      <c r="F8" s="402">
        <f>Data!AT30</f>
        <v>49589.77</v>
      </c>
      <c r="G8" s="402">
        <f>Data!AU30</f>
        <v>11880.51</v>
      </c>
      <c r="H8" s="402">
        <f>Data!AV30</f>
        <v>49069.48</v>
      </c>
      <c r="I8" s="402">
        <f>Data!AW30</f>
        <v>2679.5</v>
      </c>
      <c r="J8" s="402">
        <f>Data!AX30</f>
        <v>9314.7007988000023</v>
      </c>
      <c r="K8" s="402">
        <f>Data!AY30</f>
        <v>49069.48</v>
      </c>
      <c r="L8" s="402">
        <f>Data!AZ30</f>
        <v>2679.5</v>
      </c>
      <c r="M8" s="402">
        <f>Data!BA30</f>
        <v>9137.1724508000007</v>
      </c>
    </row>
    <row r="9" spans="1:13" x14ac:dyDescent="0.25">
      <c r="B9" t="s">
        <v>299</v>
      </c>
      <c r="D9" s="250"/>
      <c r="E9" s="403">
        <f>Data!AS31</f>
        <v>0.23</v>
      </c>
      <c r="F9" s="403">
        <f>Data!AT31</f>
        <v>49589.77</v>
      </c>
      <c r="G9" s="403">
        <f>Data!AU31</f>
        <v>11880.51</v>
      </c>
      <c r="H9" s="403">
        <f>Data!AV31</f>
        <v>49069.48</v>
      </c>
      <c r="I9" s="403">
        <f>Data!AW31</f>
        <v>2679.5</v>
      </c>
      <c r="J9" s="403">
        <f>Data!AX31</f>
        <v>9314.7007988000023</v>
      </c>
      <c r="K9" s="403">
        <f>Data!AY31</f>
        <v>49069.48</v>
      </c>
      <c r="L9" s="403">
        <f>Data!AZ31</f>
        <v>2679.5</v>
      </c>
      <c r="M9" s="403">
        <f>Data!BA31</f>
        <v>9137.1724508000007</v>
      </c>
    </row>
    <row r="10" spans="1:13" x14ac:dyDescent="0.25">
      <c r="C10" t="s">
        <v>300</v>
      </c>
      <c r="D10" s="250"/>
      <c r="E10" s="402">
        <f>Data!AS32</f>
        <v>3.77</v>
      </c>
      <c r="F10" s="402">
        <f>Data!AT32</f>
        <v>357847.05</v>
      </c>
      <c r="G10" s="402">
        <f>Data!AU32</f>
        <v>114282.03999999998</v>
      </c>
      <c r="H10" s="402">
        <f>Data!AV32</f>
        <v>384173.70999999996</v>
      </c>
      <c r="I10" s="402">
        <f>Data!AW32</f>
        <v>43920.5</v>
      </c>
      <c r="J10" s="402">
        <f>Data!AX32</f>
        <v>78436.233143099991</v>
      </c>
      <c r="K10" s="402">
        <f>Data!AY32</f>
        <v>384173.70999999996</v>
      </c>
      <c r="L10" s="402">
        <f>Data!AZ32</f>
        <v>43920.5</v>
      </c>
      <c r="M10" s="402">
        <f>Data!BA32</f>
        <v>76720.421222100005</v>
      </c>
    </row>
    <row r="11" spans="1:13" x14ac:dyDescent="0.25">
      <c r="B11" t="s">
        <v>301</v>
      </c>
      <c r="D11" s="250"/>
      <c r="E11" s="403">
        <f>Data!AS33</f>
        <v>3.77</v>
      </c>
      <c r="F11" s="403">
        <f>Data!AT33</f>
        <v>357847.05</v>
      </c>
      <c r="G11" s="403">
        <f>Data!AU33</f>
        <v>114282.03999999998</v>
      </c>
      <c r="H11" s="403">
        <f>Data!AV33</f>
        <v>384173.70999999996</v>
      </c>
      <c r="I11" s="403">
        <f>Data!AW33</f>
        <v>43920.5</v>
      </c>
      <c r="J11" s="403">
        <f>Data!AX33</f>
        <v>78436.233143099991</v>
      </c>
      <c r="K11" s="403">
        <f>Data!AY33</f>
        <v>384173.70999999996</v>
      </c>
      <c r="L11" s="403">
        <f>Data!AZ33</f>
        <v>43920.5</v>
      </c>
      <c r="M11" s="403">
        <f>Data!BA33</f>
        <v>76720.421222100005</v>
      </c>
    </row>
    <row r="12" spans="1:13" x14ac:dyDescent="0.25">
      <c r="D12" s="250"/>
      <c r="E12" s="402">
        <f>Data!AS34</f>
        <v>0</v>
      </c>
      <c r="F12" s="402">
        <f>Data!AT34</f>
        <v>0</v>
      </c>
      <c r="G12" s="402">
        <f>Data!AU34</f>
        <v>0</v>
      </c>
      <c r="H12" s="402">
        <f>Data!AV34</f>
        <v>0</v>
      </c>
      <c r="I12" s="402">
        <f>Data!AW34</f>
        <v>0</v>
      </c>
      <c r="J12" s="402">
        <f>Data!AX34</f>
        <v>0</v>
      </c>
      <c r="K12" s="402">
        <f>Data!AY34</f>
        <v>0</v>
      </c>
      <c r="L12" s="402">
        <f>Data!AZ34</f>
        <v>0</v>
      </c>
      <c r="M12" s="402">
        <f>Data!BA34</f>
        <v>0</v>
      </c>
    </row>
    <row r="13" spans="1:13" x14ac:dyDescent="0.25">
      <c r="A13" s="396" t="s">
        <v>302</v>
      </c>
      <c r="D13" s="250"/>
      <c r="E13" s="404">
        <f>Data!AS35</f>
        <v>4</v>
      </c>
      <c r="F13" s="404">
        <f>Data!AT35</f>
        <v>407436.82</v>
      </c>
      <c r="G13" s="404">
        <f>Data!AU35</f>
        <v>126162.54999999997</v>
      </c>
      <c r="H13" s="404">
        <f>Data!AV35</f>
        <v>433243.18999999994</v>
      </c>
      <c r="I13" s="404">
        <f>Data!AW35</f>
        <v>46600</v>
      </c>
      <c r="J13" s="404">
        <f>Data!AX35</f>
        <v>87750.933941899988</v>
      </c>
      <c r="K13" s="404">
        <f>Data!AY35</f>
        <v>433243.18999999994</v>
      </c>
      <c r="L13" s="404">
        <f>Data!AZ35</f>
        <v>46600</v>
      </c>
      <c r="M13" s="404">
        <f>Data!BA35</f>
        <v>85857.59367290001</v>
      </c>
    </row>
    <row r="14" spans="1:13" x14ac:dyDescent="0.25">
      <c r="E14" s="402">
        <f>Data!AS36</f>
        <v>0</v>
      </c>
      <c r="F14" s="402">
        <f>Data!AT36</f>
        <v>0</v>
      </c>
      <c r="G14" s="402">
        <f>Data!AU36</f>
        <v>0</v>
      </c>
      <c r="H14" s="402">
        <f>Data!AV36</f>
        <v>0</v>
      </c>
      <c r="I14" s="402">
        <f>Data!AW36</f>
        <v>0</v>
      </c>
      <c r="J14" s="402">
        <f>Data!AX36</f>
        <v>0</v>
      </c>
      <c r="K14" s="402">
        <f>Data!AY36</f>
        <v>0</v>
      </c>
      <c r="L14" s="402">
        <f>Data!AZ36</f>
        <v>0</v>
      </c>
      <c r="M14" s="402">
        <f>Data!BA36</f>
        <v>0</v>
      </c>
    </row>
    <row r="15" spans="1:13" x14ac:dyDescent="0.25">
      <c r="A15" s="392" t="s">
        <v>303</v>
      </c>
      <c r="E15" s="402">
        <f>Data!AS37</f>
        <v>0</v>
      </c>
      <c r="F15" s="402">
        <f>Data!AT37</f>
        <v>0</v>
      </c>
      <c r="G15" s="402">
        <f>Data!AU37</f>
        <v>0</v>
      </c>
      <c r="H15" s="402">
        <f>Data!AV37</f>
        <v>0</v>
      </c>
      <c r="I15" s="402">
        <f>Data!AW37</f>
        <v>0</v>
      </c>
      <c r="J15" s="402">
        <f>Data!AX37</f>
        <v>0</v>
      </c>
      <c r="K15" s="402">
        <f>Data!AY37</f>
        <v>0</v>
      </c>
      <c r="L15" s="402">
        <f>Data!AZ37</f>
        <v>0</v>
      </c>
      <c r="M15" s="402">
        <f>Data!BA37</f>
        <v>0</v>
      </c>
    </row>
    <row r="16" spans="1:13" x14ac:dyDescent="0.25">
      <c r="C16" t="s">
        <v>277</v>
      </c>
      <c r="E16" s="402">
        <f>Data!AS38</f>
        <v>0</v>
      </c>
      <c r="F16" s="402">
        <f>Data!AT38</f>
        <v>4400</v>
      </c>
      <c r="G16" s="402">
        <f>Data!AU38</f>
        <v>338.2</v>
      </c>
      <c r="H16" s="402">
        <f>Data!AV38</f>
        <v>4400</v>
      </c>
      <c r="I16" s="402">
        <f>Data!AW38</f>
        <v>0</v>
      </c>
      <c r="J16" s="402">
        <f>Data!AX38</f>
        <v>338.2</v>
      </c>
      <c r="K16" s="402">
        <f>Data!AY38</f>
        <v>4400</v>
      </c>
      <c r="L16" s="402">
        <f>Data!AZ38</f>
        <v>0</v>
      </c>
      <c r="M16" s="402">
        <f>Data!BA38</f>
        <v>338.2</v>
      </c>
    </row>
    <row r="17" spans="1:13" x14ac:dyDescent="0.25">
      <c r="B17" t="s">
        <v>299</v>
      </c>
      <c r="E17" s="403">
        <f>Data!AS39</f>
        <v>0</v>
      </c>
      <c r="F17" s="403">
        <f>Data!AT39</f>
        <v>4400</v>
      </c>
      <c r="G17" s="403">
        <f>Data!AU39</f>
        <v>338.2</v>
      </c>
      <c r="H17" s="403">
        <f>Data!AV39</f>
        <v>4400</v>
      </c>
      <c r="I17" s="403">
        <f>Data!AW39</f>
        <v>0</v>
      </c>
      <c r="J17" s="403">
        <f>Data!AX39</f>
        <v>338.2</v>
      </c>
      <c r="K17" s="403">
        <f>Data!AY39</f>
        <v>4400</v>
      </c>
      <c r="L17" s="403">
        <f>Data!AZ39</f>
        <v>0</v>
      </c>
      <c r="M17" s="403">
        <f>Data!BA39</f>
        <v>338.2</v>
      </c>
    </row>
    <row r="18" spans="1:13" x14ac:dyDescent="0.25">
      <c r="E18" s="402">
        <f>Data!AS40</f>
        <v>0</v>
      </c>
      <c r="F18" s="402">
        <f>Data!AT40</f>
        <v>0</v>
      </c>
      <c r="G18" s="402">
        <f>Data!AU40</f>
        <v>0</v>
      </c>
      <c r="H18" s="402">
        <f>Data!AV40</f>
        <v>0</v>
      </c>
      <c r="I18" s="402">
        <f>Data!AW40</f>
        <v>0</v>
      </c>
      <c r="J18" s="402">
        <f>Data!AX40</f>
        <v>0</v>
      </c>
      <c r="K18" s="402">
        <f>Data!AY40</f>
        <v>0</v>
      </c>
      <c r="L18" s="402">
        <f>Data!AZ40</f>
        <v>0</v>
      </c>
      <c r="M18" s="402">
        <f>Data!BA40</f>
        <v>0</v>
      </c>
    </row>
    <row r="19" spans="1:13" x14ac:dyDescent="0.25">
      <c r="A19" s="396" t="s">
        <v>304</v>
      </c>
      <c r="E19" s="404">
        <f>Data!AS41</f>
        <v>0</v>
      </c>
      <c r="F19" s="404">
        <f>Data!AT41</f>
        <v>4400</v>
      </c>
      <c r="G19" s="404">
        <f>Data!AU41</f>
        <v>338.2</v>
      </c>
      <c r="H19" s="404">
        <f>Data!AV41</f>
        <v>4400</v>
      </c>
      <c r="I19" s="404">
        <f>Data!AW41</f>
        <v>0</v>
      </c>
      <c r="J19" s="404">
        <f>Data!AX41</f>
        <v>338.2</v>
      </c>
      <c r="K19" s="404">
        <f>Data!AY41</f>
        <v>4400</v>
      </c>
      <c r="L19" s="404">
        <f>Data!AZ41</f>
        <v>0</v>
      </c>
      <c r="M19" s="404">
        <f>Data!BA41</f>
        <v>338.2</v>
      </c>
    </row>
    <row r="20" spans="1:13" x14ac:dyDescent="0.25">
      <c r="E20" s="402">
        <f>Data!AS42</f>
        <v>0</v>
      </c>
      <c r="F20" s="402">
        <f>Data!AT42</f>
        <v>0</v>
      </c>
      <c r="G20" s="402">
        <f>Data!AU42</f>
        <v>0</v>
      </c>
      <c r="H20" s="402">
        <f>Data!AV42</f>
        <v>0</v>
      </c>
      <c r="I20" s="402">
        <f>Data!AW42</f>
        <v>0</v>
      </c>
      <c r="J20" s="402">
        <f>Data!AX42</f>
        <v>0</v>
      </c>
      <c r="K20" s="402">
        <f>Data!AY42</f>
        <v>0</v>
      </c>
      <c r="L20" s="402">
        <f>Data!AZ42</f>
        <v>0</v>
      </c>
      <c r="M20" s="402">
        <f>Data!BA42</f>
        <v>0</v>
      </c>
    </row>
    <row r="21" spans="1:13" x14ac:dyDescent="0.25">
      <c r="A21" s="397" t="s">
        <v>305</v>
      </c>
      <c r="E21" s="400">
        <f>Data!AS43</f>
        <v>4</v>
      </c>
      <c r="F21" s="401">
        <f>Data!AT43</f>
        <v>411836.82</v>
      </c>
      <c r="G21" s="401">
        <f>Data!AU43</f>
        <v>126500.74999999997</v>
      </c>
      <c r="H21" s="401">
        <f>Data!AV43</f>
        <v>437643.18999999994</v>
      </c>
      <c r="I21" s="401">
        <f>Data!AW43</f>
        <v>46600</v>
      </c>
      <c r="J21" s="401">
        <f>Data!AX43</f>
        <v>88089.133941899985</v>
      </c>
      <c r="K21" s="401">
        <f>Data!AY43</f>
        <v>437643.18999999994</v>
      </c>
      <c r="L21" s="401">
        <f>Data!AZ43</f>
        <v>46600</v>
      </c>
      <c r="M21" s="401">
        <f>Data!BA43</f>
        <v>86195.793672900007</v>
      </c>
    </row>
  </sheetData>
  <mergeCells count="5">
    <mergeCell ref="F5:G5"/>
    <mergeCell ref="I5:J5"/>
    <mergeCell ref="L5:M5"/>
    <mergeCell ref="H5:H6"/>
    <mergeCell ref="K5:K6"/>
  </mergeCells>
  <pageMargins left="0.7" right="0.7" top="0.75" bottom="0.75" header="0.3" footer="0.3"/>
  <pageSetup scale="84" orientation="landscape" horizontalDpi="1200" verticalDpi="1200" r:id="rId1"/>
  <headerFooter>
    <oddHeader>&amp;L&amp;"Arial"&amp;14 Board of Land Commissioners&amp;R&amp;"Arial"&amp;10 Agency 322</oddHeader>
    <oddFooter>&amp;L&amp;"Arial"&amp;10 B6:Summary by Fund&amp;R&amp;"Arial"&amp;10 FY 2022 Request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515</vt:i4>
      </vt:variant>
    </vt:vector>
  </HeadingPairs>
  <TitlesOfParts>
    <vt:vector size="522" baseType="lpstr">
      <vt:lpstr>LABA|0349-00</vt:lpstr>
      <vt:lpstr>LABA|0482-00</vt:lpstr>
      <vt:lpstr>Data</vt:lpstr>
      <vt:lpstr>Benefits</vt:lpstr>
      <vt:lpstr>B6</vt:lpstr>
      <vt:lpstr>Summary</vt:lpstr>
      <vt:lpstr>FundSummary</vt:lpstr>
      <vt:lpstr>'LABA|0349-00'!AdjGroupHlth</vt:lpstr>
      <vt:lpstr>'LABA|0482-00'!AdjGroupHlth</vt:lpstr>
      <vt:lpstr>AdjGroupHlth</vt:lpstr>
      <vt:lpstr>'LABA|0349-00'!AdjGroupSalary</vt:lpstr>
      <vt:lpstr>'LABA|0482-00'!AdjGroupSalary</vt:lpstr>
      <vt:lpstr>AdjGroupSalary</vt:lpstr>
      <vt:lpstr>'LABA|0349-00'!AdjGroupVB</vt:lpstr>
      <vt:lpstr>'LABA|0482-00'!AdjGroupVB</vt:lpstr>
      <vt:lpstr>AdjGroupVB</vt:lpstr>
      <vt:lpstr>'LABA|0349-00'!AdjGroupVBBY</vt:lpstr>
      <vt:lpstr>'LABA|0482-00'!AdjGroupVBBY</vt:lpstr>
      <vt:lpstr>AdjGroupVBBY</vt:lpstr>
      <vt:lpstr>'LABA|0349-00'!AdjPermHlth</vt:lpstr>
      <vt:lpstr>'LABA|0482-00'!AdjPermHlth</vt:lpstr>
      <vt:lpstr>AdjPermHlth</vt:lpstr>
      <vt:lpstr>'LABA|0349-00'!AdjPermHlthBY</vt:lpstr>
      <vt:lpstr>'LABA|0482-00'!AdjPermHlthBY</vt:lpstr>
      <vt:lpstr>AdjPermHlthBY</vt:lpstr>
      <vt:lpstr>'LABA|0349-00'!AdjPermSalary</vt:lpstr>
      <vt:lpstr>'LABA|0482-00'!AdjPermSalary</vt:lpstr>
      <vt:lpstr>AdjPermSalary</vt:lpstr>
      <vt:lpstr>'LABA|0349-00'!AdjPermVB</vt:lpstr>
      <vt:lpstr>'LABA|0482-00'!AdjPermVB</vt:lpstr>
      <vt:lpstr>AdjPermVB</vt:lpstr>
      <vt:lpstr>'LABA|0349-00'!AdjPermVBBY</vt:lpstr>
      <vt:lpstr>'LABA|0482-00'!AdjPermVBBY</vt:lpstr>
      <vt:lpstr>AdjPermVBBY</vt:lpstr>
      <vt:lpstr>'LABA|0349-00'!AdjustedTotal</vt:lpstr>
      <vt:lpstr>'LABA|0482-00'!AdjustedTotal</vt:lpstr>
      <vt:lpstr>AdjustedTotal</vt:lpstr>
      <vt:lpstr>'LABA|0349-00'!AgencyNum</vt:lpstr>
      <vt:lpstr>'LABA|0482-00'!AgencyNum</vt:lpstr>
      <vt:lpstr>AgencyNum</vt:lpstr>
      <vt:lpstr>'LABA|0349-00'!AppropFTP</vt:lpstr>
      <vt:lpstr>'LABA|0482-00'!AppropFTP</vt:lpstr>
      <vt:lpstr>AppropFTP</vt:lpstr>
      <vt:lpstr>'LABA|0349-00'!AppropTotal</vt:lpstr>
      <vt:lpstr>'LABA|0482-00'!AppropTotal</vt:lpstr>
      <vt:lpstr>AppropTotal</vt:lpstr>
      <vt:lpstr>'LABA|0349-00'!AtZHealth</vt:lpstr>
      <vt:lpstr>'LABA|0482-00'!AtZHealth</vt:lpstr>
      <vt:lpstr>AtZHealth</vt:lpstr>
      <vt:lpstr>'LABA|0349-00'!AtZSalary</vt:lpstr>
      <vt:lpstr>'LABA|0482-00'!AtZSalary</vt:lpstr>
      <vt:lpstr>AtZSalary</vt:lpstr>
      <vt:lpstr>'LABA|0349-00'!AtZTotal</vt:lpstr>
      <vt:lpstr>'LABA|0482-00'!AtZTotal</vt:lpstr>
      <vt:lpstr>AtZTotal</vt:lpstr>
      <vt:lpstr>'LABA|0349-00'!AtZVarBen</vt:lpstr>
      <vt:lpstr>'LABA|0482-00'!AtZVarBen</vt:lpstr>
      <vt:lpstr>AtZVarBen</vt:lpstr>
      <vt:lpstr>'LABA|0349-00'!BudgetUnit</vt:lpstr>
      <vt:lpstr>'LABA|0482-00'!BudgetUnit</vt:lpstr>
      <vt:lpstr>BudgetUnit</vt:lpstr>
      <vt:lpstr>BudgetYear</vt:lpstr>
      <vt:lpstr>CECGroup</vt:lpstr>
      <vt:lpstr>'LABA|0349-00'!CECOrigElectSalary</vt:lpstr>
      <vt:lpstr>'LABA|0482-00'!CECOrigElectSalary</vt:lpstr>
      <vt:lpstr>CECOrigElectSalary</vt:lpstr>
      <vt:lpstr>'LABA|0349-00'!CECOrigElectVB</vt:lpstr>
      <vt:lpstr>'LABA|0482-00'!CECOrigElectVB</vt:lpstr>
      <vt:lpstr>CECOrigElectVB</vt:lpstr>
      <vt:lpstr>'LABA|0349-00'!CECOrigGroupSalary</vt:lpstr>
      <vt:lpstr>'LABA|0482-00'!CECOrigGroupSalary</vt:lpstr>
      <vt:lpstr>CECOrigGroupSalary</vt:lpstr>
      <vt:lpstr>'LABA|0349-00'!CECOrigGroupVB</vt:lpstr>
      <vt:lpstr>'LABA|0482-00'!CECOrigGroupVB</vt:lpstr>
      <vt:lpstr>CECOrigGroupVB</vt:lpstr>
      <vt:lpstr>'LABA|0349-00'!CECOrigPermSalary</vt:lpstr>
      <vt:lpstr>'LABA|0482-00'!CECOrigPermSalary</vt:lpstr>
      <vt:lpstr>CECOrigPermSalary</vt:lpstr>
      <vt:lpstr>'LABA|0349-00'!CECOrigPermVB</vt:lpstr>
      <vt:lpstr>'LABA|0482-00'!CECOrigPermVB</vt:lpstr>
      <vt:lpstr>CECOrigPermVB</vt:lpstr>
      <vt:lpstr>CECPerm</vt:lpstr>
      <vt:lpstr>'LABA|0349-00'!CECpermCalc</vt:lpstr>
      <vt:lpstr>'LABA|0482-00'!CECpermCalc</vt:lpstr>
      <vt:lpstr>CECpermCalc</vt:lpstr>
      <vt:lpstr>'LABA|0349-00'!Department</vt:lpstr>
      <vt:lpstr>'LABA|0482-00'!Department</vt:lpstr>
      <vt:lpstr>Department</vt:lpstr>
      <vt:lpstr>DHR</vt:lpstr>
      <vt:lpstr>DHRBY</vt:lpstr>
      <vt:lpstr>DHRCHG</vt:lpstr>
      <vt:lpstr>'LABA|0349-00'!Division</vt:lpstr>
      <vt:lpstr>'LABA|0482-00'!Division</vt:lpstr>
      <vt:lpstr>Division</vt:lpstr>
      <vt:lpstr>'LABA|0349-00'!DUCECElect</vt:lpstr>
      <vt:lpstr>'LABA|0482-00'!DUCECElect</vt:lpstr>
      <vt:lpstr>DUCECElect</vt:lpstr>
      <vt:lpstr>'LABA|0349-00'!DUCECGroup</vt:lpstr>
      <vt:lpstr>'LABA|0482-00'!DUCECGroup</vt:lpstr>
      <vt:lpstr>DUCECGroup</vt:lpstr>
      <vt:lpstr>'LABA|0349-00'!DUCECPerm</vt:lpstr>
      <vt:lpstr>'LABA|0482-00'!DUCECPerm</vt:lpstr>
      <vt:lpstr>DUCECPerm</vt:lpstr>
      <vt:lpstr>'LABA|0349-00'!DUEleven</vt:lpstr>
      <vt:lpstr>'LABA|0482-00'!DUEleven</vt:lpstr>
      <vt:lpstr>DUEleven</vt:lpstr>
      <vt:lpstr>'LABA|0349-00'!DUHealthBen</vt:lpstr>
      <vt:lpstr>'LABA|0482-00'!DUHealthBen</vt:lpstr>
      <vt:lpstr>DUHealthBen</vt:lpstr>
      <vt:lpstr>'LABA|0349-00'!DUNine</vt:lpstr>
      <vt:lpstr>'LABA|0482-00'!DUNine</vt:lpstr>
      <vt:lpstr>DUNine</vt:lpstr>
      <vt:lpstr>'LABA|0349-00'!DUThirteen</vt:lpstr>
      <vt:lpstr>'LABA|0482-00'!DUThirteen</vt:lpstr>
      <vt:lpstr>DUThirteen</vt:lpstr>
      <vt:lpstr>'LABA|0349-00'!DUVariableBen</vt:lpstr>
      <vt:lpstr>'LABA|0482-00'!DUVariableBen</vt:lpstr>
      <vt:lpstr>DUVariableBen</vt:lpstr>
      <vt:lpstr>'LABA|0349-00'!Elect_chg_health</vt:lpstr>
      <vt:lpstr>'LABA|0482-00'!Elect_chg_health</vt:lpstr>
      <vt:lpstr>Elect_chg_health</vt:lpstr>
      <vt:lpstr>'LABA|0349-00'!Elect_chg_Var</vt:lpstr>
      <vt:lpstr>'LABA|0482-00'!Elect_chg_Var</vt:lpstr>
      <vt:lpstr>Elect_chg_Var</vt:lpstr>
      <vt:lpstr>'LABA|0349-00'!elect_FTP</vt:lpstr>
      <vt:lpstr>'LABA|0482-00'!elect_FTP</vt:lpstr>
      <vt:lpstr>elect_FTP</vt:lpstr>
      <vt:lpstr>'LABA|0349-00'!Elect_health</vt:lpstr>
      <vt:lpstr>'LABA|0482-00'!Elect_health</vt:lpstr>
      <vt:lpstr>Elect_health</vt:lpstr>
      <vt:lpstr>'LABA|0349-00'!Elect_name</vt:lpstr>
      <vt:lpstr>'LABA|0482-00'!Elect_name</vt:lpstr>
      <vt:lpstr>Elect_name</vt:lpstr>
      <vt:lpstr>'LABA|0349-00'!Elect_salary</vt:lpstr>
      <vt:lpstr>'LABA|0482-00'!Elect_salary</vt:lpstr>
      <vt:lpstr>Elect_salary</vt:lpstr>
      <vt:lpstr>'LABA|0349-00'!Elect_Var</vt:lpstr>
      <vt:lpstr>'LABA|0482-00'!Elect_Var</vt:lpstr>
      <vt:lpstr>Elect_Var</vt:lpstr>
      <vt:lpstr>'LABA|0349-00'!Elect_VarBen</vt:lpstr>
      <vt:lpstr>'LABA|0482-00'!Elect_VarBen</vt:lpstr>
      <vt:lpstr>Elect_VarBen</vt:lpstr>
      <vt:lpstr>ElectVB</vt:lpstr>
      <vt:lpstr>ElectVBBY</vt:lpstr>
      <vt:lpstr>ElectVBCHG</vt:lpstr>
      <vt:lpstr>FillRate_Avg</vt:lpstr>
      <vt:lpstr>'LABA|0349-00'!FiscalYear</vt:lpstr>
      <vt:lpstr>'LABA|0482-00'!FiscalYear</vt:lpstr>
      <vt:lpstr>FiscalYear</vt:lpstr>
      <vt:lpstr>'LABA|0349-00'!FundName</vt:lpstr>
      <vt:lpstr>'LABA|0482-00'!FundName</vt:lpstr>
      <vt:lpstr>FundName</vt:lpstr>
      <vt:lpstr>'LABA|0349-00'!FundNum</vt:lpstr>
      <vt:lpstr>'LABA|0482-00'!FundNum</vt:lpstr>
      <vt:lpstr>FundNum</vt:lpstr>
      <vt:lpstr>'LABA|0349-00'!FundNumber</vt:lpstr>
      <vt:lpstr>'LABA|0482-00'!FundNumber</vt:lpstr>
      <vt:lpstr>FundNumber</vt:lpstr>
      <vt:lpstr>FundSummaryEst</vt:lpstr>
      <vt:lpstr>FundSummaryLastColumn</vt:lpstr>
      <vt:lpstr>FundSummaryPermActual</vt:lpstr>
      <vt:lpstr>FundSummaryPermBY</vt:lpstr>
      <vt:lpstr>FundSummaryPermCY</vt:lpstr>
      <vt:lpstr>FundSummaryProj</vt:lpstr>
      <vt:lpstr>FundSummaryStartData</vt:lpstr>
      <vt:lpstr>'LABA|0349-00'!Group_name</vt:lpstr>
      <vt:lpstr>'LABA|0482-00'!Group_name</vt:lpstr>
      <vt:lpstr>Group_name</vt:lpstr>
      <vt:lpstr>'LABA|0349-00'!GroupFxdBen</vt:lpstr>
      <vt:lpstr>'LABA|0482-00'!GroupFxdBen</vt:lpstr>
      <vt:lpstr>GroupFxdBen</vt:lpstr>
      <vt:lpstr>'LABA|0349-00'!GroupSalary</vt:lpstr>
      <vt:lpstr>'LABA|0482-00'!GroupSalary</vt:lpstr>
      <vt:lpstr>GroupSalary</vt:lpstr>
      <vt:lpstr>'LABA|0349-00'!GroupVarBen</vt:lpstr>
      <vt:lpstr>'LABA|0482-00'!GroupVarBen</vt:lpstr>
      <vt:lpstr>GroupVarBen</vt:lpstr>
      <vt:lpstr>GroupVB</vt:lpstr>
      <vt:lpstr>GroupVBBY</vt:lpstr>
      <vt:lpstr>GroupVBCHG</vt:lpstr>
      <vt:lpstr>Health</vt:lpstr>
      <vt:lpstr>HealthBY</vt:lpstr>
      <vt:lpstr>HealthCHG</vt:lpstr>
      <vt:lpstr>LABA034900col_1_27TH_PP</vt:lpstr>
      <vt:lpstr>LABA034900col_DHR</vt:lpstr>
      <vt:lpstr>LABA034900col_DHR_BY</vt:lpstr>
      <vt:lpstr>LABA034900col_DHR_CHG</vt:lpstr>
      <vt:lpstr>LABA034900col_FTI_SALARY_ELECT</vt:lpstr>
      <vt:lpstr>LABA034900col_FTI_SALARY_PERM</vt:lpstr>
      <vt:lpstr>LABA034900col_FTI_SALARY_SSDI</vt:lpstr>
      <vt:lpstr>LABA034900col_Group_Ben</vt:lpstr>
      <vt:lpstr>LABA034900col_Group_Salary</vt:lpstr>
      <vt:lpstr>LABA034900col_HEALTH_ELECT</vt:lpstr>
      <vt:lpstr>LABA034900col_HEALTH_ELECT_BY</vt:lpstr>
      <vt:lpstr>LABA034900col_HEALTH_ELECT_CHG</vt:lpstr>
      <vt:lpstr>LABA034900col_HEALTH_PERM</vt:lpstr>
      <vt:lpstr>LABA034900col_HEALTH_PERM_BY</vt:lpstr>
      <vt:lpstr>LABA034900col_HEALTH_PERM_CHG</vt:lpstr>
      <vt:lpstr>LABA034900col_INC_FTI</vt:lpstr>
      <vt:lpstr>LABA034900col_LIFE_INS</vt:lpstr>
      <vt:lpstr>LABA034900col_LIFE_INS_BY</vt:lpstr>
      <vt:lpstr>LABA034900col_LIFE_INS_CHG</vt:lpstr>
      <vt:lpstr>LABA034900col_RETIREMENT</vt:lpstr>
      <vt:lpstr>LABA034900col_RETIREMENT_BY</vt:lpstr>
      <vt:lpstr>LABA034900col_RETIREMENT_CHG</vt:lpstr>
      <vt:lpstr>LABA034900col_ROWS_PER_PCN</vt:lpstr>
      <vt:lpstr>LABA034900col_SICK</vt:lpstr>
      <vt:lpstr>LABA034900col_SICK_BY</vt:lpstr>
      <vt:lpstr>LABA034900col_SICK_CHG</vt:lpstr>
      <vt:lpstr>LABA034900col_SSDI</vt:lpstr>
      <vt:lpstr>LABA034900col_SSDI_BY</vt:lpstr>
      <vt:lpstr>LABA034900col_SSDI_CHG</vt:lpstr>
      <vt:lpstr>LABA034900col_SSHI</vt:lpstr>
      <vt:lpstr>LABA034900col_SSHI_BY</vt:lpstr>
      <vt:lpstr>LABA034900col_SSHI_CHGv</vt:lpstr>
      <vt:lpstr>LABA034900col_TOT_VB_ELECT</vt:lpstr>
      <vt:lpstr>LABA034900col_TOT_VB_ELECT_BY</vt:lpstr>
      <vt:lpstr>LABA034900col_TOT_VB_ELECT_CHG</vt:lpstr>
      <vt:lpstr>LABA034900col_TOT_VB_PERM</vt:lpstr>
      <vt:lpstr>LABA034900col_TOT_VB_PERM_BY</vt:lpstr>
      <vt:lpstr>LABA034900col_TOT_VB_PERM_CHG</vt:lpstr>
      <vt:lpstr>LABA034900col_TOTAL_ELECT_PCN_FTI</vt:lpstr>
      <vt:lpstr>LABA034900col_TOTAL_ELECT_PCN_FTI_ALT</vt:lpstr>
      <vt:lpstr>LABA034900col_TOTAL_PERM_PCN_FTI</vt:lpstr>
      <vt:lpstr>LABA034900col_UNEMP_INS</vt:lpstr>
      <vt:lpstr>LABA034900col_UNEMP_INS_BY</vt:lpstr>
      <vt:lpstr>LABA034900col_UNEMP_INS_CHG</vt:lpstr>
      <vt:lpstr>LABA034900col_WORKERS_COMP</vt:lpstr>
      <vt:lpstr>LABA034900col_WORKERS_COMP_BY</vt:lpstr>
      <vt:lpstr>LABA034900col_WORKERS_COMP_CHG</vt:lpstr>
      <vt:lpstr>LABA048270col_1_27TH_PP</vt:lpstr>
      <vt:lpstr>LABA048270col_DHR</vt:lpstr>
      <vt:lpstr>LABA048270col_DHR_BY</vt:lpstr>
      <vt:lpstr>LABA048270col_DHR_CHG</vt:lpstr>
      <vt:lpstr>LABA048270col_FTI_SALARY_ELECT</vt:lpstr>
      <vt:lpstr>LABA048270col_FTI_SALARY_PERM</vt:lpstr>
      <vt:lpstr>LABA048270col_FTI_SALARY_SSDI</vt:lpstr>
      <vt:lpstr>LABA048270col_Group_Ben</vt:lpstr>
      <vt:lpstr>LABA048270col_Group_Salary</vt:lpstr>
      <vt:lpstr>LABA048270col_HEALTH_ELECT</vt:lpstr>
      <vt:lpstr>LABA048270col_HEALTH_ELECT_BY</vt:lpstr>
      <vt:lpstr>LABA048270col_HEALTH_ELECT_CHG</vt:lpstr>
      <vt:lpstr>LABA048270col_HEALTH_PERM</vt:lpstr>
      <vt:lpstr>LABA048270col_HEALTH_PERM_BY</vt:lpstr>
      <vt:lpstr>LABA048270col_HEALTH_PERM_CHG</vt:lpstr>
      <vt:lpstr>LABA048270col_INC_FTI</vt:lpstr>
      <vt:lpstr>LABA048270col_LIFE_INS</vt:lpstr>
      <vt:lpstr>LABA048270col_LIFE_INS_BY</vt:lpstr>
      <vt:lpstr>LABA048270col_LIFE_INS_CHG</vt:lpstr>
      <vt:lpstr>LABA048270col_RETIREMENT</vt:lpstr>
      <vt:lpstr>LABA048270col_RETIREMENT_BY</vt:lpstr>
      <vt:lpstr>LABA048270col_RETIREMENT_CHG</vt:lpstr>
      <vt:lpstr>LABA048270col_ROWS_PER_PCN</vt:lpstr>
      <vt:lpstr>LABA048270col_SICK</vt:lpstr>
      <vt:lpstr>LABA048270col_SICK_BY</vt:lpstr>
      <vt:lpstr>LABA048270col_SICK_CHG</vt:lpstr>
      <vt:lpstr>LABA048270col_SSDI</vt:lpstr>
      <vt:lpstr>LABA048270col_SSDI_BY</vt:lpstr>
      <vt:lpstr>LABA048270col_SSDI_CHG</vt:lpstr>
      <vt:lpstr>LABA048270col_SSHI</vt:lpstr>
      <vt:lpstr>LABA048270col_SSHI_BY</vt:lpstr>
      <vt:lpstr>LABA048270col_SSHI_CHGv</vt:lpstr>
      <vt:lpstr>LABA048270col_TOT_VB_ELECT</vt:lpstr>
      <vt:lpstr>LABA048270col_TOT_VB_ELECT_BY</vt:lpstr>
      <vt:lpstr>LABA048270col_TOT_VB_ELECT_CHG</vt:lpstr>
      <vt:lpstr>LABA048270col_TOT_VB_PERM</vt:lpstr>
      <vt:lpstr>LABA048270col_TOT_VB_PERM_BY</vt:lpstr>
      <vt:lpstr>LABA048270col_TOT_VB_PERM_CHG</vt:lpstr>
      <vt:lpstr>LABA048270col_TOTAL_ELECT_PCN_FTI</vt:lpstr>
      <vt:lpstr>LABA048270col_TOTAL_ELECT_PCN_FTI_ALT</vt:lpstr>
      <vt:lpstr>LABA048270col_TOTAL_PERM_PCN_FTI</vt:lpstr>
      <vt:lpstr>LABA048270col_UNEMP_INS</vt:lpstr>
      <vt:lpstr>LABA048270col_UNEMP_INS_BY</vt:lpstr>
      <vt:lpstr>LABA048270col_UNEMP_INS_CHG</vt:lpstr>
      <vt:lpstr>LABA048270col_WORKERS_COMP</vt:lpstr>
      <vt:lpstr>LABA048270col_WORKERS_COMP_BY</vt:lpstr>
      <vt:lpstr>LABA048270col_WORKERS_COMP_CHG</vt:lpstr>
      <vt:lpstr>LABB034900col_1_27TH_PP</vt:lpstr>
      <vt:lpstr>LABB034900col_DHR</vt:lpstr>
      <vt:lpstr>LABB034900col_DHR_BY</vt:lpstr>
      <vt:lpstr>LABB034900col_DHR_CHG</vt:lpstr>
      <vt:lpstr>LABB034900col_FTI_SALARY_ELECT</vt:lpstr>
      <vt:lpstr>LABB034900col_FTI_SALARY_PERM</vt:lpstr>
      <vt:lpstr>LABB034900col_FTI_SALARY_SSDI</vt:lpstr>
      <vt:lpstr>LABB034900col_Group_Ben</vt:lpstr>
      <vt:lpstr>LABB034900col_Group_Salary</vt:lpstr>
      <vt:lpstr>LABB034900col_HEALTH_ELECT</vt:lpstr>
      <vt:lpstr>LABB034900col_HEALTH_ELECT_BY</vt:lpstr>
      <vt:lpstr>LABB034900col_HEALTH_ELECT_CHG</vt:lpstr>
      <vt:lpstr>LABB034900col_HEALTH_PERM</vt:lpstr>
      <vt:lpstr>LABB034900col_HEALTH_PERM_BY</vt:lpstr>
      <vt:lpstr>LABB034900col_HEALTH_PERM_CHG</vt:lpstr>
      <vt:lpstr>LABB034900col_INC_FTI</vt:lpstr>
      <vt:lpstr>LABB034900col_LIFE_INS</vt:lpstr>
      <vt:lpstr>LABB034900col_LIFE_INS_BY</vt:lpstr>
      <vt:lpstr>LABB034900col_LIFE_INS_CHG</vt:lpstr>
      <vt:lpstr>LABB034900col_RETIREMENT</vt:lpstr>
      <vt:lpstr>LABB034900col_RETIREMENT_BY</vt:lpstr>
      <vt:lpstr>LABB034900col_RETIREMENT_CHG</vt:lpstr>
      <vt:lpstr>LABB034900col_ROWS_PER_PCN</vt:lpstr>
      <vt:lpstr>LABB034900col_SICK</vt:lpstr>
      <vt:lpstr>LABB034900col_SICK_BY</vt:lpstr>
      <vt:lpstr>LABB034900col_SICK_CHG</vt:lpstr>
      <vt:lpstr>LABB034900col_SSDI</vt:lpstr>
      <vt:lpstr>LABB034900col_SSDI_BY</vt:lpstr>
      <vt:lpstr>LABB034900col_SSDI_CHG</vt:lpstr>
      <vt:lpstr>LABB034900col_SSHI</vt:lpstr>
      <vt:lpstr>LABB034900col_SSHI_BY</vt:lpstr>
      <vt:lpstr>LABB034900col_SSHI_CHGv</vt:lpstr>
      <vt:lpstr>LABB034900col_TOT_VB_ELECT</vt:lpstr>
      <vt:lpstr>LABB034900col_TOT_VB_ELECT_BY</vt:lpstr>
      <vt:lpstr>LABB034900col_TOT_VB_ELECT_CHG</vt:lpstr>
      <vt:lpstr>LABB034900col_TOT_VB_PERM</vt:lpstr>
      <vt:lpstr>LABB034900col_TOT_VB_PERM_BY</vt:lpstr>
      <vt:lpstr>LABB034900col_TOT_VB_PERM_CHG</vt:lpstr>
      <vt:lpstr>LABB034900col_TOTAL_ELECT_PCN_FTI</vt:lpstr>
      <vt:lpstr>LABB034900col_TOTAL_ELECT_PCN_FTI_ALT</vt:lpstr>
      <vt:lpstr>LABB034900col_TOTAL_PERM_PCN_FTI</vt:lpstr>
      <vt:lpstr>LABB034900col_UNEMP_INS</vt:lpstr>
      <vt:lpstr>LABB034900col_UNEMP_INS_BY</vt:lpstr>
      <vt:lpstr>LABB034900col_UNEMP_INS_CHG</vt:lpstr>
      <vt:lpstr>LABB034900col_WORKERS_COMP</vt:lpstr>
      <vt:lpstr>LABB034900col_WORKERS_COMP_BY</vt:lpstr>
      <vt:lpstr>LABB034900col_WORKERS_COMP_CHG</vt:lpstr>
      <vt:lpstr>LABB048270col_1_27TH_PP</vt:lpstr>
      <vt:lpstr>LABB048270col_DHR</vt:lpstr>
      <vt:lpstr>LABB048270col_DHR_BY</vt:lpstr>
      <vt:lpstr>LABB048270col_DHR_CHG</vt:lpstr>
      <vt:lpstr>LABB048270col_FTI_SALARY_ELECT</vt:lpstr>
      <vt:lpstr>LABB048270col_FTI_SALARY_PERM</vt:lpstr>
      <vt:lpstr>LABB048270col_FTI_SALARY_SSDI</vt:lpstr>
      <vt:lpstr>LABB048270col_Group_Ben</vt:lpstr>
      <vt:lpstr>LABB048270col_Group_Salary</vt:lpstr>
      <vt:lpstr>LABB048270col_HEALTH_ELECT</vt:lpstr>
      <vt:lpstr>LABB048270col_HEALTH_ELECT_BY</vt:lpstr>
      <vt:lpstr>LABB048270col_HEALTH_ELECT_CHG</vt:lpstr>
      <vt:lpstr>LABB048270col_HEALTH_PERM</vt:lpstr>
      <vt:lpstr>LABB048270col_HEALTH_PERM_BY</vt:lpstr>
      <vt:lpstr>LABB048270col_HEALTH_PERM_CHG</vt:lpstr>
      <vt:lpstr>LABB048270col_INC_FTI</vt:lpstr>
      <vt:lpstr>LABB048270col_LIFE_INS</vt:lpstr>
      <vt:lpstr>LABB048270col_LIFE_INS_BY</vt:lpstr>
      <vt:lpstr>LABB048270col_LIFE_INS_CHG</vt:lpstr>
      <vt:lpstr>LABB048270col_RETIREMENT</vt:lpstr>
      <vt:lpstr>LABB048270col_RETIREMENT_BY</vt:lpstr>
      <vt:lpstr>LABB048270col_RETIREMENT_CHG</vt:lpstr>
      <vt:lpstr>LABB048270col_ROWS_PER_PCN</vt:lpstr>
      <vt:lpstr>LABB048270col_SICK</vt:lpstr>
      <vt:lpstr>LABB048270col_SICK_BY</vt:lpstr>
      <vt:lpstr>LABB048270col_SICK_CHG</vt:lpstr>
      <vt:lpstr>LABB048270col_SSDI</vt:lpstr>
      <vt:lpstr>LABB048270col_SSDI_BY</vt:lpstr>
      <vt:lpstr>LABB048270col_SSDI_CHG</vt:lpstr>
      <vt:lpstr>LABB048270col_SSHI</vt:lpstr>
      <vt:lpstr>LABB048270col_SSHI_BY</vt:lpstr>
      <vt:lpstr>LABB048270col_SSHI_CHGv</vt:lpstr>
      <vt:lpstr>LABB048270col_TOT_VB_ELECT</vt:lpstr>
      <vt:lpstr>LABB048270col_TOT_VB_ELECT_BY</vt:lpstr>
      <vt:lpstr>LABB048270col_TOT_VB_ELECT_CHG</vt:lpstr>
      <vt:lpstr>LABB048270col_TOT_VB_PERM</vt:lpstr>
      <vt:lpstr>LABB048270col_TOT_VB_PERM_BY</vt:lpstr>
      <vt:lpstr>LABB048270col_TOT_VB_PERM_CHG</vt:lpstr>
      <vt:lpstr>LABB048270col_TOTAL_ELECT_PCN_FTI</vt:lpstr>
      <vt:lpstr>LABB048270col_TOTAL_ELECT_PCN_FTI_ALT</vt:lpstr>
      <vt:lpstr>LABB048270col_TOTAL_PERM_PCN_FTI</vt:lpstr>
      <vt:lpstr>LABB048270col_UNEMP_INS</vt:lpstr>
      <vt:lpstr>LABB048270col_UNEMP_INS_BY</vt:lpstr>
      <vt:lpstr>LABB048270col_UNEMP_INS_CHG</vt:lpstr>
      <vt:lpstr>LABB048270col_WORKERS_COMP</vt:lpstr>
      <vt:lpstr>LABB048270col_WORKERS_COMP_BY</vt:lpstr>
      <vt:lpstr>LABB048270col_WORKERS_COMP_CHG</vt:lpstr>
      <vt:lpstr>Life</vt:lpstr>
      <vt:lpstr>LifeBY</vt:lpstr>
      <vt:lpstr>LifeCHG</vt:lpstr>
      <vt:lpstr>'LABA|0349-00'!LUMAFund</vt:lpstr>
      <vt:lpstr>'LABA|0482-00'!LUMAFund</vt:lpstr>
      <vt:lpstr>LUMAFund</vt:lpstr>
      <vt:lpstr>MAXSSDI</vt:lpstr>
      <vt:lpstr>MAXSSDIBY</vt:lpstr>
      <vt:lpstr>'LABA|0349-00'!NEW_AdjGroup</vt:lpstr>
      <vt:lpstr>'LABA|0482-00'!NEW_AdjGroup</vt:lpstr>
      <vt:lpstr>NEW_AdjGroup</vt:lpstr>
      <vt:lpstr>'LABA|0349-00'!NEW_AdjGroupSalary</vt:lpstr>
      <vt:lpstr>'LABA|0482-00'!NEW_AdjGroupSalary</vt:lpstr>
      <vt:lpstr>NEW_AdjGroupSalary</vt:lpstr>
      <vt:lpstr>'LABA|0349-00'!NEW_AdjGroupVB</vt:lpstr>
      <vt:lpstr>'LABA|0482-00'!NEW_AdjGroupVB</vt:lpstr>
      <vt:lpstr>NEW_AdjGroupVB</vt:lpstr>
      <vt:lpstr>'LABA|0349-00'!NEW_AdjONLYGroup</vt:lpstr>
      <vt:lpstr>'LABA|0482-00'!NEW_AdjONLYGroup</vt:lpstr>
      <vt:lpstr>NEW_AdjONLYGroup</vt:lpstr>
      <vt:lpstr>'LABA|0349-00'!NEW_AdjONLYGroupSalary</vt:lpstr>
      <vt:lpstr>'LABA|0482-00'!NEW_AdjONLYGroupSalary</vt:lpstr>
      <vt:lpstr>NEW_AdjONLYGroupSalary</vt:lpstr>
      <vt:lpstr>'LABA|0349-00'!NEW_AdjONLYGroupVB</vt:lpstr>
      <vt:lpstr>'LABA|0482-00'!NEW_AdjONLYGroupVB</vt:lpstr>
      <vt:lpstr>NEW_AdjONLYGroupVB</vt:lpstr>
      <vt:lpstr>'LABA|0349-00'!NEW_AdjONLYPerm</vt:lpstr>
      <vt:lpstr>'LABA|0482-00'!NEW_AdjONLYPerm</vt:lpstr>
      <vt:lpstr>NEW_AdjONLYPerm</vt:lpstr>
      <vt:lpstr>'LABA|0349-00'!NEW_AdjONLYPermSalary</vt:lpstr>
      <vt:lpstr>'LABA|0482-00'!NEW_AdjONLYPermSalary</vt:lpstr>
      <vt:lpstr>NEW_AdjONLYPermSalary</vt:lpstr>
      <vt:lpstr>'LABA|0349-00'!NEW_AdjONLYPermVB</vt:lpstr>
      <vt:lpstr>'LABA|0482-00'!NEW_AdjONLYPermVB</vt:lpstr>
      <vt:lpstr>NEW_AdjONLYPermVB</vt:lpstr>
      <vt:lpstr>'LABA|0349-00'!NEW_AdjPerm</vt:lpstr>
      <vt:lpstr>'LABA|0482-00'!NEW_AdjPerm</vt:lpstr>
      <vt:lpstr>NEW_AdjPerm</vt:lpstr>
      <vt:lpstr>'LABA|0349-00'!NEW_AdjPermSalary</vt:lpstr>
      <vt:lpstr>'LABA|0482-00'!NEW_AdjPermSalary</vt:lpstr>
      <vt:lpstr>NEW_AdjPermSalary</vt:lpstr>
      <vt:lpstr>'LABA|0349-00'!NEW_AdjPermVB</vt:lpstr>
      <vt:lpstr>'LABA|0482-00'!NEW_AdjPermVB</vt:lpstr>
      <vt:lpstr>NEW_AdjPermVB</vt:lpstr>
      <vt:lpstr>'LABA|0349-00'!NEW_GroupFilled</vt:lpstr>
      <vt:lpstr>'LABA|0482-00'!NEW_GroupFilled</vt:lpstr>
      <vt:lpstr>NEW_GroupFilled</vt:lpstr>
      <vt:lpstr>'LABA|0349-00'!NEW_GroupSalaryFilled</vt:lpstr>
      <vt:lpstr>'LABA|0482-00'!NEW_GroupSalaryFilled</vt:lpstr>
      <vt:lpstr>NEW_GroupSalaryFilled</vt:lpstr>
      <vt:lpstr>'LABA|0349-00'!NEW_GroupVBFilled</vt:lpstr>
      <vt:lpstr>'LABA|0482-00'!NEW_GroupVBFilled</vt:lpstr>
      <vt:lpstr>NEW_GroupVBFilled</vt:lpstr>
      <vt:lpstr>'LABA|0349-00'!NEW_PermFilled</vt:lpstr>
      <vt:lpstr>'LABA|0482-00'!NEW_PermFilled</vt:lpstr>
      <vt:lpstr>NEW_PermFilled</vt:lpstr>
      <vt:lpstr>'LABA|0349-00'!NEW_PermSalaryFilled</vt:lpstr>
      <vt:lpstr>'LABA|0482-00'!NEW_PermSalaryFilled</vt:lpstr>
      <vt:lpstr>NEW_PermSalaryFilled</vt:lpstr>
      <vt:lpstr>'LABA|0349-00'!NEW_PermVBFilled</vt:lpstr>
      <vt:lpstr>'LABA|0482-00'!NEW_PermVBFilled</vt:lpstr>
      <vt:lpstr>NEW_PermVBFilled</vt:lpstr>
      <vt:lpstr>'LABA|0349-00'!OneTimePC_Total</vt:lpstr>
      <vt:lpstr>'LABA|0482-00'!OneTimePC_Total</vt:lpstr>
      <vt:lpstr>OneTimePC_Total</vt:lpstr>
      <vt:lpstr>'LABA|0349-00'!OrigApprop</vt:lpstr>
      <vt:lpstr>'LABA|0482-00'!OrigApprop</vt:lpstr>
      <vt:lpstr>OrigApprop</vt:lpstr>
      <vt:lpstr>'LABA|0349-00'!perm_name</vt:lpstr>
      <vt:lpstr>'LABA|0482-00'!perm_name</vt:lpstr>
      <vt:lpstr>perm_name</vt:lpstr>
      <vt:lpstr>'LABA|0349-00'!PermFTP</vt:lpstr>
      <vt:lpstr>'LABA|0482-00'!PermFTP</vt:lpstr>
      <vt:lpstr>PermFTP</vt:lpstr>
      <vt:lpstr>'LABA|0349-00'!PermFxdBen</vt:lpstr>
      <vt:lpstr>'LABA|0482-00'!PermFxdBen</vt:lpstr>
      <vt:lpstr>PermFxdBen</vt:lpstr>
      <vt:lpstr>'LABA|0349-00'!PermFxdBenChg</vt:lpstr>
      <vt:lpstr>'LABA|0482-00'!PermFxdBenChg</vt:lpstr>
      <vt:lpstr>PermFxdBenChg</vt:lpstr>
      <vt:lpstr>'LABA|0349-00'!PermFxdChg</vt:lpstr>
      <vt:lpstr>'LABA|0482-00'!PermFxdChg</vt:lpstr>
      <vt:lpstr>PermFxdChg</vt:lpstr>
      <vt:lpstr>'LABA|0349-00'!PermSalary</vt:lpstr>
      <vt:lpstr>'LABA|0482-00'!PermSalary</vt:lpstr>
      <vt:lpstr>PermSalary</vt:lpstr>
      <vt:lpstr>'LABA|0349-00'!PermVarBen</vt:lpstr>
      <vt:lpstr>'LABA|0482-00'!PermVarBen</vt:lpstr>
      <vt:lpstr>PermVarBen</vt:lpstr>
      <vt:lpstr>'LABA|0349-00'!PermVarBenChg</vt:lpstr>
      <vt:lpstr>'LABA|0482-00'!PermVarBenChg</vt:lpstr>
      <vt:lpstr>PermVarBenChg</vt:lpstr>
      <vt:lpstr>PermVB</vt:lpstr>
      <vt:lpstr>PermVBBY</vt:lpstr>
      <vt:lpstr>PermVBCHG</vt:lpstr>
      <vt:lpstr>'B6'!Print_Area</vt:lpstr>
      <vt:lpstr>Benefits!Print_Area</vt:lpstr>
      <vt:lpstr>'LABA|0349-00'!Print_Area</vt:lpstr>
      <vt:lpstr>'LABA|0482-00'!Print_Area</vt:lpstr>
      <vt:lpstr>'LABA|0349-00'!Prog_Unadjusted_Total</vt:lpstr>
      <vt:lpstr>'LABA|0482-00'!Prog_Unadjusted_Total</vt:lpstr>
      <vt:lpstr>Prog_Unadjusted_Total</vt:lpstr>
      <vt:lpstr>'LABA|0349-00'!Program</vt:lpstr>
      <vt:lpstr>'LABA|0482-00'!Program</vt:lpstr>
      <vt:lpstr>Program</vt:lpstr>
      <vt:lpstr>PTHealth</vt:lpstr>
      <vt:lpstr>PTHealthBY</vt:lpstr>
      <vt:lpstr>PTHealthChg</vt:lpstr>
      <vt:lpstr>Retire1</vt:lpstr>
      <vt:lpstr>Retire1BY</vt:lpstr>
      <vt:lpstr>Retire1CHG</vt:lpstr>
      <vt:lpstr>Retire2</vt:lpstr>
      <vt:lpstr>Retire2BY</vt:lpstr>
      <vt:lpstr>Retire2CHG</vt:lpstr>
      <vt:lpstr>Retire4</vt:lpstr>
      <vt:lpstr>Retire4BY</vt:lpstr>
      <vt:lpstr>Retire4CHG</vt:lpstr>
      <vt:lpstr>Retire5</vt:lpstr>
      <vt:lpstr>Retire5BY</vt:lpstr>
      <vt:lpstr>Retire5CHG</vt:lpstr>
      <vt:lpstr>Retire6</vt:lpstr>
      <vt:lpstr>Retire6BY</vt:lpstr>
      <vt:lpstr>Retire6CHG</vt:lpstr>
      <vt:lpstr>Retire7</vt:lpstr>
      <vt:lpstr>Retire7BY</vt:lpstr>
      <vt:lpstr>Retire7CHG</vt:lpstr>
      <vt:lpstr>Retire8</vt:lpstr>
      <vt:lpstr>Retire8BY</vt:lpstr>
      <vt:lpstr>Retire8CHG</vt:lpstr>
      <vt:lpstr>Retirement_Rates</vt:lpstr>
      <vt:lpstr>'LABA|0349-00'!RoundedAppropSalary</vt:lpstr>
      <vt:lpstr>'LABA|0482-00'!RoundedAppropSalary</vt:lpstr>
      <vt:lpstr>RoundedAppropSalary</vt:lpstr>
      <vt:lpstr>'LABA|0349-00'!SalaryChg</vt:lpstr>
      <vt:lpstr>'LABA|0482-00'!SalaryChg</vt:lpstr>
      <vt:lpstr>SalaryChg</vt:lpstr>
      <vt:lpstr>Sick</vt:lpstr>
      <vt:lpstr>SickBY</vt:lpstr>
      <vt:lpstr>SickCHG</vt:lpstr>
      <vt:lpstr>SSDI</vt:lpstr>
      <vt:lpstr>SSDIBY</vt:lpstr>
      <vt:lpstr>SSDICHG</vt:lpstr>
      <vt:lpstr>SSHI</vt:lpstr>
      <vt:lpstr>SSHIBY</vt:lpstr>
      <vt:lpstr>SSHICHG</vt:lpstr>
      <vt:lpstr>UI</vt:lpstr>
      <vt:lpstr>UIBY</vt:lpstr>
      <vt:lpstr>UICHG</vt:lpstr>
      <vt:lpstr>WC</vt:lpstr>
      <vt:lpstr>WCBY</vt:lpstr>
      <vt:lpstr>WCCHG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Agency 330 B6</dc:title>
  <dc:subject>B6</dc:subject>
  <dc:creator>Shane Winslow</dc:creator>
  <cp:lastModifiedBy>Rob Sepich</cp:lastModifiedBy>
  <cp:lastPrinted>2019-06-21T15:46:35Z</cp:lastPrinted>
  <dcterms:created xsi:type="dcterms:W3CDTF">2013-05-01T19:55:41Z</dcterms:created>
  <dcterms:modified xsi:type="dcterms:W3CDTF">2021-07-15T16:16:58Z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980daa53-e238-4358-81e3-d1b7452f1532</vt:lpwstr>
  </property>
</Properties>
</file>