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so-filesrv\BudgetandPolicyStaff\Projects\Budget Development\Agency B6 Folder_FY23\"/>
    </mc:Choice>
  </mc:AlternateContent>
  <xr:revisionPtr revIDLastSave="0" documentId="13_ncr:1_{5820BE70-2638-4C69-9039-4733513E78DD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LEAF|0229-15" sheetId="12" r:id="rId1"/>
    <sheet name="Data" sheetId="5" r:id="rId2"/>
    <sheet name="Benefits" sheetId="7" r:id="rId3"/>
    <sheet name="B6" sheetId="9" r:id="rId4"/>
    <sheet name="Summary" sheetId="10" r:id="rId5"/>
    <sheet name="FundSummary" sheetId="11" r:id="rId6"/>
  </sheets>
  <definedNames>
    <definedName name="AdjGroupHlth" localSheetId="0">'LEAF|0229-15'!$H$39</definedName>
    <definedName name="AdjGroupHlth">'B6'!$H$39</definedName>
    <definedName name="AdjGroupSalary" localSheetId="0">'LEAF|0229-15'!$G$39</definedName>
    <definedName name="AdjGroupSalary">'B6'!$G$39</definedName>
    <definedName name="AdjGroupVB" localSheetId="0">'LEAF|0229-15'!$I$39</definedName>
    <definedName name="AdjGroupVB">'B6'!$I$39</definedName>
    <definedName name="AdjGroupVBBY" localSheetId="0">'LEAF|0229-15'!$M$39</definedName>
    <definedName name="AdjGroupVBBY">'B6'!$M$39</definedName>
    <definedName name="AdjPermHlth" localSheetId="0">'LEAF|0229-15'!$H$38</definedName>
    <definedName name="AdjPermHlth">'B6'!$H$38</definedName>
    <definedName name="AdjPermHlthBY" localSheetId="0">'LEAF|0229-15'!$L$38</definedName>
    <definedName name="AdjPermHlthBY">'B6'!$L$38</definedName>
    <definedName name="AdjPermSalary" localSheetId="0">'LEAF|0229-15'!$G$38</definedName>
    <definedName name="AdjPermSalary">'B6'!$G$38</definedName>
    <definedName name="AdjPermVB" localSheetId="0">'LEAF|0229-15'!$I$38</definedName>
    <definedName name="AdjPermVB">'B6'!$I$38</definedName>
    <definedName name="AdjPermVBBY" localSheetId="0">'LEAF|0229-15'!$M$38</definedName>
    <definedName name="AdjPermVBBY">'B6'!$M$38</definedName>
    <definedName name="AdjustedTotal" localSheetId="0">'LEAF|0229-15'!$J$16</definedName>
    <definedName name="AdjustedTotal">'B6'!$J$16</definedName>
    <definedName name="AgencyNum" localSheetId="0">'LEAF|0229-15'!$M$1</definedName>
    <definedName name="AgencyNum">'B6'!$M$1</definedName>
    <definedName name="AppropFTP" localSheetId="0">'LEAF|0229-15'!$F$15</definedName>
    <definedName name="AppropFTP">'B6'!$F$15</definedName>
    <definedName name="AppropTotal" localSheetId="0">'LEAF|0229-15'!$J$15</definedName>
    <definedName name="AppropTotal">'B6'!$J$15</definedName>
    <definedName name="AtZHealth" localSheetId="0">'LEAF|0229-15'!$H$45</definedName>
    <definedName name="AtZHealth">'B6'!$H$45</definedName>
    <definedName name="AtZSalary" localSheetId="0">'LEAF|0229-15'!$G$45</definedName>
    <definedName name="AtZSalary">'B6'!$G$45</definedName>
    <definedName name="AtZTotal" localSheetId="0">'LEAF|0229-15'!$J$45</definedName>
    <definedName name="AtZTotal">'B6'!$J$45</definedName>
    <definedName name="AtZVarBen" localSheetId="0">'LEAF|0229-15'!$I$45</definedName>
    <definedName name="AtZVarBen">'B6'!$I$45</definedName>
    <definedName name="BudgetUnit" localSheetId="0">'LEAF|0229-15'!$M$3</definedName>
    <definedName name="BudgetUnit">'B6'!$M$3</definedName>
    <definedName name="BudgetYear">Benefits!$D$4</definedName>
    <definedName name="CECGroup">Benefits!$C$39</definedName>
    <definedName name="CECOrigElectSalary" localSheetId="0">'LEAF|0229-15'!$G$74</definedName>
    <definedName name="CECOrigElectSalary">'B6'!$G$74</definedName>
    <definedName name="CECOrigElectVB" localSheetId="0">'LEAF|0229-15'!$I$74</definedName>
    <definedName name="CECOrigElectVB">'B6'!$I$74</definedName>
    <definedName name="CECOrigGroupSalary" localSheetId="0">'LEAF|0229-15'!$G$73</definedName>
    <definedName name="CECOrigGroupSalary">'B6'!$G$73</definedName>
    <definedName name="CECOrigGroupVB" localSheetId="0">'LEAF|0229-15'!$I$73</definedName>
    <definedName name="CECOrigGroupVB">'B6'!$I$73</definedName>
    <definedName name="CECOrigPermSalary" localSheetId="0">'LEAF|0229-15'!$G$72</definedName>
    <definedName name="CECOrigPermSalary">'B6'!$G$72</definedName>
    <definedName name="CECOrigPermVB" localSheetId="0">'LEAF|0229-15'!$I$72</definedName>
    <definedName name="CECOrigPermVB">'B6'!$I$72</definedName>
    <definedName name="CECPerm">Benefits!$C$38</definedName>
    <definedName name="CECpermCalc" localSheetId="0">'LEAF|0229-15'!$E$72</definedName>
    <definedName name="CECpermCalc">'B6'!$E$72</definedName>
    <definedName name="Department" localSheetId="0">'LEAF|0229-15'!$D$1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'LEAF|0229-15'!$D$2</definedName>
    <definedName name="Division">'B6'!$D$2</definedName>
    <definedName name="DUCECElect" localSheetId="0">'LEAF|0229-15'!$J$74</definedName>
    <definedName name="DUCECElect">'B6'!$J$74</definedName>
    <definedName name="DUCECGroup" localSheetId="0">'LEAF|0229-15'!$J$73</definedName>
    <definedName name="DUCECGroup">'B6'!$J$73</definedName>
    <definedName name="DUCECPerm" localSheetId="0">'LEAF|0229-15'!$J$72</definedName>
    <definedName name="DUCECPerm">'B6'!$J$72</definedName>
    <definedName name="DUEleven" localSheetId="0">'LEAF|0229-15'!$J$75</definedName>
    <definedName name="DUEleven">'B6'!$J$75</definedName>
    <definedName name="DUHealthBen" localSheetId="0">'LEAF|0229-15'!$J$68</definedName>
    <definedName name="DUHealthBen">'B6'!$J$68</definedName>
    <definedName name="DUNine" localSheetId="0">'LEAF|0229-15'!$J$67</definedName>
    <definedName name="DUNine">'B6'!$J$67</definedName>
    <definedName name="DUThirteen" localSheetId="0">'LEAF|0229-15'!$J$80</definedName>
    <definedName name="DUThirteen">'B6'!$J$80</definedName>
    <definedName name="DUVariableBen" localSheetId="0">'LEAF|0229-15'!$J$69</definedName>
    <definedName name="DUVariableBen">'B6'!$J$69</definedName>
    <definedName name="Elect_chg_health" localSheetId="0">'LEAF|0229-15'!$L$12</definedName>
    <definedName name="Elect_chg_health">'B6'!$L$12</definedName>
    <definedName name="Elect_chg_Var" localSheetId="0">'LEAF|0229-15'!$M$12</definedName>
    <definedName name="Elect_chg_Var">'B6'!$M$12</definedName>
    <definedName name="elect_FTP" localSheetId="0">'LEAF|0229-15'!$F$12</definedName>
    <definedName name="elect_FTP">'B6'!$F$12</definedName>
    <definedName name="Elect_health" localSheetId="0">'LEAF|0229-15'!$H$12</definedName>
    <definedName name="Elect_health">'B6'!$H$12</definedName>
    <definedName name="Elect_name" localSheetId="0">'LEAF|0229-15'!$C$12</definedName>
    <definedName name="Elect_name">'B6'!$C$12</definedName>
    <definedName name="Elect_salary" localSheetId="0">'LEAF|0229-15'!$G$12</definedName>
    <definedName name="Elect_salary">'B6'!$G$12</definedName>
    <definedName name="Elect_Var" localSheetId="0">'LEAF|0229-15'!$I$12</definedName>
    <definedName name="Elect_Var">'B6'!$I$12</definedName>
    <definedName name="Elect_VarBen" localSheetId="0">'LEAF|0229-15'!$I$12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'LEAF|0229-15'!#REF!</definedName>
    <definedName name="FillRateAvg_B6">'B6'!#REF!</definedName>
    <definedName name="FiscalYear" localSheetId="0">'LEAF|0229-15'!$M$4</definedName>
    <definedName name="FiscalYear">'B6'!$M$4</definedName>
    <definedName name="FundName" localSheetId="0">'LEAF|0229-15'!$I$5</definedName>
    <definedName name="FundName">'B6'!$I$5</definedName>
    <definedName name="FundNum" localSheetId="0">'LEAF|0229-15'!$N$5</definedName>
    <definedName name="FundNum">'B6'!$N$5</definedName>
    <definedName name="FundNumber" localSheetId="0">'LEAF|0229-15'!$N$5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'LEAF|0229-15'!$C$11</definedName>
    <definedName name="Group_name">'B6'!$C$11</definedName>
    <definedName name="GroupFxdBen" localSheetId="0">'LEAF|0229-15'!$H$11</definedName>
    <definedName name="GroupFxdBen">'B6'!$H$11</definedName>
    <definedName name="GroupSalary" localSheetId="0">'LEAF|0229-15'!$G$11</definedName>
    <definedName name="GroupSalary">'B6'!$G$11</definedName>
    <definedName name="GroupVarBen" localSheetId="0">'LEAF|0229-15'!$I$11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Health">Benefits!$C$15</definedName>
    <definedName name="HealthBY">Benefits!$D$15</definedName>
    <definedName name="HealthCHG">Benefits!$E$15</definedName>
    <definedName name="LEAF022915col_1_27TH_PP">Data!$BA$52</definedName>
    <definedName name="LEAF022915col_DHR">Data!$BI$52</definedName>
    <definedName name="LEAF022915col_DHR_BY">Data!$BU$52</definedName>
    <definedName name="LEAF022915col_DHR_CHG">Data!$CG$52</definedName>
    <definedName name="LEAF022915col_FTI_SALARY_ELECT">Data!$AZ$52</definedName>
    <definedName name="LEAF022915col_FTI_SALARY_PERM">Data!$AY$52</definedName>
    <definedName name="LEAF022915col_FTI_SALARY_SSDI">Data!$AX$52</definedName>
    <definedName name="LEAF022915col_Group_Ben">Data!$CM$52</definedName>
    <definedName name="LEAF022915col_Group_Salary">Data!$CL$52</definedName>
    <definedName name="LEAF022915col_HEALTH_ELECT">Data!$BC$52</definedName>
    <definedName name="LEAF022915col_HEALTH_ELECT_BY">Data!$BO$52</definedName>
    <definedName name="LEAF022915col_HEALTH_ELECT_CHG">Data!$CA$52</definedName>
    <definedName name="LEAF022915col_HEALTH_PERM">Data!$BB$52</definedName>
    <definedName name="LEAF022915col_HEALTH_PERM_BY">Data!$BN$52</definedName>
    <definedName name="LEAF022915col_HEALTH_PERM_CHG">Data!$BZ$52</definedName>
    <definedName name="LEAF022915col_INC_FTI">Data!$AS$52</definedName>
    <definedName name="LEAF022915col_LIFE_INS">Data!$BG$52</definedName>
    <definedName name="LEAF022915col_LIFE_INS_BY">Data!$BS$52</definedName>
    <definedName name="LEAF022915col_LIFE_INS_CHG">Data!$CE$52</definedName>
    <definedName name="LEAF022915col_RETIREMENT">Data!$BF$52</definedName>
    <definedName name="LEAF022915col_RETIREMENT_BY">Data!$BR$52</definedName>
    <definedName name="LEAF022915col_RETIREMENT_CHG">Data!$CD$52</definedName>
    <definedName name="LEAF022915col_ROWS_PER_PCN">Data!$AW$52</definedName>
    <definedName name="LEAF022915col_SICK">Data!$BK$52</definedName>
    <definedName name="LEAF022915col_SICK_BY">Data!$BW$52</definedName>
    <definedName name="LEAF022915col_SICK_CHG">Data!$CI$52</definedName>
    <definedName name="LEAF022915col_SSDI">Data!$BD$52</definedName>
    <definedName name="LEAF022915col_SSDI_BY">Data!$BP$52</definedName>
    <definedName name="LEAF022915col_SSDI_CHG">Data!$CB$52</definedName>
    <definedName name="LEAF022915col_SSHI">Data!$BE$52</definedName>
    <definedName name="LEAF022915col_SSHI_BY">Data!$BQ$52</definedName>
    <definedName name="LEAF022915col_SSHI_CHGv">Data!$CC$52</definedName>
    <definedName name="LEAF022915col_TOT_VB_ELECT">Data!$BM$52</definedName>
    <definedName name="LEAF022915col_TOT_VB_ELECT_BY">Data!$BY$52</definedName>
    <definedName name="LEAF022915col_TOT_VB_ELECT_CHG">Data!$CK$52</definedName>
    <definedName name="LEAF022915col_TOT_VB_PERM">Data!$BL$52</definedName>
    <definedName name="LEAF022915col_TOT_VB_PERM_BY">Data!$BX$52</definedName>
    <definedName name="LEAF022915col_TOT_VB_PERM_CHG">Data!$CJ$52</definedName>
    <definedName name="LEAF022915col_TOTAL_ELECT_PCN_FTI">Data!$AT$52</definedName>
    <definedName name="LEAF022915col_TOTAL_ELECT_PCN_FTI_ALT">Data!$AV$52</definedName>
    <definedName name="LEAF022915col_TOTAL_PERM_PCN_FTI">Data!$AU$52</definedName>
    <definedName name="LEAF022915col_UNEMP_INS">Data!$BH$52</definedName>
    <definedName name="LEAF022915col_UNEMP_INS_BY">Data!$BT$52</definedName>
    <definedName name="LEAF022915col_UNEMP_INS_CHG">Data!$CF$52</definedName>
    <definedName name="LEAF022915col_WORKERS_COMP">Data!$BJ$52</definedName>
    <definedName name="LEAF022915col_WORKERS_COMP_BY">Data!$BV$52</definedName>
    <definedName name="LEAF022915col_WORKERS_COMP_CHG">Data!$CH$52</definedName>
    <definedName name="Life">Benefits!$C$9</definedName>
    <definedName name="LifeBY">Benefits!$D$9</definedName>
    <definedName name="LifeCHG">Benefits!$E$9</definedName>
    <definedName name="LUMAFund" localSheetId="0">'LEAF|0229-15'!$M$2</definedName>
    <definedName name="LUMAFund">'B6'!$M$2</definedName>
    <definedName name="MAXSSDI">Benefits!$F$5</definedName>
    <definedName name="MAXSSDIBY">Benefits!$G$5</definedName>
    <definedName name="NEW_AdjGroup" localSheetId="0">'LEAF|0229-15'!$AC$39</definedName>
    <definedName name="NEW_AdjGroup">'B6'!$AC$39</definedName>
    <definedName name="NEW_AdjGroupSalary" localSheetId="0">'LEAF|0229-15'!$AA$39</definedName>
    <definedName name="NEW_AdjGroupSalary">'B6'!$AA$39</definedName>
    <definedName name="NEW_AdjGroupVB" localSheetId="0">'LEAF|0229-15'!$AB$39</definedName>
    <definedName name="NEW_AdjGroupVB">'B6'!$AB$39</definedName>
    <definedName name="NEW_AdjONLYGroup" localSheetId="0">'LEAF|0229-15'!$AC$45</definedName>
    <definedName name="NEW_AdjONLYGroup">'B6'!$AC$45</definedName>
    <definedName name="NEW_AdjONLYGroupSalary" localSheetId="0">'LEAF|0229-15'!$AA$45</definedName>
    <definedName name="NEW_AdjONLYGroupSalary">'B6'!$AA$45</definedName>
    <definedName name="NEW_AdjONLYGroupVB" localSheetId="0">'LEAF|0229-15'!$AB$45</definedName>
    <definedName name="NEW_AdjONLYGroupVB">'B6'!$AB$45</definedName>
    <definedName name="NEW_AdjONLYPerm" localSheetId="0">'LEAF|0229-15'!$AC$44</definedName>
    <definedName name="NEW_AdjONLYPerm">'B6'!$AC$44</definedName>
    <definedName name="NEW_AdjONLYPermSalary" localSheetId="0">'LEAF|0229-15'!$AA$44</definedName>
    <definedName name="NEW_AdjONLYPermSalary">'B6'!$AA$44</definedName>
    <definedName name="NEW_AdjONLYPermVB" localSheetId="0">'LEAF|0229-15'!$AB$44</definedName>
    <definedName name="NEW_AdjONLYPermVB">'B6'!$AB$44</definedName>
    <definedName name="NEW_AdjPerm" localSheetId="0">'LEAF|0229-15'!$AC$38</definedName>
    <definedName name="NEW_AdjPerm">'B6'!$AC$38</definedName>
    <definedName name="NEW_AdjPermSalary" localSheetId="0">'LEAF|0229-15'!$AA$38</definedName>
    <definedName name="NEW_AdjPermSalary">'B6'!$AA$38</definedName>
    <definedName name="NEW_AdjPermVB" localSheetId="0">'LEAF|0229-15'!$AB$38</definedName>
    <definedName name="NEW_AdjPermVB">'B6'!$AB$38</definedName>
    <definedName name="NEW_GroupFilled" localSheetId="0">'LEAF|0229-15'!$AC$11</definedName>
    <definedName name="NEW_GroupFilled">'B6'!$AC$11</definedName>
    <definedName name="NEW_GroupSalaryFilled" localSheetId="0">'LEAF|0229-15'!$AA$11</definedName>
    <definedName name="NEW_GroupSalaryFilled">'B6'!$AA$11</definedName>
    <definedName name="NEW_GroupVBFilled" localSheetId="0">'LEAF|0229-15'!$AB$11</definedName>
    <definedName name="NEW_GroupVBFilled">'B6'!$AB$11</definedName>
    <definedName name="NEW_PermFilled" localSheetId="0">'LEAF|0229-15'!$AC$10</definedName>
    <definedName name="NEW_PermFilled">'B6'!$AC$10</definedName>
    <definedName name="NEW_PermSalaryFilled" localSheetId="0">'LEAF|0229-15'!$AA$10</definedName>
    <definedName name="NEW_PermSalaryFilled">'B6'!$AA$10</definedName>
    <definedName name="NEW_PermVBFilled" localSheetId="0">'LEAF|0229-15'!$AB$10</definedName>
    <definedName name="NEW_PermVBFilled">'B6'!$AB$10</definedName>
    <definedName name="OneTimePC_Total" localSheetId="0">'LEAF|0229-15'!$J$63</definedName>
    <definedName name="OneTimePC_Total">'B6'!$J$63</definedName>
    <definedName name="OrigApprop" localSheetId="0">'LEAF|0229-15'!$E$15</definedName>
    <definedName name="OrigApprop">'B6'!$E$15</definedName>
    <definedName name="perm_name" localSheetId="0">'LEAF|0229-15'!$C$10</definedName>
    <definedName name="perm_name">'B6'!$C$10</definedName>
    <definedName name="PermFTP" localSheetId="0">'LEAF|0229-15'!$F$10</definedName>
    <definedName name="PermFTP">'B6'!$F$10</definedName>
    <definedName name="PermFxdBen" localSheetId="0">'LEAF|0229-15'!$H$10</definedName>
    <definedName name="PermFxdBen">'B6'!$H$10</definedName>
    <definedName name="PermFxdBenChg" localSheetId="0">'LEAF|0229-15'!$L$10</definedName>
    <definedName name="PermFxdBenChg">'B6'!$L$10</definedName>
    <definedName name="PermFxdChg" localSheetId="0">'LEAF|0229-15'!$L$10</definedName>
    <definedName name="PermFxdChg">'B6'!$L$10</definedName>
    <definedName name="PermSalary" localSheetId="0">'LEAF|0229-15'!$G$10</definedName>
    <definedName name="PermSalary">'B6'!$G$10</definedName>
    <definedName name="PermVarBen" localSheetId="0">'LEAF|0229-15'!$I$10</definedName>
    <definedName name="PermVarBen">'B6'!$I$10</definedName>
    <definedName name="PermVarBenChg" localSheetId="0">'LEAF|0229-15'!$M$10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3">'B6'!$A$1:$N$81</definedName>
    <definedName name="_xlnm.Print_Area" localSheetId="2">Benefits!$A$1:$G$36</definedName>
    <definedName name="_xlnm.Print_Area" localSheetId="0">'LEAF|0229-15'!$A$1:$N$81</definedName>
    <definedName name="Prog_Unadjusted_Total" localSheetId="0">'LEAF|0229-15'!$C$8:$N$16</definedName>
    <definedName name="Prog_Unadjusted_Total">'B6'!$C$8:$N$16</definedName>
    <definedName name="Program" localSheetId="0">'LEAF|0229-15'!$D$3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'LEAF|0229-15'!$G$52</definedName>
    <definedName name="RoundedAppropSalary">'B6'!$G$52</definedName>
    <definedName name="SalaryChg" localSheetId="0">'LEAF|0229-15'!$K$10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'LEAF|0229-15'!#REF!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1" l="1"/>
  <c r="F8" i="11"/>
  <c r="G8" i="11"/>
  <c r="H8" i="11"/>
  <c r="I8" i="11"/>
  <c r="K8" i="11"/>
  <c r="L8" i="11"/>
  <c r="E9" i="11"/>
  <c r="F9" i="11"/>
  <c r="G9" i="11"/>
  <c r="H9" i="11"/>
  <c r="I9" i="11"/>
  <c r="K9" i="11"/>
  <c r="L9" i="11"/>
  <c r="E10" i="11"/>
  <c r="F10" i="11"/>
  <c r="G10" i="11"/>
  <c r="H10" i="11"/>
  <c r="I10" i="11"/>
  <c r="J10" i="11"/>
  <c r="K10" i="11"/>
  <c r="L10" i="11"/>
  <c r="M10" i="11"/>
  <c r="E11" i="11"/>
  <c r="F11" i="11"/>
  <c r="G11" i="11"/>
  <c r="H11" i="11"/>
  <c r="I11" i="11"/>
  <c r="K11" i="11"/>
  <c r="L11" i="11"/>
  <c r="E12" i="11"/>
  <c r="F12" i="11"/>
  <c r="G12" i="11"/>
  <c r="H12" i="11"/>
  <c r="I12" i="11"/>
  <c r="J12" i="11"/>
  <c r="K12" i="11"/>
  <c r="L12" i="11"/>
  <c r="M12" i="11"/>
  <c r="E13" i="11"/>
  <c r="F13" i="11"/>
  <c r="G13" i="11"/>
  <c r="H13" i="11"/>
  <c r="I13" i="11"/>
  <c r="J13" i="11"/>
  <c r="K13" i="11"/>
  <c r="L13" i="11"/>
  <c r="M13" i="11"/>
  <c r="E14" i="11"/>
  <c r="F14" i="11"/>
  <c r="G14" i="11"/>
  <c r="H14" i="11"/>
  <c r="I14" i="11"/>
  <c r="J14" i="11"/>
  <c r="K14" i="11"/>
  <c r="L14" i="11"/>
  <c r="M14" i="11"/>
  <c r="E15" i="11"/>
  <c r="F15" i="11"/>
  <c r="G15" i="11"/>
  <c r="H15" i="11"/>
  <c r="I15" i="11"/>
  <c r="J15" i="11"/>
  <c r="K15" i="11"/>
  <c r="L15" i="11"/>
  <c r="M15" i="11"/>
  <c r="E16" i="11"/>
  <c r="F16" i="11"/>
  <c r="G16" i="11"/>
  <c r="H16" i="11"/>
  <c r="I16" i="11"/>
  <c r="J16" i="11"/>
  <c r="K16" i="11"/>
  <c r="L16" i="11"/>
  <c r="M16" i="11"/>
  <c r="E17" i="11"/>
  <c r="F17" i="11"/>
  <c r="G17" i="11"/>
  <c r="H17" i="11"/>
  <c r="I17" i="11"/>
  <c r="J17" i="11"/>
  <c r="K17" i="11"/>
  <c r="L17" i="11"/>
  <c r="M17" i="11"/>
  <c r="E18" i="11"/>
  <c r="F18" i="11"/>
  <c r="G18" i="11"/>
  <c r="H18" i="11"/>
  <c r="I18" i="11"/>
  <c r="J18" i="11"/>
  <c r="K18" i="11"/>
  <c r="L18" i="11"/>
  <c r="M18" i="11"/>
  <c r="E19" i="11"/>
  <c r="F19" i="11"/>
  <c r="G19" i="11"/>
  <c r="H19" i="11"/>
  <c r="I19" i="11"/>
  <c r="K19" i="11"/>
  <c r="L19" i="11"/>
  <c r="AZ71" i="5"/>
  <c r="AY71" i="5"/>
  <c r="AW71" i="5"/>
  <c r="AV71" i="5"/>
  <c r="AU71" i="5"/>
  <c r="AT71" i="5"/>
  <c r="AS71" i="5"/>
  <c r="BA69" i="5"/>
  <c r="AZ69" i="5"/>
  <c r="AY69" i="5"/>
  <c r="AX69" i="5"/>
  <c r="AW69" i="5"/>
  <c r="AV69" i="5"/>
  <c r="AU69" i="5"/>
  <c r="AT69" i="5"/>
  <c r="AS69" i="5"/>
  <c r="AZ63" i="5"/>
  <c r="AY63" i="5"/>
  <c r="AW63" i="5"/>
  <c r="AV63" i="5"/>
  <c r="AU63" i="5"/>
  <c r="AT63" i="5"/>
  <c r="AS63" i="5"/>
  <c r="BA66" i="5"/>
  <c r="BA67" i="5" s="1"/>
  <c r="AY66" i="5"/>
  <c r="AY67" i="5" s="1"/>
  <c r="AX66" i="5"/>
  <c r="AX67" i="5" s="1"/>
  <c r="AV66" i="5"/>
  <c r="AV67" i="5" s="1"/>
  <c r="AU66" i="5"/>
  <c r="AU67" i="5" s="1"/>
  <c r="AT66" i="5"/>
  <c r="AT67" i="5" s="1"/>
  <c r="AZ67" i="5"/>
  <c r="AW67" i="5"/>
  <c r="AZ61" i="5"/>
  <c r="AY61" i="5"/>
  <c r="AW61" i="5"/>
  <c r="AV61" i="5"/>
  <c r="AU61" i="5"/>
  <c r="AT61" i="5"/>
  <c r="AS61" i="5"/>
  <c r="AZ60" i="5"/>
  <c r="AY60" i="5"/>
  <c r="AW60" i="5"/>
  <c r="AV60" i="5"/>
  <c r="AU60" i="5"/>
  <c r="AT60" i="5"/>
  <c r="AS60" i="5"/>
  <c r="A9" i="10"/>
  <c r="J6" i="10"/>
  <c r="F6" i="10"/>
  <c r="F7" i="10" s="1"/>
  <c r="E6" i="10"/>
  <c r="D6" i="10"/>
  <c r="G5" i="10"/>
  <c r="E5" i="10"/>
  <c r="H5" i="10" s="1"/>
  <c r="J4" i="10"/>
  <c r="J7" i="10" s="1"/>
  <c r="I4" i="10"/>
  <c r="F4" i="10"/>
  <c r="E4" i="10"/>
  <c r="E7" i="10" s="1"/>
  <c r="D4" i="10"/>
  <c r="D7" i="10" s="1"/>
  <c r="D10" i="10" s="1"/>
  <c r="K2" i="10"/>
  <c r="J2" i="10"/>
  <c r="I2" i="10"/>
  <c r="H2" i="10"/>
  <c r="G2" i="10"/>
  <c r="F2" i="10"/>
  <c r="E2" i="10"/>
  <c r="L12" i="12"/>
  <c r="L13" i="12" s="1"/>
  <c r="H12" i="12"/>
  <c r="H40" i="12" s="1"/>
  <c r="G12" i="12"/>
  <c r="F12" i="12"/>
  <c r="F13" i="12" s="1"/>
  <c r="F16" i="12" s="1"/>
  <c r="I11" i="12"/>
  <c r="I39" i="12" s="1"/>
  <c r="AB39" i="12" s="1"/>
  <c r="G11" i="12"/>
  <c r="L10" i="12"/>
  <c r="H10" i="12"/>
  <c r="H13" i="12" s="1"/>
  <c r="K10" i="12"/>
  <c r="G10" i="12"/>
  <c r="F10" i="12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N62" i="12"/>
  <c r="J62" i="12"/>
  <c r="C60" i="12"/>
  <c r="N59" i="12"/>
  <c r="J59" i="12"/>
  <c r="N58" i="12"/>
  <c r="J58" i="12"/>
  <c r="C56" i="12"/>
  <c r="N55" i="12"/>
  <c r="J55" i="12"/>
  <c r="J54" i="12"/>
  <c r="F51" i="12"/>
  <c r="E51" i="12"/>
  <c r="C51" i="12"/>
  <c r="M50" i="12"/>
  <c r="L50" i="12"/>
  <c r="K50" i="12"/>
  <c r="J50" i="12"/>
  <c r="I50" i="12"/>
  <c r="H50" i="12"/>
  <c r="G50" i="12"/>
  <c r="G40" i="12"/>
  <c r="C40" i="12"/>
  <c r="M39" i="12"/>
  <c r="L39" i="12"/>
  <c r="H39" i="12"/>
  <c r="G39" i="12"/>
  <c r="F39" i="12"/>
  <c r="C39" i="12"/>
  <c r="L38" i="12"/>
  <c r="H38" i="12"/>
  <c r="G38" i="12"/>
  <c r="F38" i="12"/>
  <c r="C38" i="12"/>
  <c r="M35" i="12"/>
  <c r="N35" i="12" s="1"/>
  <c r="L35" i="12"/>
  <c r="J35" i="12"/>
  <c r="I35" i="12"/>
  <c r="H35" i="12"/>
  <c r="M34" i="12"/>
  <c r="L34" i="12"/>
  <c r="J34" i="12"/>
  <c r="I34" i="12"/>
  <c r="H34" i="12"/>
  <c r="M33" i="12"/>
  <c r="N33" i="12" s="1"/>
  <c r="L33" i="12"/>
  <c r="J33" i="12"/>
  <c r="I33" i="12"/>
  <c r="H33" i="12"/>
  <c r="M32" i="12"/>
  <c r="L32" i="12"/>
  <c r="N32" i="12" s="1"/>
  <c r="J32" i="12"/>
  <c r="I32" i="12"/>
  <c r="H32" i="12"/>
  <c r="M30" i="12"/>
  <c r="N30" i="12" s="1"/>
  <c r="L30" i="12"/>
  <c r="J30" i="12"/>
  <c r="I30" i="12"/>
  <c r="H30" i="12"/>
  <c r="M29" i="12"/>
  <c r="L29" i="12"/>
  <c r="J29" i="12"/>
  <c r="I29" i="12"/>
  <c r="H29" i="12"/>
  <c r="M28" i="12"/>
  <c r="N28" i="12" s="1"/>
  <c r="L28" i="12"/>
  <c r="J28" i="12"/>
  <c r="I28" i="12"/>
  <c r="H28" i="12"/>
  <c r="M27" i="12"/>
  <c r="L27" i="12"/>
  <c r="N27" i="12" s="1"/>
  <c r="J27" i="12"/>
  <c r="I27" i="12"/>
  <c r="H27" i="12"/>
  <c r="M26" i="12"/>
  <c r="N26" i="12" s="1"/>
  <c r="L26" i="12"/>
  <c r="J26" i="12"/>
  <c r="I26" i="12"/>
  <c r="H26" i="12"/>
  <c r="M25" i="12"/>
  <c r="L25" i="12"/>
  <c r="J25" i="12"/>
  <c r="I25" i="12"/>
  <c r="H25" i="12"/>
  <c r="M24" i="12"/>
  <c r="N24" i="12" s="1"/>
  <c r="L24" i="12"/>
  <c r="J24" i="12"/>
  <c r="I24" i="12"/>
  <c r="H24" i="12"/>
  <c r="M23" i="12"/>
  <c r="L23" i="12"/>
  <c r="N23" i="12" s="1"/>
  <c r="J23" i="12"/>
  <c r="I23" i="12"/>
  <c r="H23" i="12"/>
  <c r="M22" i="12"/>
  <c r="N22" i="12" s="1"/>
  <c r="L22" i="12"/>
  <c r="J22" i="12"/>
  <c r="I22" i="12"/>
  <c r="H22" i="12"/>
  <c r="M21" i="12"/>
  <c r="L21" i="12"/>
  <c r="J21" i="12"/>
  <c r="I21" i="12"/>
  <c r="H21" i="12"/>
  <c r="M20" i="12"/>
  <c r="N20" i="12" s="1"/>
  <c r="L20" i="12"/>
  <c r="J20" i="12"/>
  <c r="I20" i="12"/>
  <c r="H20" i="12"/>
  <c r="C15" i="12"/>
  <c r="G13" i="12"/>
  <c r="AC11" i="12"/>
  <c r="AB11" i="12"/>
  <c r="AA11" i="12"/>
  <c r="J11" i="12"/>
  <c r="AA10" i="12"/>
  <c r="M8" i="12"/>
  <c r="L8" i="12"/>
  <c r="K8" i="12"/>
  <c r="J8" i="12"/>
  <c r="I8" i="12"/>
  <c r="H8" i="12"/>
  <c r="G8" i="12"/>
  <c r="CM52" i="5"/>
  <c r="CL52" i="5"/>
  <c r="BA52" i="5"/>
  <c r="AZ52" i="5"/>
  <c r="AY52" i="5"/>
  <c r="AX52" i="5"/>
  <c r="AW52" i="5"/>
  <c r="AV52" i="5"/>
  <c r="AU52" i="5"/>
  <c r="AT52" i="5"/>
  <c r="AS52" i="5"/>
  <c r="CM51" i="5"/>
  <c r="CL51" i="5"/>
  <c r="BA51" i="5"/>
  <c r="AZ51" i="5"/>
  <c r="AY51" i="5"/>
  <c r="AX51" i="5"/>
  <c r="AW51" i="5"/>
  <c r="AV51" i="5"/>
  <c r="AU51" i="5"/>
  <c r="AT51" i="5"/>
  <c r="AS51" i="5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2" i="5"/>
  <c r="AW48" i="5"/>
  <c r="AW47" i="5"/>
  <c r="AW46" i="5"/>
  <c r="AW45" i="5"/>
  <c r="AW44" i="5"/>
  <c r="AW43" i="5"/>
  <c r="AW42" i="5"/>
  <c r="AW41" i="5"/>
  <c r="AW40" i="5"/>
  <c r="AW39" i="5"/>
  <c r="AW38" i="5"/>
  <c r="AW37" i="5"/>
  <c r="AW36" i="5"/>
  <c r="AW35" i="5"/>
  <c r="AW34" i="5"/>
  <c r="AW33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T7" i="5"/>
  <c r="AU7" i="5" s="1"/>
  <c r="AT8" i="5"/>
  <c r="AT15" i="5"/>
  <c r="BD15" i="5" s="1"/>
  <c r="AT22" i="5"/>
  <c r="AT23" i="5"/>
  <c r="BH23" i="5" s="1"/>
  <c r="AT24" i="5"/>
  <c r="AZ24" i="5" s="1"/>
  <c r="AT38" i="5"/>
  <c r="BI38" i="5" s="1"/>
  <c r="AS3" i="5"/>
  <c r="AX3" i="5" s="1"/>
  <c r="AS4" i="5"/>
  <c r="AX4" i="5" s="1"/>
  <c r="AS5" i="5"/>
  <c r="AX5" i="5" s="1"/>
  <c r="AS6" i="5"/>
  <c r="AX6" i="5" s="1"/>
  <c r="AS7" i="5"/>
  <c r="AX7" i="5" s="1"/>
  <c r="AS8" i="5"/>
  <c r="AX8" i="5" s="1"/>
  <c r="AS9" i="5"/>
  <c r="AX9" i="5" s="1"/>
  <c r="AS10" i="5"/>
  <c r="AX10" i="5" s="1"/>
  <c r="AS11" i="5"/>
  <c r="AX11" i="5" s="1"/>
  <c r="AS12" i="5"/>
  <c r="AT12" i="5" s="1"/>
  <c r="AS13" i="5"/>
  <c r="AX13" i="5" s="1"/>
  <c r="AS14" i="5"/>
  <c r="AT14" i="5" s="1"/>
  <c r="AS15" i="5"/>
  <c r="AX15" i="5" s="1"/>
  <c r="AS16" i="5"/>
  <c r="AX16" i="5" s="1"/>
  <c r="AS17" i="5"/>
  <c r="AX17" i="5" s="1"/>
  <c r="AS18" i="5"/>
  <c r="AX18" i="5" s="1"/>
  <c r="AS19" i="5"/>
  <c r="AX19" i="5" s="1"/>
  <c r="AS20" i="5"/>
  <c r="AT20" i="5" s="1"/>
  <c r="AS21" i="5"/>
  <c r="AX21" i="5" s="1"/>
  <c r="AS22" i="5"/>
  <c r="AX22" i="5" s="1"/>
  <c r="AS23" i="5"/>
  <c r="AX23" i="5" s="1"/>
  <c r="AS24" i="5"/>
  <c r="AX24" i="5" s="1"/>
  <c r="AS25" i="5"/>
  <c r="AX25" i="5" s="1"/>
  <c r="AS26" i="5"/>
  <c r="AX26" i="5" s="1"/>
  <c r="AS27" i="5"/>
  <c r="AX27" i="5" s="1"/>
  <c r="AS28" i="5"/>
  <c r="AX28" i="5" s="1"/>
  <c r="AS29" i="5"/>
  <c r="AX29" i="5" s="1"/>
  <c r="AS30" i="5"/>
  <c r="AT30" i="5" s="1"/>
  <c r="AY30" i="5" s="1"/>
  <c r="AS31" i="5"/>
  <c r="AX31" i="5" s="1"/>
  <c r="AS32" i="5"/>
  <c r="AX32" i="5" s="1"/>
  <c r="AS33" i="5"/>
  <c r="AT33" i="5" s="1"/>
  <c r="AS34" i="5"/>
  <c r="AX34" i="5" s="1"/>
  <c r="AS35" i="5"/>
  <c r="AX35" i="5" s="1"/>
  <c r="AS36" i="5"/>
  <c r="AT36" i="5" s="1"/>
  <c r="AS37" i="5"/>
  <c r="AT37" i="5" s="1"/>
  <c r="AS38" i="5"/>
  <c r="AX38" i="5" s="1"/>
  <c r="AS39" i="5"/>
  <c r="AX39" i="5" s="1"/>
  <c r="AS40" i="5"/>
  <c r="AX40" i="5" s="1"/>
  <c r="AS41" i="5"/>
  <c r="AX41" i="5" s="1"/>
  <c r="AS42" i="5"/>
  <c r="AX42" i="5" s="1"/>
  <c r="AS43" i="5"/>
  <c r="AX43" i="5" s="1"/>
  <c r="AS44" i="5"/>
  <c r="AX44" i="5" s="1"/>
  <c r="AS45" i="5"/>
  <c r="AX45" i="5" s="1"/>
  <c r="AS46" i="5"/>
  <c r="AT46" i="5" s="1"/>
  <c r="AY46" i="5" s="1"/>
  <c r="AS47" i="5"/>
  <c r="AX47" i="5" s="1"/>
  <c r="AS48" i="5"/>
  <c r="AX48" i="5" s="1"/>
  <c r="AS2" i="5"/>
  <c r="AX2" i="5" s="1"/>
  <c r="N21" i="12" l="1"/>
  <c r="N25" i="12"/>
  <c r="N29" i="12"/>
  <c r="N34" i="12"/>
  <c r="L40" i="12"/>
  <c r="F40" i="12"/>
  <c r="F41" i="12" s="1"/>
  <c r="F43" i="12" s="1"/>
  <c r="AB45" i="12"/>
  <c r="J39" i="12"/>
  <c r="G41" i="12"/>
  <c r="H41" i="12"/>
  <c r="N39" i="12"/>
  <c r="AA39" i="12"/>
  <c r="L41" i="12"/>
  <c r="F52" i="12"/>
  <c r="F56" i="12" s="1"/>
  <c r="F60" i="12" s="1"/>
  <c r="AA38" i="12"/>
  <c r="AV14" i="5"/>
  <c r="BC14" i="5" s="1"/>
  <c r="AT48" i="5"/>
  <c r="AY48" i="5" s="1"/>
  <c r="AT35" i="5"/>
  <c r="BA35" i="5" s="1"/>
  <c r="AT10" i="5"/>
  <c r="AV10" i="5" s="1"/>
  <c r="AX30" i="5"/>
  <c r="AT47" i="5"/>
  <c r="AZ47" i="5" s="1"/>
  <c r="AT34" i="5"/>
  <c r="AV34" i="5" s="1"/>
  <c r="AX46" i="5"/>
  <c r="AT11" i="5"/>
  <c r="AT32" i="5"/>
  <c r="AT19" i="5"/>
  <c r="AZ19" i="5" s="1"/>
  <c r="AT43" i="5"/>
  <c r="AT31" i="5"/>
  <c r="BD31" i="5" s="1"/>
  <c r="AT18" i="5"/>
  <c r="AV18" i="5" s="1"/>
  <c r="AT6" i="5"/>
  <c r="AV6" i="5" s="1"/>
  <c r="AT42" i="5"/>
  <c r="AT16" i="5"/>
  <c r="BH16" i="5" s="1"/>
  <c r="AT3" i="5"/>
  <c r="BI3" i="5" s="1"/>
  <c r="AT40" i="5"/>
  <c r="AV40" i="5" s="1"/>
  <c r="AT27" i="5"/>
  <c r="AX14" i="5"/>
  <c r="AT39" i="5"/>
  <c r="BA39" i="5" s="1"/>
  <c r="AT26" i="5"/>
  <c r="AV26" i="5" s="1"/>
  <c r="CD36" i="5"/>
  <c r="CK36" i="5"/>
  <c r="CE36" i="5"/>
  <c r="CI36" i="5"/>
  <c r="CF36" i="5"/>
  <c r="BV36" i="5"/>
  <c r="BR36" i="5"/>
  <c r="BF36" i="5"/>
  <c r="BY36" i="5"/>
  <c r="BW36" i="5"/>
  <c r="BJ36" i="5"/>
  <c r="CA36" i="5"/>
  <c r="BI36" i="5"/>
  <c r="BH36" i="5"/>
  <c r="CC36" i="5"/>
  <c r="BE36" i="5"/>
  <c r="BQ36" i="5"/>
  <c r="BT36" i="5"/>
  <c r="BM36" i="5"/>
  <c r="BU36" i="5"/>
  <c r="BS36" i="5"/>
  <c r="BA36" i="5"/>
  <c r="BG36" i="5"/>
  <c r="BK36" i="5"/>
  <c r="AZ36" i="5"/>
  <c r="AU36" i="5"/>
  <c r="BB36" i="5" s="1"/>
  <c r="AY36" i="5"/>
  <c r="AV36" i="5"/>
  <c r="BC36" i="5" s="1"/>
  <c r="CJ20" i="5"/>
  <c r="CD20" i="5"/>
  <c r="CK20" i="5"/>
  <c r="CE20" i="5"/>
  <c r="CI20" i="5"/>
  <c r="CG20" i="5"/>
  <c r="CF20" i="5"/>
  <c r="BV20" i="5"/>
  <c r="BY20" i="5"/>
  <c r="BW20" i="5"/>
  <c r="BR20" i="5"/>
  <c r="BL20" i="5"/>
  <c r="BF20" i="5"/>
  <c r="BN20" i="5"/>
  <c r="BJ20" i="5"/>
  <c r="BB20" i="5"/>
  <c r="CH20" i="5"/>
  <c r="CA20" i="5"/>
  <c r="BT20" i="5"/>
  <c r="BZ20" i="5"/>
  <c r="BQ20" i="5"/>
  <c r="CC20" i="5"/>
  <c r="BX20" i="5"/>
  <c r="BM20" i="5"/>
  <c r="BK20" i="5"/>
  <c r="BH20" i="5"/>
  <c r="BS20" i="5"/>
  <c r="BE20" i="5"/>
  <c r="BU20" i="5"/>
  <c r="BG20" i="5"/>
  <c r="BA20" i="5"/>
  <c r="AZ20" i="5"/>
  <c r="AU20" i="5"/>
  <c r="AY20" i="5"/>
  <c r="BI20" i="5"/>
  <c r="AV20" i="5"/>
  <c r="BO20" i="5" s="1"/>
  <c r="CD12" i="5"/>
  <c r="CK12" i="5"/>
  <c r="CE12" i="5"/>
  <c r="CI12" i="5"/>
  <c r="CF12" i="5"/>
  <c r="BV12" i="5"/>
  <c r="BR12" i="5"/>
  <c r="BF12" i="5"/>
  <c r="CA12" i="5"/>
  <c r="BT12" i="5"/>
  <c r="BJ12" i="5"/>
  <c r="CC12" i="5"/>
  <c r="BS12" i="5"/>
  <c r="BY12" i="5"/>
  <c r="BW12" i="5"/>
  <c r="BO12" i="5"/>
  <c r="BU12" i="5"/>
  <c r="BQ12" i="5"/>
  <c r="BM12" i="5"/>
  <c r="BH12" i="5"/>
  <c r="BA12" i="5"/>
  <c r="BK12" i="5"/>
  <c r="BE12" i="5"/>
  <c r="AY12" i="5"/>
  <c r="AU12" i="5"/>
  <c r="BB12" i="5" s="1"/>
  <c r="BI12" i="5"/>
  <c r="BG12" i="5"/>
  <c r="AZ12" i="5"/>
  <c r="AV12" i="5"/>
  <c r="BC12" i="5" s="1"/>
  <c r="CD33" i="5"/>
  <c r="CK33" i="5"/>
  <c r="CG33" i="5"/>
  <c r="CE33" i="5"/>
  <c r="BU33" i="5"/>
  <c r="CI33" i="5"/>
  <c r="CA33" i="5"/>
  <c r="BM33" i="5"/>
  <c r="BI33" i="5"/>
  <c r="BA33" i="5"/>
  <c r="BQ33" i="5"/>
  <c r="BE33" i="5"/>
  <c r="BS33" i="5"/>
  <c r="BW33" i="5"/>
  <c r="BR33" i="5"/>
  <c r="BV33" i="5"/>
  <c r="BT33" i="5"/>
  <c r="BY33" i="5"/>
  <c r="BK33" i="5"/>
  <c r="BF33" i="5"/>
  <c r="CC33" i="5"/>
  <c r="BJ33" i="5"/>
  <c r="CF33" i="5"/>
  <c r="BH33" i="5"/>
  <c r="AU33" i="5"/>
  <c r="BB33" i="5" s="1"/>
  <c r="AV33" i="5"/>
  <c r="BC33" i="5" s="1"/>
  <c r="AZ33" i="5"/>
  <c r="AY33" i="5"/>
  <c r="BG33" i="5"/>
  <c r="CA37" i="5"/>
  <c r="CD37" i="5"/>
  <c r="CK37" i="5"/>
  <c r="CE37" i="5"/>
  <c r="BU37" i="5"/>
  <c r="CC37" i="5"/>
  <c r="BV37" i="5"/>
  <c r="BQ37" i="5"/>
  <c r="BE37" i="5"/>
  <c r="CF37" i="5"/>
  <c r="BM37" i="5"/>
  <c r="BI37" i="5"/>
  <c r="BA37" i="5"/>
  <c r="BT37" i="5"/>
  <c r="CI37" i="5"/>
  <c r="BY37" i="5"/>
  <c r="BS37" i="5"/>
  <c r="BR37" i="5"/>
  <c r="BG37" i="5"/>
  <c r="BW37" i="5"/>
  <c r="BK37" i="5"/>
  <c r="BF37" i="5"/>
  <c r="AY37" i="5"/>
  <c r="BH37" i="5"/>
  <c r="AU37" i="5"/>
  <c r="BB37" i="5" s="1"/>
  <c r="AV37" i="5"/>
  <c r="BO37" i="5" s="1"/>
  <c r="BJ37" i="5"/>
  <c r="AZ37" i="5"/>
  <c r="CC43" i="5"/>
  <c r="CK43" i="5"/>
  <c r="CE43" i="5"/>
  <c r="CI43" i="5"/>
  <c r="CF43" i="5"/>
  <c r="BY43" i="5"/>
  <c r="BW43" i="5"/>
  <c r="BU43" i="5"/>
  <c r="BS43" i="5"/>
  <c r="BG43" i="5"/>
  <c r="AY43" i="5"/>
  <c r="BK43" i="5"/>
  <c r="CA43" i="5"/>
  <c r="BH43" i="5"/>
  <c r="CD43" i="5"/>
  <c r="BV43" i="5"/>
  <c r="BR43" i="5"/>
  <c r="BM43" i="5"/>
  <c r="BD43" i="5"/>
  <c r="BJ43" i="5"/>
  <c r="BF43" i="5"/>
  <c r="BA43" i="5"/>
  <c r="BP43" i="5" s="1"/>
  <c r="BI43" i="5"/>
  <c r="BT43" i="5"/>
  <c r="BQ43" i="5"/>
  <c r="BE43" i="5"/>
  <c r="AZ43" i="5"/>
  <c r="CC27" i="5"/>
  <c r="CK27" i="5"/>
  <c r="CE27" i="5"/>
  <c r="CI27" i="5"/>
  <c r="CF27" i="5"/>
  <c r="BY27" i="5"/>
  <c r="BW27" i="5"/>
  <c r="BS27" i="5"/>
  <c r="BG27" i="5"/>
  <c r="AY27" i="5"/>
  <c r="BU27" i="5"/>
  <c r="BK27" i="5"/>
  <c r="BT27" i="5"/>
  <c r="CA27" i="5"/>
  <c r="BM27" i="5"/>
  <c r="BV27" i="5"/>
  <c r="BR27" i="5"/>
  <c r="BQ27" i="5"/>
  <c r="BD27" i="5"/>
  <c r="CD27" i="5"/>
  <c r="BH27" i="5"/>
  <c r="CG11" i="5"/>
  <c r="CC11" i="5"/>
  <c r="CK11" i="5"/>
  <c r="CE11" i="5"/>
  <c r="CJ11" i="5"/>
  <c r="CI11" i="5"/>
  <c r="CF11" i="5"/>
  <c r="CH11" i="5"/>
  <c r="BY11" i="5"/>
  <c r="BW11" i="5"/>
  <c r="BU11" i="5"/>
  <c r="BS11" i="5"/>
  <c r="BG11" i="5"/>
  <c r="AY11" i="5"/>
  <c r="BK11" i="5"/>
  <c r="BZ11" i="5"/>
  <c r="BH11" i="5"/>
  <c r="BV11" i="5"/>
  <c r="CD11" i="5"/>
  <c r="BX11" i="5"/>
  <c r="BR11" i="5"/>
  <c r="BM11" i="5"/>
  <c r="BJ11" i="5"/>
  <c r="BD11" i="5"/>
  <c r="CA11" i="5"/>
  <c r="BI11" i="5"/>
  <c r="BF11" i="5"/>
  <c r="BA11" i="5"/>
  <c r="BP11" i="5" s="1"/>
  <c r="CB11" i="5" s="1"/>
  <c r="BQ11" i="5"/>
  <c r="BL11" i="5"/>
  <c r="BT11" i="5"/>
  <c r="BE11" i="5"/>
  <c r="AZ11" i="5"/>
  <c r="CD34" i="5"/>
  <c r="CK34" i="5"/>
  <c r="CI34" i="5"/>
  <c r="CF34" i="5"/>
  <c r="BT34" i="5"/>
  <c r="BH34" i="5"/>
  <c r="AZ34" i="5"/>
  <c r="CA34" i="5"/>
  <c r="BD34" i="5"/>
  <c r="BW34" i="5"/>
  <c r="BY34" i="5"/>
  <c r="BU34" i="5"/>
  <c r="BK34" i="5"/>
  <c r="BJ34" i="5"/>
  <c r="BQ34" i="5"/>
  <c r="BG34" i="5"/>
  <c r="BV34" i="5"/>
  <c r="BM34" i="5"/>
  <c r="CE34" i="5"/>
  <c r="AY34" i="5"/>
  <c r="BS34" i="5"/>
  <c r="CC34" i="5"/>
  <c r="BR34" i="5"/>
  <c r="BO34" i="5"/>
  <c r="BC34" i="5"/>
  <c r="CD26" i="5"/>
  <c r="CK26" i="5"/>
  <c r="CF26" i="5"/>
  <c r="CC26" i="5"/>
  <c r="BV26" i="5"/>
  <c r="BT26" i="5"/>
  <c r="BH26" i="5"/>
  <c r="AZ26" i="5"/>
  <c r="BP26" i="5"/>
  <c r="BO26" i="5"/>
  <c r="BI26" i="5"/>
  <c r="BY26" i="5"/>
  <c r="BS26" i="5"/>
  <c r="BU26" i="5"/>
  <c r="CE26" i="5"/>
  <c r="BE26" i="5"/>
  <c r="BR26" i="5"/>
  <c r="BW26" i="5"/>
  <c r="BG26" i="5"/>
  <c r="BQ26" i="5"/>
  <c r="CA26" i="5"/>
  <c r="BM26" i="5"/>
  <c r="BF26" i="5"/>
  <c r="BA26" i="5"/>
  <c r="CC18" i="5"/>
  <c r="CD18" i="5"/>
  <c r="BT18" i="5"/>
  <c r="CK18" i="5"/>
  <c r="CI18" i="5"/>
  <c r="CF18" i="5"/>
  <c r="CA18" i="5"/>
  <c r="BH18" i="5"/>
  <c r="AZ18" i="5"/>
  <c r="BD18" i="5"/>
  <c r="CE18" i="5"/>
  <c r="BR18" i="5"/>
  <c r="BM18" i="5"/>
  <c r="BW18" i="5"/>
  <c r="BQ18" i="5"/>
  <c r="BY18" i="5"/>
  <c r="BS18" i="5"/>
  <c r="BE18" i="5"/>
  <c r="BV18" i="5"/>
  <c r="BU18" i="5"/>
  <c r="BO18" i="5"/>
  <c r="BJ18" i="5"/>
  <c r="BG18" i="5"/>
  <c r="CC10" i="5"/>
  <c r="CD10" i="5"/>
  <c r="BT10" i="5"/>
  <c r="CK10" i="5"/>
  <c r="CI10" i="5"/>
  <c r="CF10" i="5"/>
  <c r="BH10" i="5"/>
  <c r="AZ10" i="5"/>
  <c r="BV10" i="5"/>
  <c r="BD10" i="5"/>
  <c r="BU10" i="5"/>
  <c r="BG10" i="5"/>
  <c r="BS10" i="5"/>
  <c r="CE10" i="5"/>
  <c r="BO10" i="5"/>
  <c r="CA10" i="5"/>
  <c r="BR10" i="5"/>
  <c r="BQ10" i="5"/>
  <c r="BY10" i="5"/>
  <c r="BM10" i="5"/>
  <c r="BE10" i="5"/>
  <c r="BW10" i="5"/>
  <c r="BK10" i="5"/>
  <c r="AU10" i="5"/>
  <c r="BB10" i="5" s="1"/>
  <c r="AU18" i="5"/>
  <c r="BN18" i="5" s="1"/>
  <c r="AU26" i="5"/>
  <c r="BN26" i="5" s="1"/>
  <c r="AU34" i="5"/>
  <c r="BB34" i="5" s="1"/>
  <c r="AU42" i="5"/>
  <c r="AV3" i="5"/>
  <c r="AV11" i="5"/>
  <c r="BO11" i="5" s="1"/>
  <c r="AV19" i="5"/>
  <c r="AV27" i="5"/>
  <c r="BC27" i="5" s="1"/>
  <c r="AV35" i="5"/>
  <c r="AV43" i="5"/>
  <c r="BC43" i="5" s="1"/>
  <c r="AX33" i="5"/>
  <c r="BP33" i="5" s="1"/>
  <c r="AT2" i="5"/>
  <c r="AT41" i="5"/>
  <c r="AT25" i="5"/>
  <c r="AT17" i="5"/>
  <c r="AT9" i="5"/>
  <c r="AU3" i="5"/>
  <c r="BB3" i="5" s="1"/>
  <c r="AU11" i="5"/>
  <c r="BB11" i="5" s="1"/>
  <c r="AU19" i="5"/>
  <c r="AU27" i="5"/>
  <c r="BN27" i="5" s="1"/>
  <c r="AU35" i="5"/>
  <c r="AU43" i="5"/>
  <c r="BN43" i="5" s="1"/>
  <c r="AX20" i="5"/>
  <c r="BD20" i="5" s="1"/>
  <c r="AY8" i="5"/>
  <c r="AZ40" i="5"/>
  <c r="BA7" i="5"/>
  <c r="BE46" i="5"/>
  <c r="BE24" i="5"/>
  <c r="BE3" i="5"/>
  <c r="BF7" i="5"/>
  <c r="BI48" i="5"/>
  <c r="BJ38" i="5"/>
  <c r="BJ10" i="5"/>
  <c r="AX36" i="5"/>
  <c r="BP36" i="5" s="1"/>
  <c r="BA42" i="5"/>
  <c r="BA27" i="5"/>
  <c r="BP27" i="5" s="1"/>
  <c r="BA6" i="5"/>
  <c r="BD40" i="5"/>
  <c r="BD19" i="5"/>
  <c r="BE23" i="5"/>
  <c r="BF27" i="5"/>
  <c r="BF6" i="5"/>
  <c r="BG32" i="5"/>
  <c r="BI46" i="5"/>
  <c r="BI18" i="5"/>
  <c r="BJ7" i="5"/>
  <c r="BK26" i="5"/>
  <c r="BM47" i="5"/>
  <c r="CD48" i="5"/>
  <c r="CK48" i="5"/>
  <c r="CE48" i="5"/>
  <c r="CI48" i="5"/>
  <c r="CF48" i="5"/>
  <c r="BV48" i="5"/>
  <c r="CC48" i="5"/>
  <c r="BJ48" i="5"/>
  <c r="BU48" i="5"/>
  <c r="BR48" i="5"/>
  <c r="BF48" i="5"/>
  <c r="BT48" i="5"/>
  <c r="CA48" i="5"/>
  <c r="BW48" i="5"/>
  <c r="BS48" i="5"/>
  <c r="BY48" i="5"/>
  <c r="BQ48" i="5"/>
  <c r="BM48" i="5"/>
  <c r="BK48" i="5"/>
  <c r="BG48" i="5"/>
  <c r="BD48" i="5"/>
  <c r="CD24" i="5"/>
  <c r="CK24" i="5"/>
  <c r="CE24" i="5"/>
  <c r="CI24" i="5"/>
  <c r="CF24" i="5"/>
  <c r="BV24" i="5"/>
  <c r="BJ24" i="5"/>
  <c r="BR24" i="5"/>
  <c r="BF24" i="5"/>
  <c r="CC24" i="5"/>
  <c r="BQ24" i="5"/>
  <c r="BK24" i="5"/>
  <c r="BU24" i="5"/>
  <c r="BY24" i="5"/>
  <c r="BG24" i="5"/>
  <c r="BW24" i="5"/>
  <c r="BI24" i="5"/>
  <c r="BD24" i="5"/>
  <c r="AY24" i="5"/>
  <c r="BT24" i="5"/>
  <c r="CA24" i="5"/>
  <c r="BM24" i="5"/>
  <c r="BH24" i="5"/>
  <c r="BA24" i="5"/>
  <c r="BP24" i="5" s="1"/>
  <c r="CB24" i="5" s="1"/>
  <c r="BS24" i="5"/>
  <c r="AV22" i="5"/>
  <c r="BO22" i="5" s="1"/>
  <c r="AV30" i="5"/>
  <c r="BC30" i="5" s="1"/>
  <c r="AV38" i="5"/>
  <c r="BO38" i="5" s="1"/>
  <c r="AV46" i="5"/>
  <c r="BO46" i="5" s="1"/>
  <c r="AX37" i="5"/>
  <c r="BP37" i="5" s="1"/>
  <c r="AY32" i="5"/>
  <c r="AY18" i="5"/>
  <c r="AZ23" i="5"/>
  <c r="AZ8" i="5"/>
  <c r="BA40" i="5"/>
  <c r="BP40" i="5" s="1"/>
  <c r="BA23" i="5"/>
  <c r="BP23" i="5" s="1"/>
  <c r="BC10" i="5"/>
  <c r="BE40" i="5"/>
  <c r="BE19" i="5"/>
  <c r="BF23" i="5"/>
  <c r="BI42" i="5"/>
  <c r="BJ31" i="5"/>
  <c r="BJ3" i="5"/>
  <c r="CK46" i="5"/>
  <c r="CI46" i="5"/>
  <c r="CF46" i="5"/>
  <c r="CD46" i="5"/>
  <c r="BD46" i="5"/>
  <c r="BY46" i="5"/>
  <c r="BW46" i="5"/>
  <c r="BT46" i="5"/>
  <c r="BH46" i="5"/>
  <c r="AZ46" i="5"/>
  <c r="BQ46" i="5"/>
  <c r="CE46" i="5"/>
  <c r="CA46" i="5"/>
  <c r="CC46" i="5"/>
  <c r="BU46" i="5"/>
  <c r="BM46" i="5"/>
  <c r="BS46" i="5"/>
  <c r="BV46" i="5"/>
  <c r="BR46" i="5"/>
  <c r="BF46" i="5"/>
  <c r="CK14" i="5"/>
  <c r="CI14" i="5"/>
  <c r="CF14" i="5"/>
  <c r="CC14" i="5"/>
  <c r="CD14" i="5"/>
  <c r="BT14" i="5"/>
  <c r="BD14" i="5"/>
  <c r="BY14" i="5"/>
  <c r="BW14" i="5"/>
  <c r="BH14" i="5"/>
  <c r="AZ14" i="5"/>
  <c r="BQ14" i="5"/>
  <c r="CE14" i="5"/>
  <c r="BV14" i="5"/>
  <c r="BM14" i="5"/>
  <c r="BS14" i="5"/>
  <c r="CA14" i="5"/>
  <c r="BU14" i="5"/>
  <c r="BR14" i="5"/>
  <c r="BO14" i="5"/>
  <c r="BI14" i="5"/>
  <c r="BF14" i="5"/>
  <c r="BA14" i="5"/>
  <c r="BP14" i="5" s="1"/>
  <c r="AX12" i="5"/>
  <c r="BD12" i="5" s="1"/>
  <c r="AY16" i="5"/>
  <c r="AZ48" i="5"/>
  <c r="AZ35" i="5"/>
  <c r="BE38" i="5"/>
  <c r="BE16" i="5"/>
  <c r="BF42" i="5"/>
  <c r="BG46" i="5"/>
  <c r="BH48" i="5"/>
  <c r="BH19" i="5"/>
  <c r="BI10" i="5"/>
  <c r="BJ27" i="5"/>
  <c r="BK46" i="5"/>
  <c r="BK18" i="5"/>
  <c r="CD32" i="5"/>
  <c r="CK32" i="5"/>
  <c r="CE32" i="5"/>
  <c r="CI32" i="5"/>
  <c r="CF32" i="5"/>
  <c r="BV32" i="5"/>
  <c r="BU32" i="5"/>
  <c r="BJ32" i="5"/>
  <c r="CC32" i="5"/>
  <c r="BR32" i="5"/>
  <c r="BF32" i="5"/>
  <c r="BH32" i="5"/>
  <c r="BM32" i="5"/>
  <c r="CA32" i="5"/>
  <c r="BT32" i="5"/>
  <c r="BQ32" i="5"/>
  <c r="BD32" i="5"/>
  <c r="BY32" i="5"/>
  <c r="BP32" i="5"/>
  <c r="BS32" i="5"/>
  <c r="BA32" i="5"/>
  <c r="BW32" i="5"/>
  <c r="BE32" i="5"/>
  <c r="AZ32" i="5"/>
  <c r="CD8" i="5"/>
  <c r="CK8" i="5"/>
  <c r="CE8" i="5"/>
  <c r="CI8" i="5"/>
  <c r="CF8" i="5"/>
  <c r="BV8" i="5"/>
  <c r="CC8" i="5"/>
  <c r="BJ8" i="5"/>
  <c r="BR8" i="5"/>
  <c r="BF8" i="5"/>
  <c r="CA8" i="5"/>
  <c r="BY8" i="5"/>
  <c r="BI8" i="5"/>
  <c r="BU8" i="5"/>
  <c r="BA8" i="5"/>
  <c r="BQ8" i="5"/>
  <c r="BT8" i="5"/>
  <c r="BM8" i="5"/>
  <c r="BW8" i="5"/>
  <c r="BS8" i="5"/>
  <c r="BP8" i="5"/>
  <c r="BG8" i="5"/>
  <c r="CK39" i="5"/>
  <c r="CE39" i="5"/>
  <c r="CI39" i="5"/>
  <c r="CF39" i="5"/>
  <c r="BY39" i="5"/>
  <c r="BW39" i="5"/>
  <c r="CC39" i="5"/>
  <c r="CA39" i="5"/>
  <c r="BK39" i="5"/>
  <c r="CD39" i="5"/>
  <c r="BS39" i="5"/>
  <c r="BG39" i="5"/>
  <c r="AY39" i="5"/>
  <c r="CG39" i="5"/>
  <c r="BR39" i="5"/>
  <c r="BM39" i="5"/>
  <c r="BV39" i="5"/>
  <c r="BU39" i="5"/>
  <c r="BQ39" i="5"/>
  <c r="BJ39" i="5"/>
  <c r="BI39" i="5"/>
  <c r="BE39" i="5"/>
  <c r="AZ39" i="5"/>
  <c r="BT39" i="5"/>
  <c r="BH39" i="5"/>
  <c r="BP39" i="5"/>
  <c r="BD39" i="5"/>
  <c r="CK23" i="5"/>
  <c r="CE23" i="5"/>
  <c r="CI23" i="5"/>
  <c r="CG23" i="5"/>
  <c r="CF23" i="5"/>
  <c r="BY23" i="5"/>
  <c r="BW23" i="5"/>
  <c r="CJ23" i="5"/>
  <c r="CH23" i="5"/>
  <c r="CC23" i="5"/>
  <c r="CD23" i="5"/>
  <c r="BX23" i="5"/>
  <c r="BK23" i="5"/>
  <c r="BC23" i="5"/>
  <c r="CA23" i="5"/>
  <c r="BS23" i="5"/>
  <c r="BG23" i="5"/>
  <c r="AY23" i="5"/>
  <c r="BV23" i="5"/>
  <c r="BJ23" i="5"/>
  <c r="BU23" i="5"/>
  <c r="BR23" i="5"/>
  <c r="BL23" i="5"/>
  <c r="BZ23" i="5"/>
  <c r="BT23" i="5"/>
  <c r="BQ23" i="5"/>
  <c r="BM23" i="5"/>
  <c r="CJ15" i="5"/>
  <c r="CK15" i="5"/>
  <c r="CH15" i="5"/>
  <c r="CE15" i="5"/>
  <c r="CI15" i="5"/>
  <c r="CF15" i="5"/>
  <c r="BY15" i="5"/>
  <c r="BW15" i="5"/>
  <c r="CC15" i="5"/>
  <c r="BV15" i="5"/>
  <c r="BO15" i="5"/>
  <c r="BK15" i="5"/>
  <c r="BX15" i="5"/>
  <c r="BS15" i="5"/>
  <c r="BG15" i="5"/>
  <c r="AY15" i="5"/>
  <c r="CD15" i="5"/>
  <c r="CG15" i="5"/>
  <c r="CA15" i="5"/>
  <c r="BT15" i="5"/>
  <c r="BI15" i="5"/>
  <c r="BL15" i="5"/>
  <c r="BH15" i="5"/>
  <c r="BZ15" i="5"/>
  <c r="BM15" i="5"/>
  <c r="BE15" i="5"/>
  <c r="BJ15" i="5"/>
  <c r="BU15" i="5"/>
  <c r="BR15" i="5"/>
  <c r="BQ15" i="5"/>
  <c r="BF15" i="5"/>
  <c r="BA15" i="5"/>
  <c r="BP15" i="5" s="1"/>
  <c r="CB15" i="5" s="1"/>
  <c r="CK38" i="5"/>
  <c r="CI38" i="5"/>
  <c r="CF38" i="5"/>
  <c r="CD38" i="5"/>
  <c r="CE38" i="5"/>
  <c r="BD38" i="5"/>
  <c r="BU38" i="5"/>
  <c r="BT38" i="5"/>
  <c r="BH38" i="5"/>
  <c r="AZ38" i="5"/>
  <c r="CC38" i="5"/>
  <c r="BV38" i="5"/>
  <c r="BK38" i="5"/>
  <c r="CA38" i="5"/>
  <c r="BR38" i="5"/>
  <c r="BQ38" i="5"/>
  <c r="BY38" i="5"/>
  <c r="BM38" i="5"/>
  <c r="BW38" i="5"/>
  <c r="BS38" i="5"/>
  <c r="AY38" i="5"/>
  <c r="CK30" i="5"/>
  <c r="CI30" i="5"/>
  <c r="CF30" i="5"/>
  <c r="CD30" i="5"/>
  <c r="BY30" i="5"/>
  <c r="BW30" i="5"/>
  <c r="BD30" i="5"/>
  <c r="BT30" i="5"/>
  <c r="BH30" i="5"/>
  <c r="AZ30" i="5"/>
  <c r="CC30" i="5"/>
  <c r="BV30" i="5"/>
  <c r="CA30" i="5"/>
  <c r="BJ30" i="5"/>
  <c r="BO30" i="5"/>
  <c r="BI30" i="5"/>
  <c r="BM30" i="5"/>
  <c r="BK30" i="5"/>
  <c r="BF30" i="5"/>
  <c r="BA30" i="5"/>
  <c r="BP30" i="5" s="1"/>
  <c r="CE30" i="5"/>
  <c r="BU30" i="5"/>
  <c r="BS30" i="5"/>
  <c r="BR30" i="5"/>
  <c r="BQ30" i="5"/>
  <c r="BG30" i="5"/>
  <c r="CK22" i="5"/>
  <c r="CI22" i="5"/>
  <c r="CG22" i="5"/>
  <c r="CF22" i="5"/>
  <c r="CD22" i="5"/>
  <c r="BU22" i="5"/>
  <c r="BD22" i="5"/>
  <c r="CE22" i="5"/>
  <c r="BT22" i="5"/>
  <c r="BH22" i="5"/>
  <c r="AZ22" i="5"/>
  <c r="CA22" i="5"/>
  <c r="BS22" i="5"/>
  <c r="BY22" i="5"/>
  <c r="BR22" i="5"/>
  <c r="BM22" i="5"/>
  <c r="BV22" i="5"/>
  <c r="BW22" i="5"/>
  <c r="BI22" i="5"/>
  <c r="BQ22" i="5"/>
  <c r="CC22" i="5"/>
  <c r="BF22" i="5"/>
  <c r="BA22" i="5"/>
  <c r="BP22" i="5" s="1"/>
  <c r="BK22" i="5"/>
  <c r="BE22" i="5"/>
  <c r="CK6" i="5"/>
  <c r="CI6" i="5"/>
  <c r="CF6" i="5"/>
  <c r="CC6" i="5"/>
  <c r="CG6" i="5"/>
  <c r="CD6" i="5"/>
  <c r="BT6" i="5"/>
  <c r="CE6" i="5"/>
  <c r="BP6" i="5"/>
  <c r="CB6" i="5" s="1"/>
  <c r="BD6" i="5"/>
  <c r="BU6" i="5"/>
  <c r="BH6" i="5"/>
  <c r="AZ6" i="5"/>
  <c r="BW6" i="5"/>
  <c r="BY6" i="5"/>
  <c r="BG6" i="5"/>
  <c r="CA6" i="5"/>
  <c r="BK6" i="5"/>
  <c r="BR6" i="5"/>
  <c r="BN6" i="5"/>
  <c r="BQ6" i="5"/>
  <c r="BC6" i="5"/>
  <c r="BV6" i="5"/>
  <c r="BM6" i="5"/>
  <c r="BS6" i="5"/>
  <c r="BO6" i="5"/>
  <c r="BJ6" i="5"/>
  <c r="AY6" i="5"/>
  <c r="AU6" i="5"/>
  <c r="BB6" i="5" s="1"/>
  <c r="AU14" i="5"/>
  <c r="BN14" i="5" s="1"/>
  <c r="AU22" i="5"/>
  <c r="BN22" i="5" s="1"/>
  <c r="AU30" i="5"/>
  <c r="BB30" i="5" s="1"/>
  <c r="AU38" i="5"/>
  <c r="BB38" i="5" s="1"/>
  <c r="AU46" i="5"/>
  <c r="BN46" i="5" s="1"/>
  <c r="AV7" i="5"/>
  <c r="BO7" i="5" s="1"/>
  <c r="AV15" i="5"/>
  <c r="BC15" i="5" s="1"/>
  <c r="AV23" i="5"/>
  <c r="BO23" i="5" s="1"/>
  <c r="AV31" i="5"/>
  <c r="AV39" i="5"/>
  <c r="BO39" i="5" s="1"/>
  <c r="AV47" i="5"/>
  <c r="BC47" i="5" s="1"/>
  <c r="AT45" i="5"/>
  <c r="AT29" i="5"/>
  <c r="AT21" i="5"/>
  <c r="AT13" i="5"/>
  <c r="AT5" i="5"/>
  <c r="AU15" i="5"/>
  <c r="BN15" i="5" s="1"/>
  <c r="AU23" i="5"/>
  <c r="BB23" i="5" s="1"/>
  <c r="AU31" i="5"/>
  <c r="BN31" i="5" s="1"/>
  <c r="AU39" i="5"/>
  <c r="BN39" i="5" s="1"/>
  <c r="AU47" i="5"/>
  <c r="BB47" i="5" s="1"/>
  <c r="AV8" i="5"/>
  <c r="BC8" i="5" s="1"/>
  <c r="AV16" i="5"/>
  <c r="BC16" i="5" s="1"/>
  <c r="AV24" i="5"/>
  <c r="BC24" i="5" s="1"/>
  <c r="AV32" i="5"/>
  <c r="BC32" i="5" s="1"/>
  <c r="AV48" i="5"/>
  <c r="BO48" i="5" s="1"/>
  <c r="AY42" i="5"/>
  <c r="AY14" i="5"/>
  <c r="BA38" i="5"/>
  <c r="BP38" i="5" s="1"/>
  <c r="BA18" i="5"/>
  <c r="BP18" i="5" s="1"/>
  <c r="CB18" i="5" s="1"/>
  <c r="BB43" i="5"/>
  <c r="BC26" i="5"/>
  <c r="BE35" i="5"/>
  <c r="BE14" i="5"/>
  <c r="BF39" i="5"/>
  <c r="BF18" i="5"/>
  <c r="BG22" i="5"/>
  <c r="BI34" i="5"/>
  <c r="BI6" i="5"/>
  <c r="BK42" i="5"/>
  <c r="BK14" i="5"/>
  <c r="CD40" i="5"/>
  <c r="CK40" i="5"/>
  <c r="CE40" i="5"/>
  <c r="CI40" i="5"/>
  <c r="CF40" i="5"/>
  <c r="BV40" i="5"/>
  <c r="BJ40" i="5"/>
  <c r="BR40" i="5"/>
  <c r="BF40" i="5"/>
  <c r="CC40" i="5"/>
  <c r="BY40" i="5"/>
  <c r="BI40" i="5"/>
  <c r="BW40" i="5"/>
  <c r="BS40" i="5"/>
  <c r="BO40" i="5"/>
  <c r="CA40" i="5"/>
  <c r="BQ40" i="5"/>
  <c r="BT40" i="5"/>
  <c r="BG40" i="5"/>
  <c r="BU40" i="5"/>
  <c r="BM40" i="5"/>
  <c r="BK40" i="5"/>
  <c r="BH40" i="5"/>
  <c r="CD16" i="5"/>
  <c r="CK16" i="5"/>
  <c r="CE16" i="5"/>
  <c r="CI16" i="5"/>
  <c r="CF16" i="5"/>
  <c r="BV16" i="5"/>
  <c r="BJ16" i="5"/>
  <c r="BU16" i="5"/>
  <c r="BR16" i="5"/>
  <c r="BF16" i="5"/>
  <c r="BO16" i="5"/>
  <c r="CA16" i="5"/>
  <c r="BW16" i="5"/>
  <c r="BS16" i="5"/>
  <c r="BQ16" i="5"/>
  <c r="BT16" i="5"/>
  <c r="CC16" i="5"/>
  <c r="BM16" i="5"/>
  <c r="BK16" i="5"/>
  <c r="BG16" i="5"/>
  <c r="BY16" i="5"/>
  <c r="BD16" i="5"/>
  <c r="BI16" i="5"/>
  <c r="CK47" i="5"/>
  <c r="CE47" i="5"/>
  <c r="CI47" i="5"/>
  <c r="CF47" i="5"/>
  <c r="BY47" i="5"/>
  <c r="BW47" i="5"/>
  <c r="CC47" i="5"/>
  <c r="BV47" i="5"/>
  <c r="BK47" i="5"/>
  <c r="BS47" i="5"/>
  <c r="BG47" i="5"/>
  <c r="AY47" i="5"/>
  <c r="BU47" i="5"/>
  <c r="BI47" i="5"/>
  <c r="BH47" i="5"/>
  <c r="CD47" i="5"/>
  <c r="BQ47" i="5"/>
  <c r="BT47" i="5"/>
  <c r="BE47" i="5"/>
  <c r="CA47" i="5"/>
  <c r="BJ47" i="5"/>
  <c r="BR47" i="5"/>
  <c r="BF47" i="5"/>
  <c r="BA47" i="5"/>
  <c r="BP47" i="5" s="1"/>
  <c r="CK31" i="5"/>
  <c r="CE31" i="5"/>
  <c r="CI31" i="5"/>
  <c r="CF31" i="5"/>
  <c r="BY31" i="5"/>
  <c r="BW31" i="5"/>
  <c r="CC31" i="5"/>
  <c r="BO31" i="5"/>
  <c r="BK31" i="5"/>
  <c r="BC31" i="5"/>
  <c r="BV31" i="5"/>
  <c r="BS31" i="5"/>
  <c r="BG31" i="5"/>
  <c r="AY31" i="5"/>
  <c r="CA31" i="5"/>
  <c r="BT31" i="5"/>
  <c r="CD31" i="5"/>
  <c r="BQ31" i="5"/>
  <c r="BM31" i="5"/>
  <c r="BH31" i="5"/>
  <c r="BU31" i="5"/>
  <c r="BR31" i="5"/>
  <c r="BE31" i="5"/>
  <c r="BI31" i="5"/>
  <c r="CK7" i="5"/>
  <c r="CE7" i="5"/>
  <c r="CI7" i="5"/>
  <c r="CF7" i="5"/>
  <c r="BY7" i="5"/>
  <c r="BW7" i="5"/>
  <c r="CJ7" i="5"/>
  <c r="CH7" i="5"/>
  <c r="CC7" i="5"/>
  <c r="BX7" i="5"/>
  <c r="CG7" i="5"/>
  <c r="CA7" i="5"/>
  <c r="BT7" i="5"/>
  <c r="BK7" i="5"/>
  <c r="BC7" i="5"/>
  <c r="CD7" i="5"/>
  <c r="BS7" i="5"/>
  <c r="BG7" i="5"/>
  <c r="AY7" i="5"/>
  <c r="BR7" i="5"/>
  <c r="BM7" i="5"/>
  <c r="BL7" i="5"/>
  <c r="BQ7" i="5"/>
  <c r="BU7" i="5"/>
  <c r="BN7" i="5"/>
  <c r="BI7" i="5"/>
  <c r="BV7" i="5"/>
  <c r="BH7" i="5"/>
  <c r="BE7" i="5"/>
  <c r="AZ7" i="5"/>
  <c r="BP7" i="5"/>
  <c r="BB7" i="5"/>
  <c r="BZ7" i="5"/>
  <c r="BD7" i="5"/>
  <c r="AT44" i="5"/>
  <c r="AT28" i="5"/>
  <c r="AT4" i="5"/>
  <c r="AU8" i="5"/>
  <c r="BN8" i="5" s="1"/>
  <c r="AU16" i="5"/>
  <c r="BN16" i="5" s="1"/>
  <c r="AU24" i="5"/>
  <c r="BN24" i="5" s="1"/>
  <c r="AU32" i="5"/>
  <c r="BN32" i="5" s="1"/>
  <c r="AU40" i="5"/>
  <c r="BB40" i="5" s="1"/>
  <c r="AU48" i="5"/>
  <c r="BB48" i="5" s="1"/>
  <c r="AY26" i="5"/>
  <c r="AZ31" i="5"/>
  <c r="AZ16" i="5"/>
  <c r="AZ3" i="5"/>
  <c r="BA16" i="5"/>
  <c r="BP16" i="5" s="1"/>
  <c r="CB16" i="5" s="1"/>
  <c r="BB42" i="5"/>
  <c r="BC46" i="5"/>
  <c r="BD8" i="5"/>
  <c r="BE34" i="5"/>
  <c r="BF38" i="5"/>
  <c r="BG42" i="5"/>
  <c r="BI32" i="5"/>
  <c r="BJ22" i="5"/>
  <c r="CC35" i="5"/>
  <c r="CK35" i="5"/>
  <c r="CE35" i="5"/>
  <c r="CI35" i="5"/>
  <c r="CF35" i="5"/>
  <c r="BY35" i="5"/>
  <c r="BW35" i="5"/>
  <c r="BS35" i="5"/>
  <c r="BG35" i="5"/>
  <c r="AY35" i="5"/>
  <c r="BO35" i="5"/>
  <c r="BK35" i="5"/>
  <c r="BC35" i="5"/>
  <c r="CD35" i="5"/>
  <c r="BQ35" i="5"/>
  <c r="CA35" i="5"/>
  <c r="BP35" i="5"/>
  <c r="BR35" i="5"/>
  <c r="BN35" i="5"/>
  <c r="BI35" i="5"/>
  <c r="BT35" i="5"/>
  <c r="BV35" i="5"/>
  <c r="BM35" i="5"/>
  <c r="BH35" i="5"/>
  <c r="BD35" i="5"/>
  <c r="BU35" i="5"/>
  <c r="BF35" i="5"/>
  <c r="BJ35" i="5"/>
  <c r="CJ19" i="5"/>
  <c r="CH19" i="5"/>
  <c r="CC19" i="5"/>
  <c r="CK19" i="5"/>
  <c r="CE19" i="5"/>
  <c r="CI19" i="5"/>
  <c r="CG19" i="5"/>
  <c r="CF19" i="5"/>
  <c r="BY19" i="5"/>
  <c r="BX19" i="5"/>
  <c r="BW19" i="5"/>
  <c r="BS19" i="5"/>
  <c r="BG19" i="5"/>
  <c r="AY19" i="5"/>
  <c r="BZ19" i="5"/>
  <c r="BO19" i="5"/>
  <c r="BK19" i="5"/>
  <c r="BC19" i="5"/>
  <c r="BU19" i="5"/>
  <c r="BJ19" i="5"/>
  <c r="BI19" i="5"/>
  <c r="BL19" i="5"/>
  <c r="BQ19" i="5"/>
  <c r="BN19" i="5"/>
  <c r="BT19" i="5"/>
  <c r="BF19" i="5"/>
  <c r="BA19" i="5"/>
  <c r="BP19" i="5" s="1"/>
  <c r="CB19" i="5" s="1"/>
  <c r="BM19" i="5"/>
  <c r="CA19" i="5"/>
  <c r="CD19" i="5"/>
  <c r="BV19" i="5"/>
  <c r="BR19" i="5"/>
  <c r="BB19" i="5"/>
  <c r="CC3" i="5"/>
  <c r="CK3" i="5"/>
  <c r="CE3" i="5"/>
  <c r="CI3" i="5"/>
  <c r="CF3" i="5"/>
  <c r="BY3" i="5"/>
  <c r="BW3" i="5"/>
  <c r="BS3" i="5"/>
  <c r="BG3" i="5"/>
  <c r="AY3" i="5"/>
  <c r="BO3" i="5"/>
  <c r="BK3" i="5"/>
  <c r="BC3" i="5"/>
  <c r="BQ3" i="5"/>
  <c r="CA3" i="5"/>
  <c r="BU3" i="5"/>
  <c r="BN3" i="5"/>
  <c r="BZ3" i="5" s="1"/>
  <c r="BV3" i="5"/>
  <c r="BM3" i="5"/>
  <c r="BH3" i="5"/>
  <c r="BT3" i="5"/>
  <c r="BD3" i="5"/>
  <c r="CD3" i="5"/>
  <c r="BR3" i="5"/>
  <c r="BF3" i="5"/>
  <c r="BA3" i="5"/>
  <c r="BP3" i="5" s="1"/>
  <c r="CB3" i="5" s="1"/>
  <c r="AY40" i="5"/>
  <c r="AY10" i="5"/>
  <c r="AZ15" i="5"/>
  <c r="BA48" i="5"/>
  <c r="BP48" i="5" s="1"/>
  <c r="BA34" i="5"/>
  <c r="BP34" i="5" s="1"/>
  <c r="CB34" i="5" s="1"/>
  <c r="BD47" i="5"/>
  <c r="BE30" i="5"/>
  <c r="BE8" i="5"/>
  <c r="BF34" i="5"/>
  <c r="BG38" i="5"/>
  <c r="BH8" i="5"/>
  <c r="BI27" i="5"/>
  <c r="BJ46" i="5"/>
  <c r="BK8" i="5"/>
  <c r="CD42" i="5"/>
  <c r="CK42" i="5"/>
  <c r="CI42" i="5"/>
  <c r="CF42" i="5"/>
  <c r="BT42" i="5"/>
  <c r="BH42" i="5"/>
  <c r="AZ42" i="5"/>
  <c r="CC42" i="5"/>
  <c r="BV42" i="5"/>
  <c r="BP42" i="5"/>
  <c r="BD42" i="5"/>
  <c r="BY42" i="5"/>
  <c r="CE42" i="5"/>
  <c r="BW42" i="5"/>
  <c r="BU42" i="5"/>
  <c r="BM42" i="5"/>
  <c r="BS42" i="5"/>
  <c r="CA42" i="5"/>
  <c r="BR42" i="5"/>
  <c r="BQ42" i="5"/>
  <c r="BN42" i="5"/>
  <c r="BZ42" i="5" s="1"/>
  <c r="BE42" i="5"/>
  <c r="AY22" i="5"/>
  <c r="AZ27" i="5"/>
  <c r="BA46" i="5"/>
  <c r="BP46" i="5" s="1"/>
  <c r="BA31" i="5"/>
  <c r="BP31" i="5" s="1"/>
  <c r="CB31" i="5" s="1"/>
  <c r="BA10" i="5"/>
  <c r="BP10" i="5" s="1"/>
  <c r="CB10" i="5" s="1"/>
  <c r="BB35" i="5"/>
  <c r="BB14" i="5"/>
  <c r="BC40" i="5"/>
  <c r="BC18" i="5"/>
  <c r="BD23" i="5"/>
  <c r="BE48" i="5"/>
  <c r="BE27" i="5"/>
  <c r="BE6" i="5"/>
  <c r="BF31" i="5"/>
  <c r="BF10" i="5"/>
  <c r="BG14" i="5"/>
  <c r="BI23" i="5"/>
  <c r="BJ42" i="5"/>
  <c r="BJ14" i="5"/>
  <c r="BK32" i="5"/>
  <c r="BX6" i="5"/>
  <c r="BL43" i="5"/>
  <c r="C12" i="7"/>
  <c r="G63" i="12" s="1"/>
  <c r="I63" i="12" s="1"/>
  <c r="C13" i="7"/>
  <c r="C14" i="7"/>
  <c r="E51" i="9"/>
  <c r="BX43" i="5" l="1"/>
  <c r="AC39" i="12"/>
  <c r="AA45" i="12"/>
  <c r="AC45" i="12" s="1"/>
  <c r="BL27" i="5"/>
  <c r="BZ14" i="5"/>
  <c r="BX35" i="5"/>
  <c r="AA44" i="12"/>
  <c r="CB39" i="5"/>
  <c r="F44" i="12"/>
  <c r="F67" i="12"/>
  <c r="BL32" i="5"/>
  <c r="CB7" i="5"/>
  <c r="CB40" i="5"/>
  <c r="BL3" i="5"/>
  <c r="CB14" i="5"/>
  <c r="BX14" i="5"/>
  <c r="CB38" i="5"/>
  <c r="BX38" i="5"/>
  <c r="BZ43" i="5"/>
  <c r="BN11" i="5"/>
  <c r="BZ35" i="5"/>
  <c r="BO47" i="5"/>
  <c r="BL35" i="5"/>
  <c r="BN47" i="5"/>
  <c r="BZ47" i="5" s="1"/>
  <c r="BN40" i="5"/>
  <c r="BZ40" i="5" s="1"/>
  <c r="BZ6" i="5"/>
  <c r="BB46" i="5"/>
  <c r="BZ46" i="5" s="1"/>
  <c r="BJ26" i="5"/>
  <c r="BD26" i="5"/>
  <c r="CI26" i="5"/>
  <c r="BO33" i="5"/>
  <c r="BN30" i="5"/>
  <c r="BZ30" i="5" s="1"/>
  <c r="BN38" i="5"/>
  <c r="BZ38" i="5" s="1"/>
  <c r="BB15" i="5"/>
  <c r="BC37" i="5"/>
  <c r="BD33" i="5"/>
  <c r="BC38" i="5"/>
  <c r="CB32" i="5"/>
  <c r="BB26" i="5"/>
  <c r="BZ26" i="5" s="1"/>
  <c r="BN36" i="5"/>
  <c r="BZ36" i="5" s="1"/>
  <c r="BL38" i="5"/>
  <c r="BB39" i="5"/>
  <c r="BZ39" i="5" s="1"/>
  <c r="BB18" i="5"/>
  <c r="BZ18" i="5" s="1"/>
  <c r="BN37" i="5"/>
  <c r="BC20" i="5"/>
  <c r="CB47" i="5"/>
  <c r="BC22" i="5"/>
  <c r="BN34" i="5"/>
  <c r="BO36" i="5"/>
  <c r="AV42" i="5"/>
  <c r="BO42" i="5" s="1"/>
  <c r="CB48" i="5"/>
  <c r="BX48" i="5"/>
  <c r="CB30" i="5"/>
  <c r="BX30" i="5"/>
  <c r="CB22" i="5"/>
  <c r="BX22" i="5"/>
  <c r="CB27" i="5"/>
  <c r="BX27" i="5"/>
  <c r="CB46" i="5"/>
  <c r="BX46" i="5"/>
  <c r="CB33" i="5"/>
  <c r="BX33" i="5"/>
  <c r="BX36" i="5"/>
  <c r="BZ37" i="5"/>
  <c r="BZ34" i="5"/>
  <c r="BL22" i="5"/>
  <c r="BC39" i="5"/>
  <c r="BO32" i="5"/>
  <c r="BB32" i="5"/>
  <c r="BZ32" i="5" s="1"/>
  <c r="BL24" i="5"/>
  <c r="BX24" i="5"/>
  <c r="CD41" i="5"/>
  <c r="CK41" i="5"/>
  <c r="CE41" i="5"/>
  <c r="BU41" i="5"/>
  <c r="CA41" i="5"/>
  <c r="BY41" i="5"/>
  <c r="BW41" i="5"/>
  <c r="BM41" i="5"/>
  <c r="BI41" i="5"/>
  <c r="BA41" i="5"/>
  <c r="BP41" i="5" s="1"/>
  <c r="BQ41" i="5"/>
  <c r="BE41" i="5"/>
  <c r="BJ41" i="5"/>
  <c r="CI41" i="5"/>
  <c r="BT41" i="5"/>
  <c r="CF41" i="5"/>
  <c r="CC41" i="5"/>
  <c r="BS41" i="5"/>
  <c r="BF41" i="5"/>
  <c r="BR41" i="5"/>
  <c r="BC41" i="5"/>
  <c r="BV41" i="5"/>
  <c r="BG41" i="5"/>
  <c r="AZ41" i="5"/>
  <c r="AU41" i="5"/>
  <c r="BN41" i="5" s="1"/>
  <c r="BK41" i="5"/>
  <c r="BH41" i="5"/>
  <c r="AY41" i="5"/>
  <c r="AV41" i="5"/>
  <c r="BO41" i="5" s="1"/>
  <c r="BD41" i="5"/>
  <c r="BX34" i="5"/>
  <c r="BN33" i="5"/>
  <c r="BZ33" i="5" s="1"/>
  <c r="BP12" i="5"/>
  <c r="BN12" i="5"/>
  <c r="BZ12" i="5" s="1"/>
  <c r="BN23" i="5"/>
  <c r="BN48" i="5"/>
  <c r="BZ48" i="5" s="1"/>
  <c r="CD2" i="5"/>
  <c r="CK2" i="5"/>
  <c r="CE2" i="5"/>
  <c r="BU2" i="5"/>
  <c r="CA2" i="5"/>
  <c r="BM2" i="5"/>
  <c r="BI2" i="5"/>
  <c r="BA2" i="5"/>
  <c r="BQ2" i="5"/>
  <c r="BE2" i="5"/>
  <c r="BW2" i="5"/>
  <c r="BY2" i="5"/>
  <c r="CF2" i="5"/>
  <c r="CI2" i="5"/>
  <c r="BK2" i="5"/>
  <c r="BR2" i="5"/>
  <c r="BC2" i="5"/>
  <c r="CC2" i="5"/>
  <c r="BT2" i="5"/>
  <c r="BH2" i="5"/>
  <c r="AZ2" i="5"/>
  <c r="BS2" i="5"/>
  <c r="BP2" i="5"/>
  <c r="BV2" i="5"/>
  <c r="BJ2" i="5"/>
  <c r="BD2" i="5"/>
  <c r="AY2" i="5"/>
  <c r="AV2" i="5"/>
  <c r="BO2" i="5" s="1"/>
  <c r="BG2" i="5"/>
  <c r="BF2" i="5"/>
  <c r="AU2" i="5"/>
  <c r="BB2" i="5" s="1"/>
  <c r="BO27" i="5"/>
  <c r="BO43" i="5"/>
  <c r="BX37" i="5"/>
  <c r="BD36" i="5"/>
  <c r="CB36" i="5" s="1"/>
  <c r="BX47" i="5"/>
  <c r="BL16" i="5"/>
  <c r="BX40" i="5"/>
  <c r="BL6" i="5"/>
  <c r="BC48" i="5"/>
  <c r="BL39" i="5"/>
  <c r="BC11" i="5"/>
  <c r="BP20" i="5"/>
  <c r="CB20" i="5" s="1"/>
  <c r="CB42" i="5"/>
  <c r="CD4" i="5"/>
  <c r="CK4" i="5"/>
  <c r="CE4" i="5"/>
  <c r="CI4" i="5"/>
  <c r="CF4" i="5"/>
  <c r="BV4" i="5"/>
  <c r="BR4" i="5"/>
  <c r="BF4" i="5"/>
  <c r="BY4" i="5"/>
  <c r="BW4" i="5"/>
  <c r="BJ4" i="5"/>
  <c r="BU4" i="5"/>
  <c r="BI4" i="5"/>
  <c r="CC4" i="5"/>
  <c r="BH4" i="5"/>
  <c r="CA4" i="5"/>
  <c r="BQ4" i="5"/>
  <c r="BE4" i="5"/>
  <c r="BM4" i="5"/>
  <c r="BT4" i="5"/>
  <c r="BS4" i="5"/>
  <c r="BA4" i="5"/>
  <c r="BP4" i="5" s="1"/>
  <c r="BK4" i="5"/>
  <c r="BD4" i="5"/>
  <c r="AZ4" i="5"/>
  <c r="BG4" i="5"/>
  <c r="AY4" i="5"/>
  <c r="AU4" i="5"/>
  <c r="BN4" i="5" s="1"/>
  <c r="AV4" i="5"/>
  <c r="BO4" i="5" s="1"/>
  <c r="BL34" i="5"/>
  <c r="BB22" i="5"/>
  <c r="BZ22" i="5" s="1"/>
  <c r="CI5" i="5"/>
  <c r="CA5" i="5"/>
  <c r="CC5" i="5"/>
  <c r="CD5" i="5"/>
  <c r="CK5" i="5"/>
  <c r="CE5" i="5"/>
  <c r="BU5" i="5"/>
  <c r="BV5" i="5"/>
  <c r="BQ5" i="5"/>
  <c r="BE5" i="5"/>
  <c r="CF5" i="5"/>
  <c r="BM5" i="5"/>
  <c r="BI5" i="5"/>
  <c r="BA5" i="5"/>
  <c r="BP5" i="5" s="1"/>
  <c r="BW5" i="5"/>
  <c r="BT5" i="5"/>
  <c r="BS5" i="5"/>
  <c r="BY5" i="5"/>
  <c r="BK5" i="5"/>
  <c r="BJ5" i="5"/>
  <c r="BG5" i="5"/>
  <c r="BD5" i="5"/>
  <c r="BR5" i="5"/>
  <c r="BF5" i="5"/>
  <c r="BH5" i="5"/>
  <c r="AV5" i="5"/>
  <c r="BO5" i="5" s="1"/>
  <c r="AU5" i="5"/>
  <c r="BB5" i="5" s="1"/>
  <c r="AZ5" i="5"/>
  <c r="AY5" i="5"/>
  <c r="BB8" i="5"/>
  <c r="BZ8" i="5" s="1"/>
  <c r="BB27" i="5"/>
  <c r="BZ27" i="5" s="1"/>
  <c r="BO24" i="5"/>
  <c r="BN10" i="5"/>
  <c r="BZ10" i="5" s="1"/>
  <c r="BX10" i="5"/>
  <c r="BL26" i="5"/>
  <c r="BL12" i="5"/>
  <c r="BL31" i="5"/>
  <c r="BL47" i="5"/>
  <c r="BL40" i="5"/>
  <c r="CD28" i="5"/>
  <c r="CK28" i="5"/>
  <c r="CE28" i="5"/>
  <c r="CI28" i="5"/>
  <c r="CF28" i="5"/>
  <c r="BV28" i="5"/>
  <c r="CA28" i="5"/>
  <c r="BR28" i="5"/>
  <c r="BF28" i="5"/>
  <c r="BJ28" i="5"/>
  <c r="BY28" i="5"/>
  <c r="BW28" i="5"/>
  <c r="BM28" i="5"/>
  <c r="BQ28" i="5"/>
  <c r="BK28" i="5"/>
  <c r="BS28" i="5"/>
  <c r="BU28" i="5"/>
  <c r="BE28" i="5"/>
  <c r="AZ28" i="5"/>
  <c r="CC28" i="5"/>
  <c r="BI28" i="5"/>
  <c r="BT28" i="5"/>
  <c r="BD28" i="5"/>
  <c r="AY28" i="5"/>
  <c r="AU28" i="5"/>
  <c r="BB28" i="5" s="1"/>
  <c r="BG28" i="5"/>
  <c r="BH28" i="5"/>
  <c r="BA28" i="5"/>
  <c r="BP28" i="5" s="1"/>
  <c r="AV28" i="5"/>
  <c r="BC28" i="5" s="1"/>
  <c r="BX31" i="5"/>
  <c r="BB16" i="5"/>
  <c r="BZ16" i="5" s="1"/>
  <c r="CI13" i="5"/>
  <c r="CG13" i="5"/>
  <c r="CA13" i="5"/>
  <c r="CC13" i="5"/>
  <c r="CD13" i="5"/>
  <c r="CK13" i="5"/>
  <c r="CJ13" i="5"/>
  <c r="CE13" i="5"/>
  <c r="BU13" i="5"/>
  <c r="BZ13" i="5"/>
  <c r="BQ13" i="5"/>
  <c r="BE13" i="5"/>
  <c r="BM13" i="5"/>
  <c r="BL13" i="5"/>
  <c r="BI13" i="5"/>
  <c r="BA13" i="5"/>
  <c r="CH13" i="5"/>
  <c r="BY13" i="5"/>
  <c r="BX13" i="5"/>
  <c r="BW13" i="5"/>
  <c r="BK13" i="5"/>
  <c r="BP13" i="5"/>
  <c r="BJ13" i="5"/>
  <c r="BT13" i="5"/>
  <c r="BS13" i="5"/>
  <c r="BG13" i="5"/>
  <c r="BR13" i="5"/>
  <c r="BD13" i="5"/>
  <c r="AY13" i="5"/>
  <c r="CF13" i="5"/>
  <c r="BV13" i="5"/>
  <c r="BC13" i="5"/>
  <c r="AZ13" i="5"/>
  <c r="BF13" i="5"/>
  <c r="BH13" i="5"/>
  <c r="AU13" i="5"/>
  <c r="BB13" i="5" s="1"/>
  <c r="AV13" i="5"/>
  <c r="BO13" i="5" s="1"/>
  <c r="BL30" i="5"/>
  <c r="CB23" i="5"/>
  <c r="CB8" i="5"/>
  <c r="BO8" i="5"/>
  <c r="BX32" i="5"/>
  <c r="BL14" i="5"/>
  <c r="BB24" i="5"/>
  <c r="BZ24" i="5" s="1"/>
  <c r="BL18" i="5"/>
  <c r="BL48" i="5"/>
  <c r="BX18" i="5"/>
  <c r="BL10" i="5"/>
  <c r="BL46" i="5"/>
  <c r="BB31" i="5"/>
  <c r="BZ31" i="5" s="1"/>
  <c r="CG9" i="5"/>
  <c r="CC9" i="5"/>
  <c r="CD9" i="5"/>
  <c r="CK9" i="5"/>
  <c r="CE9" i="5"/>
  <c r="BU9" i="5"/>
  <c r="CI9" i="5"/>
  <c r="CJ9" i="5"/>
  <c r="CH9" i="5"/>
  <c r="CA9" i="5"/>
  <c r="BY9" i="5"/>
  <c r="BW9" i="5"/>
  <c r="BM9" i="5"/>
  <c r="BI9" i="5"/>
  <c r="BA9" i="5"/>
  <c r="BP9" i="5" s="1"/>
  <c r="BQ9" i="5"/>
  <c r="BE9" i="5"/>
  <c r="BV9" i="5"/>
  <c r="BJ9" i="5"/>
  <c r="CF9" i="5"/>
  <c r="BZ9" i="5"/>
  <c r="BX9" i="5"/>
  <c r="BR9" i="5"/>
  <c r="BF9" i="5"/>
  <c r="BL9" i="5"/>
  <c r="BT9" i="5"/>
  <c r="BK9" i="5"/>
  <c r="BH9" i="5"/>
  <c r="BS9" i="5"/>
  <c r="AY9" i="5"/>
  <c r="AU9" i="5"/>
  <c r="BB9" i="5" s="1"/>
  <c r="AV9" i="5"/>
  <c r="BC9" i="5" s="1"/>
  <c r="BD9" i="5"/>
  <c r="BG9" i="5"/>
  <c r="AZ9" i="5"/>
  <c r="BD37" i="5"/>
  <c r="CB37" i="5" s="1"/>
  <c r="BL33" i="5"/>
  <c r="CI21" i="5"/>
  <c r="CA21" i="5"/>
  <c r="CJ21" i="5"/>
  <c r="CH21" i="5"/>
  <c r="CD21" i="5"/>
  <c r="CK21" i="5"/>
  <c r="CE21" i="5"/>
  <c r="BU21" i="5"/>
  <c r="CF21" i="5"/>
  <c r="BQ21" i="5"/>
  <c r="BE21" i="5"/>
  <c r="CC21" i="5"/>
  <c r="BV21" i="5"/>
  <c r="BM21" i="5"/>
  <c r="BI21" i="5"/>
  <c r="BA21" i="5"/>
  <c r="BW21" i="5"/>
  <c r="CG21" i="5"/>
  <c r="BY21" i="5"/>
  <c r="BH21" i="5"/>
  <c r="BR21" i="5"/>
  <c r="BD21" i="5"/>
  <c r="BZ21" i="5"/>
  <c r="BT21" i="5"/>
  <c r="BX21" i="5"/>
  <c r="BP21" i="5"/>
  <c r="BS21" i="5"/>
  <c r="BO21" i="5"/>
  <c r="BJ21" i="5"/>
  <c r="AZ21" i="5"/>
  <c r="BG21" i="5"/>
  <c r="AU21" i="5"/>
  <c r="BB21" i="5" s="1"/>
  <c r="AV21" i="5"/>
  <c r="BC21" i="5" s="1"/>
  <c r="BF21" i="5"/>
  <c r="BK21" i="5"/>
  <c r="BL21" i="5"/>
  <c r="AY21" i="5"/>
  <c r="BL8" i="5"/>
  <c r="BX3" i="5"/>
  <c r="BX42" i="5"/>
  <c r="CB35" i="5"/>
  <c r="CI29" i="5"/>
  <c r="CA29" i="5"/>
  <c r="CD29" i="5"/>
  <c r="CK29" i="5"/>
  <c r="CE29" i="5"/>
  <c r="BU29" i="5"/>
  <c r="BQ29" i="5"/>
  <c r="BE29" i="5"/>
  <c r="BM29" i="5"/>
  <c r="BI29" i="5"/>
  <c r="BA29" i="5"/>
  <c r="BP29" i="5" s="1"/>
  <c r="BR29" i="5"/>
  <c r="BW29" i="5"/>
  <c r="CC29" i="5"/>
  <c r="BV29" i="5"/>
  <c r="BT29" i="5"/>
  <c r="BY29" i="5"/>
  <c r="BS29" i="5"/>
  <c r="BJ29" i="5"/>
  <c r="CF29" i="5"/>
  <c r="BG29" i="5"/>
  <c r="AZ29" i="5"/>
  <c r="BD29" i="5"/>
  <c r="AU29" i="5"/>
  <c r="BN29" i="5" s="1"/>
  <c r="AY29" i="5"/>
  <c r="AV29" i="5"/>
  <c r="BO29" i="5" s="1"/>
  <c r="BK29" i="5"/>
  <c r="BH29" i="5"/>
  <c r="BF29" i="5"/>
  <c r="BX39" i="5"/>
  <c r="BX8" i="5"/>
  <c r="BL42" i="5"/>
  <c r="CJ17" i="5"/>
  <c r="CC17" i="5"/>
  <c r="CH17" i="5"/>
  <c r="CD17" i="5"/>
  <c r="CK17" i="5"/>
  <c r="CE17" i="5"/>
  <c r="BU17" i="5"/>
  <c r="CI17" i="5"/>
  <c r="CG17" i="5"/>
  <c r="CA17" i="5"/>
  <c r="BT17" i="5"/>
  <c r="BM17" i="5"/>
  <c r="BI17" i="5"/>
  <c r="BA17" i="5"/>
  <c r="BQ17" i="5"/>
  <c r="BE17" i="5"/>
  <c r="BZ17" i="5"/>
  <c r="BV17" i="5"/>
  <c r="CF17" i="5"/>
  <c r="BK17" i="5"/>
  <c r="BW17" i="5"/>
  <c r="BX17" i="5"/>
  <c r="BH17" i="5"/>
  <c r="BS17" i="5"/>
  <c r="BP17" i="5"/>
  <c r="CB17" i="5" s="1"/>
  <c r="AZ17" i="5"/>
  <c r="BR17" i="5"/>
  <c r="BY17" i="5"/>
  <c r="BN17" i="5"/>
  <c r="BL17" i="5"/>
  <c r="BD17" i="5"/>
  <c r="AY17" i="5"/>
  <c r="BJ17" i="5"/>
  <c r="BG17" i="5"/>
  <c r="BB17" i="5"/>
  <c r="AU17" i="5"/>
  <c r="BF17" i="5"/>
  <c r="AV17" i="5"/>
  <c r="BC17" i="5" s="1"/>
  <c r="CB26" i="5"/>
  <c r="CB43" i="5"/>
  <c r="CD44" i="5"/>
  <c r="CK44" i="5"/>
  <c r="CE44" i="5"/>
  <c r="CI44" i="5"/>
  <c r="CF44" i="5"/>
  <c r="BV44" i="5"/>
  <c r="BR44" i="5"/>
  <c r="BF44" i="5"/>
  <c r="CA44" i="5"/>
  <c r="BJ44" i="5"/>
  <c r="BS44" i="5"/>
  <c r="BW44" i="5"/>
  <c r="CC44" i="5"/>
  <c r="BT44" i="5"/>
  <c r="BQ44" i="5"/>
  <c r="BU44" i="5"/>
  <c r="BP44" i="5"/>
  <c r="CB44" i="5" s="1"/>
  <c r="BK44" i="5"/>
  <c r="BO44" i="5"/>
  <c r="BY44" i="5"/>
  <c r="BI44" i="5"/>
  <c r="BD44" i="5"/>
  <c r="AZ44" i="5"/>
  <c r="BH44" i="5"/>
  <c r="BG44" i="5"/>
  <c r="AU44" i="5"/>
  <c r="BB44" i="5" s="1"/>
  <c r="AY44" i="5"/>
  <c r="BM44" i="5"/>
  <c r="BE44" i="5"/>
  <c r="BA44" i="5"/>
  <c r="AV44" i="5"/>
  <c r="BC44" i="5" s="1"/>
  <c r="BX16" i="5"/>
  <c r="CA45" i="5"/>
  <c r="CG45" i="5"/>
  <c r="CD45" i="5"/>
  <c r="CK45" i="5"/>
  <c r="CE45" i="5"/>
  <c r="BU45" i="5"/>
  <c r="BQ45" i="5"/>
  <c r="BE45" i="5"/>
  <c r="CI45" i="5"/>
  <c r="BM45" i="5"/>
  <c r="BI45" i="5"/>
  <c r="BA45" i="5"/>
  <c r="CC45" i="5"/>
  <c r="BV45" i="5"/>
  <c r="CF45" i="5"/>
  <c r="BK45" i="5"/>
  <c r="BP45" i="5"/>
  <c r="BJ45" i="5"/>
  <c r="BW45" i="5"/>
  <c r="BT45" i="5"/>
  <c r="BH45" i="5"/>
  <c r="BG45" i="5"/>
  <c r="BS45" i="5"/>
  <c r="BD45" i="5"/>
  <c r="AY45" i="5"/>
  <c r="BR45" i="5"/>
  <c r="BY45" i="5"/>
  <c r="AZ45" i="5"/>
  <c r="AU45" i="5"/>
  <c r="BB45" i="5" s="1"/>
  <c r="AV45" i="5"/>
  <c r="BC45" i="5" s="1"/>
  <c r="BF45" i="5"/>
  <c r="CD25" i="5"/>
  <c r="CK25" i="5"/>
  <c r="CE25" i="5"/>
  <c r="BU25" i="5"/>
  <c r="CI25" i="5"/>
  <c r="CA25" i="5"/>
  <c r="BM25" i="5"/>
  <c r="BI25" i="5"/>
  <c r="BA25" i="5"/>
  <c r="BP25" i="5" s="1"/>
  <c r="BY25" i="5"/>
  <c r="BW25" i="5"/>
  <c r="BQ25" i="5"/>
  <c r="BE25" i="5"/>
  <c r="CF25" i="5"/>
  <c r="CC25" i="5"/>
  <c r="BV25" i="5"/>
  <c r="BH25" i="5"/>
  <c r="BS25" i="5"/>
  <c r="BR25" i="5"/>
  <c r="BT25" i="5"/>
  <c r="BF25" i="5"/>
  <c r="BK25" i="5"/>
  <c r="BD25" i="5"/>
  <c r="AY25" i="5"/>
  <c r="AU25" i="5"/>
  <c r="BB25" i="5" s="1"/>
  <c r="AV25" i="5"/>
  <c r="BO25" i="5" s="1"/>
  <c r="BJ25" i="5"/>
  <c r="BG25" i="5"/>
  <c r="AZ25" i="5"/>
  <c r="BX26" i="5"/>
  <c r="BL37" i="5"/>
  <c r="D14" i="7"/>
  <c r="CB5" i="5" l="1"/>
  <c r="BJ51" i="5"/>
  <c r="BJ52" i="5" s="1"/>
  <c r="BQ51" i="5"/>
  <c r="BQ52" i="5" s="1"/>
  <c r="CD51" i="5"/>
  <c r="CD52" i="5" s="1"/>
  <c r="F45" i="12"/>
  <c r="F75" i="12"/>
  <c r="F80" i="12" s="1"/>
  <c r="BV51" i="5"/>
  <c r="BV52" i="5" s="1"/>
  <c r="BR51" i="5"/>
  <c r="BR52" i="5" s="1"/>
  <c r="BP51" i="5"/>
  <c r="BP52" i="5" s="1"/>
  <c r="BK51" i="5"/>
  <c r="BK52" i="5" s="1"/>
  <c r="BI51" i="5"/>
  <c r="BI52" i="5" s="1"/>
  <c r="BF51" i="5"/>
  <c r="BF52" i="5" s="1"/>
  <c r="BS51" i="5"/>
  <c r="BS52" i="5" s="1"/>
  <c r="CI51" i="5"/>
  <c r="CI52" i="5" s="1"/>
  <c r="BM51" i="5"/>
  <c r="BM52" i="5" s="1"/>
  <c r="BL36" i="5"/>
  <c r="BG51" i="5"/>
  <c r="BG52" i="5" s="1"/>
  <c r="CF51" i="5"/>
  <c r="CF52" i="5" s="1"/>
  <c r="CA51" i="5"/>
  <c r="CA52" i="5" s="1"/>
  <c r="BO51" i="5"/>
  <c r="BO52" i="5" s="1"/>
  <c r="BH51" i="5"/>
  <c r="BH52" i="5" s="1"/>
  <c r="BY51" i="5"/>
  <c r="BY52" i="5" s="1"/>
  <c r="BU51" i="5"/>
  <c r="BU52" i="5" s="1"/>
  <c r="BT51" i="5"/>
  <c r="BT52" i="5" s="1"/>
  <c r="BW51" i="5"/>
  <c r="BW52" i="5" s="1"/>
  <c r="CE51" i="5"/>
  <c r="CE52" i="5" s="1"/>
  <c r="CB45" i="5"/>
  <c r="BD51" i="5"/>
  <c r="BD52" i="5" s="1"/>
  <c r="CC51" i="5"/>
  <c r="CC52" i="5" s="1"/>
  <c r="BE51" i="5"/>
  <c r="BE52" i="5" s="1"/>
  <c r="CK51" i="5"/>
  <c r="CK52" i="5" s="1"/>
  <c r="CB9" i="5"/>
  <c r="BN5" i="5"/>
  <c r="BZ5" i="5" s="1"/>
  <c r="BC42" i="5"/>
  <c r="BN2" i="5"/>
  <c r="BN13" i="5"/>
  <c r="BL45" i="5"/>
  <c r="BB4" i="5"/>
  <c r="BZ4" i="5" s="1"/>
  <c r="BB41" i="5"/>
  <c r="BZ41" i="5" s="1"/>
  <c r="CB28" i="5"/>
  <c r="BX28" i="5"/>
  <c r="CB4" i="5"/>
  <c r="BX4" i="5"/>
  <c r="BC25" i="5"/>
  <c r="BN25" i="5"/>
  <c r="BZ25" i="5" s="1"/>
  <c r="BO45" i="5"/>
  <c r="CB13" i="5"/>
  <c r="BL28" i="5"/>
  <c r="BL5" i="5"/>
  <c r="BC4" i="5"/>
  <c r="BC51" i="5" s="1"/>
  <c r="BC52" i="5" s="1"/>
  <c r="BL2" i="5"/>
  <c r="AX60" i="5" s="1"/>
  <c r="BL41" i="5"/>
  <c r="BN45" i="5"/>
  <c r="BZ45" i="5" s="1"/>
  <c r="CB25" i="5"/>
  <c r="BX25" i="5"/>
  <c r="BL25" i="5"/>
  <c r="BL44" i="5"/>
  <c r="BN44" i="5"/>
  <c r="BZ44" i="5" s="1"/>
  <c r="BO17" i="5"/>
  <c r="BB29" i="5"/>
  <c r="BZ29" i="5" s="1"/>
  <c r="BN21" i="5"/>
  <c r="BN28" i="5"/>
  <c r="BZ28" i="5" s="1"/>
  <c r="BC5" i="5"/>
  <c r="BX5" i="5"/>
  <c r="BX29" i="5"/>
  <c r="BO9" i="5"/>
  <c r="CB12" i="5"/>
  <c r="BX12" i="5"/>
  <c r="CB21" i="5"/>
  <c r="CB41" i="5"/>
  <c r="BX41" i="5"/>
  <c r="BC29" i="5"/>
  <c r="BX44" i="5"/>
  <c r="BL29" i="5"/>
  <c r="BO28" i="5"/>
  <c r="BN9" i="5"/>
  <c r="CB2" i="5"/>
  <c r="CB51" i="5" s="1"/>
  <c r="CB52" i="5" s="1"/>
  <c r="BX2" i="5"/>
  <c r="BX45" i="5"/>
  <c r="CB29" i="5"/>
  <c r="BL4" i="5"/>
  <c r="AB10" i="9"/>
  <c r="BA60" i="5" l="1"/>
  <c r="J8" i="11"/>
  <c r="AX61" i="5"/>
  <c r="I12" i="12"/>
  <c r="G6" i="10"/>
  <c r="H6" i="10" s="1"/>
  <c r="K6" i="10"/>
  <c r="L6" i="10" s="1"/>
  <c r="M12" i="12"/>
  <c r="BX51" i="5"/>
  <c r="BX52" i="5" s="1"/>
  <c r="BL51" i="5"/>
  <c r="BL52" i="5" s="1"/>
  <c r="BZ2" i="5"/>
  <c r="BZ51" i="5" s="1"/>
  <c r="BZ52" i="5" s="1"/>
  <c r="BN51" i="5"/>
  <c r="BN52" i="5" s="1"/>
  <c r="BB51" i="5"/>
  <c r="BB52" i="5" s="1"/>
  <c r="AA11" i="9"/>
  <c r="AC11" i="9"/>
  <c r="AA10" i="9"/>
  <c r="BA61" i="5" l="1"/>
  <c r="M8" i="11"/>
  <c r="I40" i="12"/>
  <c r="J40" i="12" s="1"/>
  <c r="J12" i="12"/>
  <c r="I10" i="12"/>
  <c r="G4" i="10"/>
  <c r="M40" i="12"/>
  <c r="N40" i="12" s="1"/>
  <c r="N12" i="12"/>
  <c r="AX63" i="5"/>
  <c r="J9" i="11"/>
  <c r="AC10" i="9"/>
  <c r="BA63" i="5" l="1"/>
  <c r="M9" i="11"/>
  <c r="J11" i="11"/>
  <c r="AX71" i="5"/>
  <c r="J19" i="11" s="1"/>
  <c r="I13" i="12"/>
  <c r="J13" i="12" s="1"/>
  <c r="I38" i="12"/>
  <c r="J10" i="12"/>
  <c r="G7" i="10"/>
  <c r="H7" i="10" s="1"/>
  <c r="H4" i="10"/>
  <c r="E73" i="9"/>
  <c r="E72" i="9"/>
  <c r="M11" i="11" l="1"/>
  <c r="BA71" i="5"/>
  <c r="M19" i="11" s="1"/>
  <c r="H15" i="12"/>
  <c r="H16" i="12" s="1"/>
  <c r="G15" i="12"/>
  <c r="I41" i="12"/>
  <c r="J38" i="12"/>
  <c r="J41" i="12" s="1"/>
  <c r="F9" i="10"/>
  <c r="F10" i="10" s="1"/>
  <c r="E9" i="10"/>
  <c r="J79" i="9"/>
  <c r="J78" i="9"/>
  <c r="J77" i="9"/>
  <c r="I51" i="12" l="1"/>
  <c r="G51" i="12"/>
  <c r="H51" i="12"/>
  <c r="E10" i="10"/>
  <c r="G9" i="10"/>
  <c r="G10" i="10" s="1"/>
  <c r="H9" i="10"/>
  <c r="H10" i="10" s="1"/>
  <c r="G16" i="12"/>
  <c r="I15" i="12"/>
  <c r="I16" i="12" s="1"/>
  <c r="H63" i="9"/>
  <c r="H43" i="12" l="1"/>
  <c r="H52" i="12"/>
  <c r="H56" i="12" s="1"/>
  <c r="H60" i="12" s="1"/>
  <c r="G52" i="12"/>
  <c r="G56" i="12" s="1"/>
  <c r="G60" i="12" s="1"/>
  <c r="J51" i="12"/>
  <c r="J52" i="12" s="1"/>
  <c r="J56" i="12" s="1"/>
  <c r="J60" i="12" s="1"/>
  <c r="J67" i="12" s="1"/>
  <c r="G43" i="12"/>
  <c r="J15" i="12"/>
  <c r="J16" i="12" s="1"/>
  <c r="I52" i="12"/>
  <c r="I56" i="12" s="1"/>
  <c r="I60" i="12" s="1"/>
  <c r="I43" i="12"/>
  <c r="K8" i="9"/>
  <c r="G44" i="12" l="1"/>
  <c r="G67" i="12"/>
  <c r="G72" i="12"/>
  <c r="G73" i="12"/>
  <c r="I73" i="12" s="1"/>
  <c r="J73" i="12" s="1"/>
  <c r="H68" i="12"/>
  <c r="J68" i="12" s="1"/>
  <c r="M72" i="12"/>
  <c r="O72" i="12"/>
  <c r="I67" i="12"/>
  <c r="I44" i="12"/>
  <c r="L16" i="12"/>
  <c r="J10" i="10"/>
  <c r="H44" i="12"/>
  <c r="H67" i="12"/>
  <c r="J43" i="12"/>
  <c r="K43" i="12" s="1"/>
  <c r="I35" i="9"/>
  <c r="G63" i="9"/>
  <c r="I63" i="9" s="1"/>
  <c r="H45" i="12" l="1"/>
  <c r="H75" i="12"/>
  <c r="H80" i="12" s="1"/>
  <c r="I45" i="12"/>
  <c r="G45" i="12"/>
  <c r="J45" i="12" s="1"/>
  <c r="G75" i="12"/>
  <c r="G80" i="12" s="1"/>
  <c r="J44" i="12"/>
  <c r="K44" i="12" s="1"/>
  <c r="K50" i="9"/>
  <c r="K46" i="12" l="1"/>
  <c r="K45" i="12"/>
  <c r="G8" i="9"/>
  <c r="H8" i="9"/>
  <c r="M20" i="9"/>
  <c r="I71" i="9" l="1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I72" i="12" s="1"/>
  <c r="J72" i="12" s="1"/>
  <c r="M21" i="9" l="1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J30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5" i="5" l="1"/>
  <c r="CH29" i="5"/>
  <c r="CH37" i="5"/>
  <c r="CH45" i="5"/>
  <c r="CJ45" i="5" s="1"/>
  <c r="CH12" i="5"/>
  <c r="CH6" i="5"/>
  <c r="CJ6" i="5" s="1"/>
  <c r="CH14" i="5"/>
  <c r="CH22" i="5"/>
  <c r="CJ22" i="5" s="1"/>
  <c r="CH30" i="5"/>
  <c r="CH38" i="5"/>
  <c r="CH46" i="5"/>
  <c r="CH4" i="5"/>
  <c r="CH31" i="5"/>
  <c r="CH39" i="5"/>
  <c r="CJ39" i="5" s="1"/>
  <c r="CH47" i="5"/>
  <c r="CH36" i="5"/>
  <c r="CH8" i="5"/>
  <c r="CH16" i="5"/>
  <c r="CH24" i="5"/>
  <c r="CH32" i="5"/>
  <c r="CH40" i="5"/>
  <c r="CH48" i="5"/>
  <c r="CH25" i="5"/>
  <c r="CH33" i="5"/>
  <c r="CJ33" i="5" s="1"/>
  <c r="CH41" i="5"/>
  <c r="CH2" i="5"/>
  <c r="CH10" i="5"/>
  <c r="CH18" i="5"/>
  <c r="CH26" i="5"/>
  <c r="CH34" i="5"/>
  <c r="CH42" i="5"/>
  <c r="CH28" i="5"/>
  <c r="CH3" i="5"/>
  <c r="CH27" i="5"/>
  <c r="CH35" i="5"/>
  <c r="CH43" i="5"/>
  <c r="CH44" i="5"/>
  <c r="CG10" i="5"/>
  <c r="CJ10" i="5" s="1"/>
  <c r="CG18" i="5"/>
  <c r="CG26" i="5"/>
  <c r="CJ26" i="5" s="1"/>
  <c r="CG34" i="5"/>
  <c r="CG42" i="5"/>
  <c r="CG8" i="5"/>
  <c r="CG3" i="5"/>
  <c r="CG27" i="5"/>
  <c r="CG35" i="5"/>
  <c r="CJ35" i="5" s="1"/>
  <c r="CG43" i="5"/>
  <c r="CG24" i="5"/>
  <c r="CJ24" i="5" s="1"/>
  <c r="CG4" i="5"/>
  <c r="CG12" i="5"/>
  <c r="CG28" i="5"/>
  <c r="CG36" i="5"/>
  <c r="CG44" i="5"/>
  <c r="CJ44" i="5" s="1"/>
  <c r="CG40" i="5"/>
  <c r="CG5" i="5"/>
  <c r="CJ5" i="5" s="1"/>
  <c r="CG29" i="5"/>
  <c r="CG37" i="5"/>
  <c r="CJ37" i="5" s="1"/>
  <c r="CG14" i="5"/>
  <c r="CG30" i="5"/>
  <c r="CJ30" i="5" s="1"/>
  <c r="CG38" i="5"/>
  <c r="CG46" i="5"/>
  <c r="CJ46" i="5" s="1"/>
  <c r="CG32" i="5"/>
  <c r="CG31" i="5"/>
  <c r="CG47" i="5"/>
  <c r="CG48" i="5"/>
  <c r="CG25" i="5"/>
  <c r="CG41" i="5"/>
  <c r="CJ41" i="5" s="1"/>
  <c r="CG2" i="5"/>
  <c r="CG51" i="5" s="1"/>
  <c r="CG52" i="5" s="1"/>
  <c r="CG16" i="5"/>
  <c r="F43" i="9"/>
  <c r="F44" i="9"/>
  <c r="C19" i="7"/>
  <c r="F4" i="7"/>
  <c r="J74" i="9"/>
  <c r="J41" i="9"/>
  <c r="E13" i="7"/>
  <c r="J16" i="9"/>
  <c r="L16" i="9" s="1"/>
  <c r="F67" i="9"/>
  <c r="F75" i="9" s="1"/>
  <c r="E4" i="7"/>
  <c r="E19" i="7" s="1"/>
  <c r="CJ18" i="5" l="1"/>
  <c r="CJ31" i="5"/>
  <c r="CJ43" i="5"/>
  <c r="CJ32" i="5"/>
  <c r="CJ40" i="5"/>
  <c r="CH51" i="5"/>
  <c r="CH52" i="5" s="1"/>
  <c r="CJ12" i="5"/>
  <c r="CJ47" i="5"/>
  <c r="CJ29" i="5"/>
  <c r="CJ27" i="5"/>
  <c r="CJ16" i="5"/>
  <c r="CJ38" i="5"/>
  <c r="CJ3" i="5"/>
  <c r="CJ2" i="5"/>
  <c r="CJ51" i="5" s="1"/>
  <c r="CJ52" i="5" s="1"/>
  <c r="CJ8" i="5"/>
  <c r="CJ36" i="5"/>
  <c r="CJ28" i="5"/>
  <c r="CJ14" i="5"/>
  <c r="CJ42" i="5"/>
  <c r="CJ25" i="5"/>
  <c r="CJ48" i="5"/>
  <c r="CJ4" i="5"/>
  <c r="CJ34" i="5"/>
  <c r="F80" i="9"/>
  <c r="F45" i="9"/>
  <c r="N22" i="9"/>
  <c r="N21" i="9"/>
  <c r="H51" i="9"/>
  <c r="I51" i="9"/>
  <c r="G51" i="9"/>
  <c r="G43" i="9" s="1"/>
  <c r="K4" i="10" l="1"/>
  <c r="M10" i="12"/>
  <c r="H52" i="9"/>
  <c r="H56" i="9" s="1"/>
  <c r="H60" i="9" s="1"/>
  <c r="H43" i="9"/>
  <c r="N20" i="9"/>
  <c r="G52" i="9"/>
  <c r="G56" i="9" s="1"/>
  <c r="G60" i="9" s="1"/>
  <c r="G44" i="9" s="1"/>
  <c r="J51" i="9"/>
  <c r="J52" i="9" s="1"/>
  <c r="J56" i="9" s="1"/>
  <c r="J60" i="9" s="1"/>
  <c r="I43" i="9"/>
  <c r="I52" i="9"/>
  <c r="I56" i="9" s="1"/>
  <c r="I60" i="9" s="1"/>
  <c r="M13" i="12" l="1"/>
  <c r="M38" i="12"/>
  <c r="N10" i="12"/>
  <c r="N13" i="12" s="1"/>
  <c r="AB10" i="12"/>
  <c r="AC10" i="12" s="1"/>
  <c r="K7" i="10"/>
  <c r="L4" i="10"/>
  <c r="L7" i="10" s="1"/>
  <c r="H44" i="9"/>
  <c r="N41" i="9"/>
  <c r="N38" i="9"/>
  <c r="J43" i="9"/>
  <c r="K43" i="9" s="1"/>
  <c r="I44" i="9"/>
  <c r="I67" i="9"/>
  <c r="M41" i="12" l="1"/>
  <c r="N38" i="12"/>
  <c r="AB38" i="12"/>
  <c r="I45" i="9"/>
  <c r="J44" i="9"/>
  <c r="K44" i="9" s="1"/>
  <c r="AB44" i="12" l="1"/>
  <c r="AC44" i="12" s="1"/>
  <c r="AC38" i="12"/>
  <c r="N41" i="12"/>
  <c r="I69" i="12"/>
  <c r="J67" i="9"/>
  <c r="J69" i="12" l="1"/>
  <c r="J75" i="12" s="1"/>
  <c r="J80" i="12" s="1"/>
  <c r="I75" i="12"/>
  <c r="I80" i="12" s="1"/>
  <c r="G73" i="9"/>
  <c r="G72" i="9"/>
  <c r="H68" i="9"/>
  <c r="J68" i="9" s="1"/>
  <c r="I69" i="9"/>
  <c r="H67" i="9"/>
  <c r="G67" i="9"/>
  <c r="H75" i="9" l="1"/>
  <c r="H80" i="9" s="1"/>
  <c r="G75" i="9"/>
  <c r="H45" i="9"/>
  <c r="G45" i="9"/>
  <c r="J69" i="9"/>
  <c r="J45" i="9" l="1"/>
  <c r="K45" i="9" s="1"/>
  <c r="I73" i="9"/>
  <c r="J73" i="9" s="1"/>
  <c r="O72" i="9"/>
  <c r="I72" i="9"/>
  <c r="M72" i="9"/>
  <c r="I75" i="9" l="1"/>
  <c r="I80" i="9" s="1"/>
  <c r="K46" i="9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EBB79E03-291B-4D11-976B-6151BE87686D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79DE7DAD-F0E7-4C04-BEAE-D36C0424A898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5E985998-B9F6-48F6-8BDE-E93EB74AA755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4816B5DC-BAFB-46BA-8061-3EA8A6F0A6FE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B30461F4-80B2-46C0-89B4-A6AA2D5DE6B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28FC5274-F502-49C4-9016-964C8866556A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A80E65A4-10F1-4307-9777-95DB06642EEE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A4EEF300-6154-4C27-A26A-9BC7329172CA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B67C2965-0154-4CB3-AA41-77158831A03C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7FB5594E-DD01-48A3-A680-E6753B99EBB9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<sst xmlns="http://schemas.openxmlformats.org/spreadsheetml/2006/main" count="1456" uniqueCount="446">
  <si>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</si>
  <si>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</si>
  <si>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</si>
  <si>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</si>
  <si>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</si>
  <si>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</si>
  <si>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</si>
  <si>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</si>
  <si>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</si>
  <si>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</si>
  <si>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</si>
  <si>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</si>
  <si>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</si>
  <si>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</si>
  <si>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</si>
  <si>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</si>
  <si>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</si>
  <si>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</si>
  <si>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</si>
  <si>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</si>
  <si>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</si>
  <si>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</si>
  <si>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</si>
  <si>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</si>
  <si>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</si>
  <si>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</si>
  <si>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</si>
  <si>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</si>
  <si>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</si>
  <si>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</si>
  <si>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</si>
  <si>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</si>
  <si>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</si>
  <si>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</si>
  <si>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</si>
  <si>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</si>
  <si>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</si>
  <si>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</si>
  <si>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</si>
  <si>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</si>
  <si>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</si>
  <si>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</si>
  <si>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</si>
  <si>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</si>
  <si>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</si>
  <si>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</si>
  <si>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</si>
  <si>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</si>
  <si>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</si>
  <si>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</si>
  <si>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</si>
  <si>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</si>
  <si>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</si>
  <si>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</si>
  <si>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</si>
  <si>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</si>
  <si>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</si>
  <si>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</si>
  <si>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</si>
  <si>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</si>
  <si>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</si>
  <si>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Group Positions</t>
  </si>
  <si>
    <t>CEC for Elected Officials &amp; Commissioners</t>
  </si>
  <si>
    <t>PROGRAM MAINTENANCE</t>
  </si>
  <si>
    <t>Line Items:</t>
  </si>
  <si>
    <t>TOTAL REQUEST</t>
  </si>
  <si>
    <t>Transfer Between Programs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</si>
  <si>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</si>
  <si>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</si>
  <si>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</si>
  <si>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</si>
  <si>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</si>
  <si>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</si>
  <si>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</si>
  <si>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</si>
  <si>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</si>
  <si>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</si>
  <si>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</si>
  <si>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</si>
  <si>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</si>
  <si>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</si>
  <si>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</si>
  <si>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</si>
  <si>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</si>
  <si>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</si>
  <si>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</si>
  <si>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</si>
  <si>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</si>
  <si>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</si>
  <si>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</si>
  <si>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</si>
  <si>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</si>
  <si>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</si>
  <si>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</si>
  <si>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</si>
  <si>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</si>
  <si>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</si>
  <si>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</si>
  <si>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</si>
  <si>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</si>
  <si>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</si>
  <si>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</si>
  <si>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</si>
  <si>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</si>
  <si>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</si>
  <si>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</si>
  <si>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</si>
  <si>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</si>
  <si>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</si>
  <si>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</si>
  <si>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</si>
  <si>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</si>
  <si>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</si>
  <si>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</si>
  <si>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</si>
  <si>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</si>
  <si>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</si>
  <si>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</si>
  <si>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</si>
  <si>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</si>
  <si>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</si>
  <si>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</si>
  <si>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</si>
  <si>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</si>
  <si>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</si>
  <si>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</si>
  <si>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</si>
  <si>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</si>
  <si>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</si>
  <si>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</si>
  <si>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</si>
  <si>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</si>
  <si>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</si>
  <si>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</si>
  <si>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</si>
  <si>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</si>
  <si>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</si>
  <si>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</si>
  <si>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</si>
  <si>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</si>
  <si>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</si>
  <si>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</si>
  <si>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</si>
  <si>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</si>
  <si>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</si>
  <si>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</si>
  <si>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</si>
  <si>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</si>
  <si>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</si>
  <si>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</si>
  <si>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</si>
  <si>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</si>
  <si>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</si>
  <si>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</si>
  <si>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</si>
  <si>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</si>
  <si>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</si>
  <si>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</si>
  <si>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</si>
  <si>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</si>
  <si>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</si>
  <si>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2022</t>
  </si>
  <si>
    <t>331</t>
  </si>
  <si>
    <t>6505</t>
  </si>
  <si>
    <t xml:space="preserve">BRAND INSPECTOR     </t>
  </si>
  <si>
    <t>0229</t>
  </si>
  <si>
    <t>15</t>
  </si>
  <si>
    <t>LEAF</t>
  </si>
  <si>
    <t>001</t>
  </si>
  <si>
    <t>00292</t>
  </si>
  <si>
    <t>I</t>
  </si>
  <si>
    <t>F</t>
  </si>
  <si>
    <t>CR</t>
  </si>
  <si>
    <t>WADDELL, KADIN C.</t>
  </si>
  <si>
    <t>WADDELL</t>
  </si>
  <si>
    <t>KADIN</t>
  </si>
  <si>
    <t>C</t>
  </si>
  <si>
    <t xml:space="preserve">HI   </t>
  </si>
  <si>
    <t>H</t>
  </si>
  <si>
    <t>FS</t>
  </si>
  <si>
    <t>E</t>
  </si>
  <si>
    <t>N</t>
  </si>
  <si>
    <t>Y</t>
  </si>
  <si>
    <t xml:space="preserve">    </t>
  </si>
  <si>
    <t>6504</t>
  </si>
  <si>
    <t>MICKELSEN, RICK D.</t>
  </si>
  <si>
    <t>MICKELSEN</t>
  </si>
  <si>
    <t>RICK</t>
  </si>
  <si>
    <t>D</t>
  </si>
  <si>
    <t>6503</t>
  </si>
  <si>
    <t xml:space="preserve">UDY, CALVIN </t>
  </si>
  <si>
    <t>UDY</t>
  </si>
  <si>
    <t>CALVIN</t>
  </si>
  <si>
    <t xml:space="preserve">              </t>
  </si>
  <si>
    <t>6502</t>
  </si>
  <si>
    <t>THOMPSON, RICK L.</t>
  </si>
  <si>
    <t>THOMPSON</t>
  </si>
  <si>
    <t>L</t>
  </si>
  <si>
    <t>6501</t>
  </si>
  <si>
    <t>BRAND INSPECTOR SUPV</t>
  </si>
  <si>
    <t>21124</t>
  </si>
  <si>
    <t>00</t>
  </si>
  <si>
    <t>NR</t>
  </si>
  <si>
    <t>DAVIS, LUKE M.</t>
  </si>
  <si>
    <t>DAVIS</t>
  </si>
  <si>
    <t>LUKE</t>
  </si>
  <si>
    <t>M</t>
  </si>
  <si>
    <t>00000</t>
  </si>
  <si>
    <t>9997</t>
  </si>
  <si>
    <t>V</t>
  </si>
  <si>
    <t>NG</t>
  </si>
  <si>
    <t>6412</t>
  </si>
  <si>
    <t>MECHAM, JASON T.</t>
  </si>
  <si>
    <t>MECHAM</t>
  </si>
  <si>
    <t>JASON</t>
  </si>
  <si>
    <t>T</t>
  </si>
  <si>
    <t>9996</t>
  </si>
  <si>
    <t xml:space="preserve">GROUP POSITION      </t>
  </si>
  <si>
    <t>90000</t>
  </si>
  <si>
    <t>6411</t>
  </si>
  <si>
    <t>OWEN, CODY S.</t>
  </si>
  <si>
    <t>OWEN</t>
  </si>
  <si>
    <t>CODY</t>
  </si>
  <si>
    <t>SHANE</t>
  </si>
  <si>
    <t>9954</t>
  </si>
  <si>
    <t xml:space="preserve">STATE BRAND BOARD   </t>
  </si>
  <si>
    <t>51126</t>
  </si>
  <si>
    <t>6409</t>
  </si>
  <si>
    <t>JENKINS, HESTON L.</t>
  </si>
  <si>
    <t>JENKINS</t>
  </si>
  <si>
    <t>HESTON</t>
  </si>
  <si>
    <t>9953</t>
  </si>
  <si>
    <t>6405</t>
  </si>
  <si>
    <t>CRANE, AUSTIN R.</t>
  </si>
  <si>
    <t>CRANE</t>
  </si>
  <si>
    <t>AUSTIN</t>
  </si>
  <si>
    <t>R</t>
  </si>
  <si>
    <t>9498</t>
  </si>
  <si>
    <t>MANAGEMENT ASSISTANT</t>
  </si>
  <si>
    <t>05272</t>
  </si>
  <si>
    <t>J</t>
  </si>
  <si>
    <t>6404</t>
  </si>
  <si>
    <t>WARD, CLARK W.</t>
  </si>
  <si>
    <t>WARD</t>
  </si>
  <si>
    <t>CLARK</t>
  </si>
  <si>
    <t>W</t>
  </si>
  <si>
    <t>6507</t>
  </si>
  <si>
    <t>6402</t>
  </si>
  <si>
    <t>MCCARTHY, SEAN P.</t>
  </si>
  <si>
    <t>MCCARTHY</t>
  </si>
  <si>
    <t>SEAN</t>
  </si>
  <si>
    <t>P</t>
  </si>
  <si>
    <t>6403</t>
  </si>
  <si>
    <t>6401</t>
  </si>
  <si>
    <t>RICHINS, BOYD A.</t>
  </si>
  <si>
    <t>RICHINS</t>
  </si>
  <si>
    <t>BOYD</t>
  </si>
  <si>
    <t>A</t>
  </si>
  <si>
    <t>6103</t>
  </si>
  <si>
    <t>FINANCIAL TECHNICIAN</t>
  </si>
  <si>
    <t>04248</t>
  </si>
  <si>
    <t>SPENCER, GEORGE W.</t>
  </si>
  <si>
    <t>SPENCER</t>
  </si>
  <si>
    <t>GEORGE</t>
  </si>
  <si>
    <t>6102</t>
  </si>
  <si>
    <t xml:space="preserve">TECH RECORDS SPEC 2 </t>
  </si>
  <si>
    <t>01103</t>
  </si>
  <si>
    <t>6314</t>
  </si>
  <si>
    <t>MILLER, JACOB P.</t>
  </si>
  <si>
    <t>MILLER</t>
  </si>
  <si>
    <t>JACOB</t>
  </si>
  <si>
    <t>6313</t>
  </si>
  <si>
    <t>MOYLE, DAVID J.</t>
  </si>
  <si>
    <t>MOYLE</t>
  </si>
  <si>
    <t>DAVID</t>
  </si>
  <si>
    <t>6309</t>
  </si>
  <si>
    <t>FOUST, EASTON H.</t>
  </si>
  <si>
    <t>FOUST</t>
  </si>
  <si>
    <t>EASTON</t>
  </si>
  <si>
    <t>6308</t>
  </si>
  <si>
    <t>PASKETT, JOSHUA D.</t>
  </si>
  <si>
    <t>PASKETT</t>
  </si>
  <si>
    <t>JOSHUA</t>
  </si>
  <si>
    <t>6307</t>
  </si>
  <si>
    <t>ALLEN, PETER J.</t>
  </si>
  <si>
    <t>ALLEN</t>
  </si>
  <si>
    <t>PETER</t>
  </si>
  <si>
    <t>6305</t>
  </si>
  <si>
    <t>DENNIS, CASEY L.</t>
  </si>
  <si>
    <t>DENNIS</t>
  </si>
  <si>
    <t>CASEY</t>
  </si>
  <si>
    <t>6304</t>
  </si>
  <si>
    <t xml:space="preserve">FLINT, DIXON </t>
  </si>
  <si>
    <t>FLINT</t>
  </si>
  <si>
    <t>DIXON</t>
  </si>
  <si>
    <t>6303</t>
  </si>
  <si>
    <t>LOVE, DARRELL G.</t>
  </si>
  <si>
    <t>LOVE</t>
  </si>
  <si>
    <t>DARRELL</t>
  </si>
  <si>
    <t>GENE</t>
  </si>
  <si>
    <t>6302</t>
  </si>
  <si>
    <t>KINZER, SANDRA M.</t>
  </si>
  <si>
    <t>KINZER</t>
  </si>
  <si>
    <t>SANDRA</t>
  </si>
  <si>
    <t>6301</t>
  </si>
  <si>
    <t>FLINT, SKYLER W.</t>
  </si>
  <si>
    <t>SKYLER</t>
  </si>
  <si>
    <t>6521</t>
  </si>
  <si>
    <t>OLMSTEAD, TAMMY L.</t>
  </si>
  <si>
    <t>OLMSTEAD</t>
  </si>
  <si>
    <t>TAMMY</t>
  </si>
  <si>
    <t>6207</t>
  </si>
  <si>
    <t>OLSON, GREG L.</t>
  </si>
  <si>
    <t>OLSON</t>
  </si>
  <si>
    <t>GREG</t>
  </si>
  <si>
    <t>6520</t>
  </si>
  <si>
    <t>STRADLEY, TYLER C.</t>
  </si>
  <si>
    <t>STRADLEY</t>
  </si>
  <si>
    <t>TYLER</t>
  </si>
  <si>
    <t>COLE</t>
  </si>
  <si>
    <t>6205</t>
  </si>
  <si>
    <t>THOMPSON, WARNER H.</t>
  </si>
  <si>
    <t>WARNER</t>
  </si>
  <si>
    <t>6519</t>
  </si>
  <si>
    <t>KIRKPATRICK, BLAKE N.</t>
  </si>
  <si>
    <t>KIRKPATRICK</t>
  </si>
  <si>
    <t>BLAKE</t>
  </si>
  <si>
    <t>6201</t>
  </si>
  <si>
    <t>BUDDE, KRISTOPHER M.</t>
  </si>
  <si>
    <t>BUDDE</t>
  </si>
  <si>
    <t>KRISTOPHER</t>
  </si>
  <si>
    <t>6515</t>
  </si>
  <si>
    <t>SOUTH, JED W.</t>
  </si>
  <si>
    <t>SOUTH</t>
  </si>
  <si>
    <t>JED</t>
  </si>
  <si>
    <t>WILLIAM</t>
  </si>
  <si>
    <t>6105</t>
  </si>
  <si>
    <t xml:space="preserve">OFFICE SPECIALIST 2 </t>
  </si>
  <si>
    <t>01239</t>
  </si>
  <si>
    <t>G</t>
  </si>
  <si>
    <t>HANNERS, CHARLENE E.</t>
  </si>
  <si>
    <t>HANNERS</t>
  </si>
  <si>
    <t>CHARLENE</t>
  </si>
  <si>
    <t>EVONNE</t>
  </si>
  <si>
    <t xml:space="preserve">HG   </t>
  </si>
  <si>
    <t>6512</t>
  </si>
  <si>
    <t>WILEY, M J.</t>
  </si>
  <si>
    <t>WILEY</t>
  </si>
  <si>
    <t>JAY</t>
  </si>
  <si>
    <t>PT</t>
  </si>
  <si>
    <t>6104</t>
  </si>
  <si>
    <t xml:space="preserve">BUSINESS OPERATIONS </t>
  </si>
  <si>
    <t>05275</t>
  </si>
  <si>
    <t>HASKELL, JENNY L.</t>
  </si>
  <si>
    <t>HASKELL</t>
  </si>
  <si>
    <t>JENNY</t>
  </si>
  <si>
    <t xml:space="preserve">HL   </t>
  </si>
  <si>
    <t>6511</t>
  </si>
  <si>
    <t>O'NEAL, TEDDY L.</t>
  </si>
  <si>
    <t>O'NEAL</t>
  </si>
  <si>
    <t>TEDDY</t>
  </si>
  <si>
    <t>6100</t>
  </si>
  <si>
    <t>STATE BRAND INSPECTO</t>
  </si>
  <si>
    <t>21109</t>
  </si>
  <si>
    <t>BURLILE, CODY D.</t>
  </si>
  <si>
    <t>BURLILE</t>
  </si>
  <si>
    <t>6510</t>
  </si>
  <si>
    <t>BOEHME, EUGENE M.</t>
  </si>
  <si>
    <t>BOEHME</t>
  </si>
  <si>
    <t>EUGENE</t>
  </si>
  <si>
    <t>6508</t>
  </si>
  <si>
    <t>FUHRIMAN, TREVOR J.</t>
  </si>
  <si>
    <t>FUHRIMAN</t>
  </si>
  <si>
    <t>TREVOR</t>
  </si>
  <si>
    <t>6506</t>
  </si>
  <si>
    <t xml:space="preserve">MIRANDA-VELASCO, GABRIEL </t>
  </si>
  <si>
    <t>MIRANDA-VELASCO</t>
  </si>
  <si>
    <t>GABRIEL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</si>
  <si>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</si>
  <si>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</si>
  <si>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</si>
  <si>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</si>
  <si>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</si>
  <si>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</si>
  <si>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</si>
  <si>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</si>
  <si>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</si>
  <si>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</si>
  <si>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</si>
  <si>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</si>
  <si>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</si>
  <si>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</si>
  <si>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</si>
  <si>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</si>
  <si>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</si>
  <si>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</si>
  <si>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</si>
  <si>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</si>
  <si>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</si>
  <si>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</si>
  <si>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</si>
  <si>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</si>
  <si>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</si>
  <si>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</si>
  <si>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</si>
  <si>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</si>
  <si>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</si>
  <si>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</si>
  <si>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</si>
  <si>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</si>
  <si>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</si>
  <si>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</si>
  <si>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</si>
  <si>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</si>
  <si>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</si>
  <si>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</si>
  <si>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</si>
  <si>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</si>
  <si>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</si>
  <si>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</si>
  <si>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</si>
  <si>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</si>
  <si>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</si>
  <si>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</si>
  <si>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</si>
  <si>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</si>
  <si>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LEAF 0229-15</t>
  </si>
  <si>
    <t>LEAF 0229</t>
  </si>
  <si>
    <t>Idaho State Police</t>
  </si>
  <si>
    <t>Brand Inspection</t>
  </si>
  <si>
    <t>State Brand Board</t>
  </si>
  <si>
    <t>0229-15</t>
  </si>
  <si>
    <t>22915</t>
  </si>
  <si>
    <t>Brand Inspection, State Brand Board   LEAF-0229-15</t>
  </si>
  <si>
    <t>Totals by Budget Unit and Fund</t>
  </si>
  <si>
    <t>Est. FY22_x000D_
Salary</t>
  </si>
  <si>
    <t>Proj. FY23_x000D_
Salary</t>
  </si>
  <si>
    <t>Actual FY 2021</t>
  </si>
  <si>
    <t>Estimate FY 2022</t>
  </si>
  <si>
    <t>Projection FY 2023</t>
  </si>
  <si>
    <t>Filled Permanent/Elected</t>
  </si>
  <si>
    <t>Fund-0229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</si>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</sst>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4" formatCode="#0.########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79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4" fillId="14" borderId="17" xfId="0" applyFont="1" applyFill="1" applyBorder="1" applyAlignment="1">
      <alignment horizontal="center" vertical="top"/>
    </xf>
    <xf numFmtId="49" fontId="44" fillId="14" borderId="17" xfId="0" applyNumberFormat="1" applyFont="1" applyFill="1" applyBorder="1" applyAlignment="1">
      <alignment horizontal="center" vertical="top"/>
    </xf>
    <xf numFmtId="0" fontId="45" fillId="0" borderId="18" xfId="0" applyFont="1" applyBorder="1" applyAlignment="1">
      <alignment vertical="top"/>
    </xf>
    <xf numFmtId="49" fontId="45" fillId="0" borderId="18" xfId="0" applyNumberFormat="1" applyFont="1" applyBorder="1" applyAlignment="1">
      <alignment vertical="top"/>
    </xf>
    <xf numFmtId="0" fontId="0" fillId="0" borderId="18" xfId="0" applyBorder="1"/>
    <xf numFmtId="183" fontId="45" fillId="0" borderId="18" xfId="0" applyNumberFormat="1" applyFont="1" applyBorder="1" applyAlignment="1">
      <alignment vertical="top"/>
    </xf>
    <xf numFmtId="4" fontId="45" fillId="0" borderId="18" xfId="0" applyNumberFormat="1" applyFont="1" applyBorder="1" applyAlignment="1">
      <alignment vertical="top"/>
    </xf>
    <xf numFmtId="184" fontId="45" fillId="0" borderId="18" xfId="0" applyNumberFormat="1" applyFont="1" applyBorder="1" applyAlignment="1">
      <alignment vertical="top"/>
    </xf>
    <xf numFmtId="0" fontId="45" fillId="0" borderId="18" xfId="0" applyNumberFormat="1" applyFont="1" applyBorder="1" applyAlignment="1">
      <alignment vertical="top"/>
    </xf>
    <xf numFmtId="0" fontId="0" fillId="0" borderId="18" xfId="0" applyNumberFormat="1" applyBorder="1"/>
    <xf numFmtId="40" fontId="45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6" fillId="0" borderId="0" xfId="0" applyFont="1"/>
    <xf numFmtId="0" fontId="47" fillId="0" borderId="0" xfId="0" applyFont="1"/>
    <xf numFmtId="40" fontId="29" fillId="20" borderId="19" xfId="0" applyNumberFormat="1" applyFont="1" applyFill="1" applyBorder="1"/>
    <xf numFmtId="0" fontId="46" fillId="21" borderId="0" xfId="0" applyFont="1" applyFill="1"/>
    <xf numFmtId="0" fontId="48" fillId="0" borderId="0" xfId="0" applyFont="1"/>
    <xf numFmtId="0" fontId="49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6" fillId="24" borderId="0" xfId="0" applyNumberFormat="1" applyFont="1" applyFill="1"/>
    <xf numFmtId="8" fontId="46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10" xfId="7" applyNumberFormat="1" applyFont="1" applyBorder="1" applyAlignment="1" applyProtection="1">
      <alignment horizontal="left" inden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1"/>
    </xf>
    <xf numFmtId="168" fontId="16" fillId="3" borderId="4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13"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2"/>
      <tableStyleElement type="header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547CC-58E4-4506-9F19-785B1C19C201}">
  <sheetPr>
    <pageSetUpPr fitToPage="1"/>
  </sheetPr>
  <dimension ref="A1:CP80"/>
  <sheetViews>
    <sheetView showGridLines="0" tabSelected="1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428</v>
      </c>
      <c r="E1" s="15"/>
      <c r="F1" s="15"/>
      <c r="G1" s="15"/>
      <c r="H1" s="15"/>
      <c r="I1" s="15"/>
      <c r="J1" s="15"/>
      <c r="K1" s="15"/>
      <c r="L1" s="16" t="s">
        <v>14</v>
      </c>
      <c r="M1" s="467">
        <v>331</v>
      </c>
      <c r="N1" s="468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429</v>
      </c>
      <c r="E2" s="21"/>
      <c r="F2" s="21"/>
      <c r="G2" s="21"/>
      <c r="H2" s="21"/>
      <c r="I2" s="21"/>
      <c r="J2" s="20"/>
      <c r="K2" s="20"/>
      <c r="L2" s="22" t="s">
        <v>113</v>
      </c>
      <c r="M2" s="469" t="s">
        <v>432</v>
      </c>
      <c r="N2" s="470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429</v>
      </c>
      <c r="E3" s="24"/>
      <c r="F3" s="25"/>
      <c r="G3" s="25"/>
      <c r="H3" s="25"/>
      <c r="I3" s="26"/>
      <c r="J3" s="20"/>
      <c r="K3" s="20"/>
      <c r="L3" s="22" t="s">
        <v>114</v>
      </c>
      <c r="M3" s="467" t="s">
        <v>167</v>
      </c>
      <c r="N3" s="468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7">
        <v>2023</v>
      </c>
      <c r="N4" s="468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69" t="s">
        <v>430</v>
      </c>
      <c r="J5" s="471"/>
      <c r="K5" s="471"/>
      <c r="L5" s="470"/>
      <c r="M5" s="352" t="s">
        <v>115</v>
      </c>
      <c r="N5" s="32" t="s">
        <v>431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2" t="s">
        <v>22</v>
      </c>
      <c r="D8" s="473"/>
      <c r="E8" s="370" t="s">
        <v>23</v>
      </c>
      <c r="F8" s="49" t="s">
        <v>24</v>
      </c>
      <c r="G8" s="50" t="str">
        <f>"FY "&amp;'LEAF|0229-15'!FiscalYear-1&amp;" SALARY"</f>
        <v>FY 2022 SALARY</v>
      </c>
      <c r="H8" s="50" t="str">
        <f>"FY "&amp;'LEAF|0229-15'!FiscalYear-1&amp;" HEALTH BENEFITS"</f>
        <v>FY 2022 HEALTH BENEFITS</v>
      </c>
      <c r="I8" s="50" t="str">
        <f>"FY "&amp;'LEAF|0229-15'!FiscalYear-1&amp;" VAR BENEFITS"</f>
        <v>FY 2022 VAR BENEFITS</v>
      </c>
      <c r="J8" s="50" t="str">
        <f>"FY "&amp;'LEAF|0229-15'!FiscalYear-1&amp;" TOTAL"</f>
        <v>FY 2022 TOTAL</v>
      </c>
      <c r="K8" s="50" t="str">
        <f>"FY "&amp;'LEAF|0229-15'!FiscalYear&amp;" SALARY CHANGE"</f>
        <v>FY 2023 SALARY CHANGE</v>
      </c>
      <c r="L8" s="50" t="str">
        <f>"FY "&amp;'LEAF|0229-15'!FiscalYear&amp;" CHG HEALTH BENEFITS"</f>
        <v>FY 2023 CHG HEALTH BENEFITS</v>
      </c>
      <c r="M8" s="50" t="str">
        <f>"FY "&amp;'LEAF|0229-15'!FiscalYear&amp;"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3" t="s">
        <v>105</v>
      </c>
      <c r="AB8" s="463"/>
      <c r="AC8" s="46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4" t="s">
        <v>26</v>
      </c>
      <c r="D9" s="46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3" t="s">
        <v>27</v>
      </c>
      <c r="D10" s="466"/>
      <c r="E10" s="217">
        <v>1</v>
      </c>
      <c r="F10" s="288">
        <f>[0]!LEAF022915col_INC_FTI</f>
        <v>36.049999999999997</v>
      </c>
      <c r="G10" s="218">
        <f>[0]!LEAF022915col_FTI_SALARY_PERM</f>
        <v>1430975.52</v>
      </c>
      <c r="H10" s="218">
        <f>[0]!LEAF022915col_HEALTH_PERM</f>
        <v>426390</v>
      </c>
      <c r="I10" s="218">
        <f>[0]!LEAF022915col_TOT_VB_PERM</f>
        <v>346949.8663384</v>
      </c>
      <c r="J10" s="219">
        <f>SUM(G10:I10)</f>
        <v>2204315.3863384002</v>
      </c>
      <c r="K10" s="219">
        <f>[0]!LEAF022915col_1_27TH_PP</f>
        <v>0</v>
      </c>
      <c r="L10" s="218">
        <f>[0]!LEAF022915col_HEALTH_PERM_CHG</f>
        <v>0</v>
      </c>
      <c r="M10" s="218">
        <f>[0]!LEAF022915col_TOT_VB_PERM_CHG</f>
        <v>-5437.7069760000004</v>
      </c>
      <c r="N10" s="218">
        <f>SUM(L10:M10)</f>
        <v>-5437.7069760000004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14300</v>
      </c>
      <c r="AB10" s="335">
        <f>ROUND(PermVarBen*CECPerm+(CECPerm*PermVarBenChg),-2)</f>
        <v>3400</v>
      </c>
      <c r="AC10" s="335">
        <f>SUM(AA10:AB10)</f>
        <v>17700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3" t="s">
        <v>28</v>
      </c>
      <c r="D11" s="466"/>
      <c r="E11" s="217">
        <v>2</v>
      </c>
      <c r="F11" s="288"/>
      <c r="G11" s="218">
        <f>[0]!LEAF022915col_Group_Salary</f>
        <v>119747.84</v>
      </c>
      <c r="H11" s="218">
        <v>0</v>
      </c>
      <c r="I11" s="218">
        <f>[0]!LEAF022915col_Group_Ben</f>
        <v>16317.92</v>
      </c>
      <c r="J11" s="219">
        <f>SUM(G11:I11)</f>
        <v>136065.76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1200</v>
      </c>
      <c r="AB11" s="335">
        <f>ROUND((GroupSalary*GroupVBBY)*CECGroup,-2)</f>
        <v>100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3" t="s">
        <v>29</v>
      </c>
      <c r="D12" s="444"/>
      <c r="E12" s="217">
        <v>3</v>
      </c>
      <c r="F12" s="288">
        <f>[0]!LEAF022915col_TOTAL_ELECT_PCN_FTI</f>
        <v>0</v>
      </c>
      <c r="G12" s="218">
        <f>[0]!LEAF022915col_FTI_SALARY_ELECT</f>
        <v>0</v>
      </c>
      <c r="H12" s="218">
        <f>[0]!LEAF022915col_HEALTH_ELECT</f>
        <v>0</v>
      </c>
      <c r="I12" s="218">
        <f>[0]!LEAF022915col_TOT_VB_ELECT</f>
        <v>0</v>
      </c>
      <c r="J12" s="219">
        <f>SUM(G12:I12)</f>
        <v>0</v>
      </c>
      <c r="K12" s="268"/>
      <c r="L12" s="218">
        <f>[0]!LEAF022915col_HEALTH_ELECT_CHG</f>
        <v>0</v>
      </c>
      <c r="M12" s="218">
        <f>[0]!LEAF022915col_TOT_VB_ELECT_CHG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3" t="s">
        <v>30</v>
      </c>
      <c r="D13" s="466"/>
      <c r="E13" s="217"/>
      <c r="F13" s="220">
        <f>SUM(F10:F12)</f>
        <v>36.049999999999997</v>
      </c>
      <c r="G13" s="221">
        <f>SUM(G10:G12)</f>
        <v>1550723.36</v>
      </c>
      <c r="H13" s="221">
        <f>SUM(H10:H12)</f>
        <v>426390</v>
      </c>
      <c r="I13" s="221">
        <f>SUM(I10:I12)</f>
        <v>363267.78633839998</v>
      </c>
      <c r="J13" s="219">
        <f>SUM(G13:I13)</f>
        <v>2340381.1463384</v>
      </c>
      <c r="K13" s="268"/>
      <c r="L13" s="219">
        <f>SUM(L10:L12)</f>
        <v>0</v>
      </c>
      <c r="M13" s="219">
        <f>SUM(M10:M12)</f>
        <v>-5437.7069760000004</v>
      </c>
      <c r="N13" s="219">
        <f>SUM(N10:N12)</f>
        <v>-5437.7069760000004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"&amp;'LEAF|0229-15'!FiscalYear-1</f>
        <v>FY 2022</v>
      </c>
      <c r="D15" s="158" t="s">
        <v>31</v>
      </c>
      <c r="E15" s="355">
        <v>2745800</v>
      </c>
      <c r="F15" s="55">
        <v>40.090000000000003</v>
      </c>
      <c r="G15" s="223">
        <f>IF(OrigApprop=0,0,(G13/$J$13)*OrigApprop)</f>
        <v>1819351.6079847668</v>
      </c>
      <c r="H15" s="223">
        <f>IF(OrigApprop=0,0,(H13/$J$13)*OrigApprop)</f>
        <v>500252.5609265503</v>
      </c>
      <c r="I15" s="223">
        <f>IF(G15=0,0,(I13/$J$13)*OrigApprop)</f>
        <v>426195.83108868287</v>
      </c>
      <c r="J15" s="223">
        <f>SUM(G15:I15)</f>
        <v>2745800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3" t="s">
        <v>32</v>
      </c>
      <c r="D16" s="454"/>
      <c r="E16" s="160" t="s">
        <v>33</v>
      </c>
      <c r="F16" s="161">
        <f>F15-F13</f>
        <v>4.0400000000000063</v>
      </c>
      <c r="G16" s="162">
        <f>G15-G13</f>
        <v>268628.24798476673</v>
      </c>
      <c r="H16" s="162">
        <f>H15-H13</f>
        <v>73862.560926550301</v>
      </c>
      <c r="I16" s="162">
        <f>I15-I13</f>
        <v>62928.04475028289</v>
      </c>
      <c r="J16" s="162">
        <f>J15-J13</f>
        <v>405418.85366160003</v>
      </c>
      <c r="K16" s="269"/>
      <c r="L16" s="56" t="str">
        <f>IF('LEAF|0229-15'!OrigApprop=0,"ERROR! Enter Original Appropriation amount in DU 3.00!","Calculated "&amp;IF('LEAF|0229-15'!AdjustedTotal&gt;0,"overfunding ","underfunding ")&amp;"is "&amp;TEXT('LEAF|0229-15'!AdjustedTotal/'LEAF|0229-15'!AppropTotal,"#.0%;(#.0% );0% ;")&amp;" of Original Appropriation")</f>
        <v>Calculated overfunding is 14.8%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5" t="s">
        <v>34</v>
      </c>
      <c r="D17" s="45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7" t="s">
        <v>35</v>
      </c>
      <c r="D18" s="45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59" t="s">
        <v>37</v>
      </c>
      <c r="D37" s="46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1" t="s">
        <v>107</v>
      </c>
      <c r="AB37" s="462"/>
      <c r="AC37" s="46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3" t="str">
        <f>perm_name</f>
        <v>Permanent Positions</v>
      </c>
      <c r="D38" s="444"/>
      <c r="E38" s="189">
        <v>1</v>
      </c>
      <c r="F38" s="190">
        <f>SUMIF($E9:$E35,$E38,$F9:$F35)</f>
        <v>36.049999999999997</v>
      </c>
      <c r="G38" s="191">
        <f>SUMIF($E10:$E35,$E38,$G10:$G35)</f>
        <v>1430975.52</v>
      </c>
      <c r="H38" s="192">
        <f>SUMIF($E10:$E35,$E38,$H10:$H35)</f>
        <v>426390</v>
      </c>
      <c r="I38" s="192">
        <f>SUMIF($E10:$E35,$E38,$I10:$I35)</f>
        <v>346949.8663384</v>
      </c>
      <c r="J38" s="192">
        <f>SUM(G38:I38)</f>
        <v>2204315.3863384002</v>
      </c>
      <c r="K38" s="166"/>
      <c r="L38" s="191">
        <f>SUMIF($E10:$E35,$E38,$L10:$L35)</f>
        <v>0</v>
      </c>
      <c r="M38" s="192">
        <f>SUMIF($E10:$E35,$E38,$M10:$M35)</f>
        <v>-5437.7069760000004</v>
      </c>
      <c r="N38" s="192">
        <f>SUM(L38:M38)</f>
        <v>-5437.7069760000004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14300</v>
      </c>
      <c r="AB38" s="338">
        <f>ROUND((AdjPermVB*CECPerm+AdjPermVBBY*CECPerm),-2)</f>
        <v>3400</v>
      </c>
      <c r="AC38" s="338">
        <f>SUM(AA38:AB38)</f>
        <v>17700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3" t="str">
        <f>Group_name</f>
        <v>Board &amp; Group Positions</v>
      </c>
      <c r="D39" s="444"/>
      <c r="E39" s="189">
        <v>2</v>
      </c>
      <c r="F39" s="151">
        <f>SUMIF($E9:$E35,$E39,$F9:$F35)</f>
        <v>0</v>
      </c>
      <c r="G39" s="193">
        <f>SUMIF($E10:$E35,$E39,$G10:$G35)</f>
        <v>119747.84</v>
      </c>
      <c r="H39" s="152">
        <f>SUMIF($E10:$E35,$E39,$H10:$H35)</f>
        <v>0</v>
      </c>
      <c r="I39" s="152">
        <f>SUMIF($E10:$E35,$E39,$I10:$I35)</f>
        <v>16317.92</v>
      </c>
      <c r="J39" s="152">
        <f>SUM(G39:I39)</f>
        <v>136065.76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1200</v>
      </c>
      <c r="AB39" s="338">
        <f>ROUND(AdjGroupVB*CECGroup,-2)</f>
        <v>200</v>
      </c>
      <c r="AC39" s="338">
        <f>SUM(AA39:AB39)</f>
        <v>1400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3" t="s">
        <v>38</v>
      </c>
      <c r="D41" s="444"/>
      <c r="E41" s="189"/>
      <c r="F41" s="161">
        <f>SUM(F38:F40)</f>
        <v>36.049999999999997</v>
      </c>
      <c r="G41" s="195">
        <f>SUM($G$38:$G$40)</f>
        <v>1550723.36</v>
      </c>
      <c r="H41" s="162">
        <f>SUM($H$38:$H$40)</f>
        <v>426390</v>
      </c>
      <c r="I41" s="162">
        <f>SUM($I$38:$I$40)</f>
        <v>363267.78633839998</v>
      </c>
      <c r="J41" s="162">
        <f>SUM($J$38:$J$40)</f>
        <v>2340381.1463384004</v>
      </c>
      <c r="K41" s="259"/>
      <c r="L41" s="195">
        <f>SUM($L$38:$L$40)</f>
        <v>0</v>
      </c>
      <c r="M41" s="162">
        <f>SUM($M$38:$M$40)</f>
        <v>-5437.7069760000004</v>
      </c>
      <c r="N41" s="162">
        <f>SUM(L41:M41)</f>
        <v>-5437.7069760000004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5"/>
      <c r="D42" s="44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7" t="s">
        <v>39</v>
      </c>
      <c r="D43" s="448"/>
      <c r="E43" s="203" t="s">
        <v>40</v>
      </c>
      <c r="F43" s="205">
        <f>ROUND(F51-F41,2)</f>
        <v>4.04</v>
      </c>
      <c r="G43" s="206">
        <f>ROUND(G51-G41,-2)</f>
        <v>268600</v>
      </c>
      <c r="H43" s="159">
        <f>ROUND(H51-H41,-2)</f>
        <v>73900</v>
      </c>
      <c r="I43" s="159">
        <f>ROUND(I51-I41,-2)</f>
        <v>62900</v>
      </c>
      <c r="J43" s="159">
        <f>SUM(G43:I43)</f>
        <v>405400</v>
      </c>
      <c r="K43" s="424" t="str">
        <f>IF(E51=0,"ERROR! Enter Original Appropriation amount in DU 3.00!","Calculated "&amp;IF(J43&gt;0,"overfunding ","underfunding ")&amp;"is "&amp;TEXT(J43/J51,"#.0%;(#.0% );0% ;")&amp;" of Original Appropriation")</f>
        <v>Calculated overfunding is 14.8% of Original Appropriation</v>
      </c>
      <c r="L43" s="425"/>
      <c r="M43" s="425"/>
      <c r="N43" s="426"/>
      <c r="O43"/>
      <c r="P43"/>
      <c r="Q43"/>
      <c r="R43"/>
      <c r="S43"/>
      <c r="T43"/>
      <c r="U43"/>
      <c r="V43"/>
      <c r="W43"/>
      <c r="X43"/>
      <c r="Y43"/>
      <c r="Z43" s="344"/>
      <c r="AA43" s="451" t="s">
        <v>108</v>
      </c>
      <c r="AB43" s="452"/>
      <c r="AC43" s="45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9"/>
      <c r="D44" s="450"/>
      <c r="E44" s="204" t="s">
        <v>41</v>
      </c>
      <c r="F44" s="205">
        <f>ROUND(F60-F41,2)</f>
        <v>4.04</v>
      </c>
      <c r="G44" s="206">
        <f>ROUND(G60-G41,-2)</f>
        <v>268700</v>
      </c>
      <c r="H44" s="159">
        <f>ROUND(H60-H41,-2)</f>
        <v>73900</v>
      </c>
      <c r="I44" s="159">
        <f>ROUND(I60-I41,-2)</f>
        <v>62900</v>
      </c>
      <c r="J44" s="159">
        <f>SUM(G44:I44)</f>
        <v>405500</v>
      </c>
      <c r="K44" s="424" t="str">
        <f>IF(E51=0,"ERROR! Enter Original Appropriation amount in DU 3.00!","Calculated "&amp;IF(J44&gt;0,"overfunding ","underfunding ")&amp;"is "&amp;TEXT(J44/J60,"#.0%;(#.0% );0% ;")&amp;" of Estimated Expenditures")</f>
        <v>Calculated overfunding is 14.8% of Estimated Expenditures</v>
      </c>
      <c r="L44" s="425"/>
      <c r="M44" s="425"/>
      <c r="N44" s="426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4.04</v>
      </c>
      <c r="G45" s="206">
        <f>ROUND(G67-G41-G63,-2)</f>
        <v>268700</v>
      </c>
      <c r="H45" s="206">
        <f>ROUND(H67-H41-H63,-2)</f>
        <v>73900</v>
      </c>
      <c r="I45" s="206">
        <f>ROUND(I67-I41-I63,-2)</f>
        <v>62900</v>
      </c>
      <c r="J45" s="159">
        <f>SUM(G45:I45)</f>
        <v>405500</v>
      </c>
      <c r="K45" s="424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14.8% of the Base</v>
      </c>
      <c r="L45" s="425"/>
      <c r="M45" s="425"/>
      <c r="N45" s="426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100</v>
      </c>
      <c r="AC45" s="338">
        <f>SUM(AA45:AB45)</f>
        <v>100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7" t="s">
        <v>100</v>
      </c>
      <c r="F46" s="428"/>
      <c r="G46" s="428"/>
      <c r="H46" s="428"/>
      <c r="I46" s="428"/>
      <c r="J46" s="429"/>
      <c r="K46" s="433" t="str">
        <f>IF(OR(J45&lt;0,F45&lt;0),"You may not have sufficient funding or authorized FTP, and may need to make additional adjustments to finalize this form.  Please contact both your DFM and LSO analysts.","")</f>
        <v/>
      </c>
      <c r="L46" s="434"/>
      <c r="M46" s="434"/>
      <c r="N46" s="435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0"/>
      <c r="F47" s="431"/>
      <c r="G47" s="431"/>
      <c r="H47" s="431"/>
      <c r="I47" s="431"/>
      <c r="J47" s="432"/>
      <c r="K47" s="436"/>
      <c r="L47" s="437"/>
      <c r="M47" s="437"/>
      <c r="N47" s="438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39"/>
      <c r="D50" s="440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2745800</v>
      </c>
      <c r="F51" s="272">
        <f>AppropFTP</f>
        <v>40.090000000000003</v>
      </c>
      <c r="G51" s="274">
        <f>IF(E51=0,0,(G41/$J$41)*$E$51)</f>
        <v>1819351.6079847666</v>
      </c>
      <c r="H51" s="274">
        <f>IF(E51=0,0,(H41/$J$41)*$E$51)</f>
        <v>500252.56092655013</v>
      </c>
      <c r="I51" s="275">
        <f>IF(E51=0,0,(I41/$J$41)*$E$51)</f>
        <v>426195.83108868275</v>
      </c>
      <c r="J51" s="90">
        <f>SUM(G51:I51)</f>
        <v>2745799.9999999995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40.090000000000003</v>
      </c>
      <c r="G52" s="79">
        <f>ROUND(G51,-2)</f>
        <v>1819400</v>
      </c>
      <c r="H52" s="79">
        <f>ROUND(H51,-2)</f>
        <v>500300</v>
      </c>
      <c r="I52" s="266">
        <f>ROUND(I51,-2)</f>
        <v>426200</v>
      </c>
      <c r="J52" s="80">
        <f>ROUND(J51,-2)</f>
        <v>2745800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1" t="s">
        <v>47</v>
      </c>
      <c r="D53" s="442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8" t="s">
        <v>48</v>
      </c>
      <c r="D54" s="409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1" t="s">
        <v>49</v>
      </c>
      <c r="D55" s="422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40.090000000000003</v>
      </c>
      <c r="G56" s="80">
        <f>SUM(G52:G55)</f>
        <v>1819400</v>
      </c>
      <c r="H56" s="80">
        <f>SUM(H52:H55)</f>
        <v>500300</v>
      </c>
      <c r="I56" s="260">
        <f>SUM(I52:I55)</f>
        <v>426200</v>
      </c>
      <c r="J56" s="80">
        <f>SUM(J52:J55)</f>
        <v>2745800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9" t="s">
        <v>51</v>
      </c>
      <c r="D57" s="423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8" t="s">
        <v>52</v>
      </c>
      <c r="D58" s="409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1" t="s">
        <v>66</v>
      </c>
      <c r="D59" s="422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40.090000000000003</v>
      </c>
      <c r="G60" s="80">
        <f>SUM(G56:G59)</f>
        <v>1819400</v>
      </c>
      <c r="H60" s="80">
        <f>SUM(H56:H59)</f>
        <v>500300</v>
      </c>
      <c r="I60" s="260">
        <f>SUM(I56:I59)</f>
        <v>426200</v>
      </c>
      <c r="J60" s="80">
        <f>SUM(J56:J59)</f>
        <v>2745800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9" t="s">
        <v>54</v>
      </c>
      <c r="D61" s="423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8" t="s">
        <v>67</v>
      </c>
      <c r="D62" s="409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8" t="s">
        <v>55</v>
      </c>
      <c r="D63" s="409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3" t="s">
        <v>56</v>
      </c>
      <c r="D64" s="414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5"/>
      <c r="D65" s="416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7"/>
      <c r="D66" s="418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40.090000000000003</v>
      </c>
      <c r="G67" s="80">
        <f>SUM(G60:G64)</f>
        <v>1819400</v>
      </c>
      <c r="H67" s="80">
        <f>SUM(H60:H64)</f>
        <v>500300</v>
      </c>
      <c r="I67" s="80">
        <f>SUM(I60:I64)</f>
        <v>426200</v>
      </c>
      <c r="J67" s="80">
        <f>SUM(J60:J64)</f>
        <v>2745800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9" t="s">
        <v>58</v>
      </c>
      <c r="D68" s="420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9" t="s">
        <v>59</v>
      </c>
      <c r="D69" s="420"/>
      <c r="E69" s="112"/>
      <c r="F69" s="288"/>
      <c r="G69" s="113"/>
      <c r="H69" s="113"/>
      <c r="I69" s="113">
        <f>IF(DUNine=0,0,ROUND(SUM(M41:M64),-2))</f>
        <v>-5400</v>
      </c>
      <c r="J69" s="287">
        <f>SUM(G69:I69)</f>
        <v>-5400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6"/>
      <c r="D70" s="407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8" t="s">
        <v>60</v>
      </c>
      <c r="D71" s="409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8" t="s">
        <v>101</v>
      </c>
      <c r="D72" s="410"/>
      <c r="E72" s="290">
        <f>CECPerm</f>
        <v>0.01</v>
      </c>
      <c r="F72" s="288"/>
      <c r="G72" s="356">
        <f>IF(DUNine=0,0,IF(DUNine&lt;0,0,ROUND(AdjPermSalary*CECPerm,-2)))</f>
        <v>14300</v>
      </c>
      <c r="H72" s="287"/>
      <c r="I72" s="287">
        <f>ROUND(($G72*PermVBBY+$G72*Retire1BY),-2)</f>
        <v>3400</v>
      </c>
      <c r="J72" s="113">
        <f>SUM(G72:I72)</f>
        <v>17700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8" t="s">
        <v>61</v>
      </c>
      <c r="D73" s="410"/>
      <c r="E73" s="289">
        <f>CECGroup</f>
        <v>0.01</v>
      </c>
      <c r="F73" s="288"/>
      <c r="G73" s="356">
        <f>IF(DUNine=0,0,IF(DUNine&lt;0,0,ROUND(AdjGroupSalary*CECGroup,-2)))</f>
        <v>1200</v>
      </c>
      <c r="H73" s="287"/>
      <c r="I73" s="287">
        <f>ROUND(($G73*GroupVBBY),-2)</f>
        <v>100</v>
      </c>
      <c r="J73" s="113">
        <f t="shared" si="11"/>
        <v>1300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40.090000000000003</v>
      </c>
      <c r="G75" s="80">
        <f>SUM(G67:G74)</f>
        <v>1834900</v>
      </c>
      <c r="H75" s="80">
        <f>SUM(H67:H74)</f>
        <v>500300</v>
      </c>
      <c r="I75" s="80">
        <f>SUM(I67:I74)</f>
        <v>424300</v>
      </c>
      <c r="J75" s="80">
        <f>SUM(J67:K74)</f>
        <v>2759400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1" t="s">
        <v>64</v>
      </c>
      <c r="D76" s="412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4"/>
      <c r="D77" s="405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4"/>
      <c r="D78" s="405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4"/>
      <c r="D79" s="405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40.090000000000003</v>
      </c>
      <c r="G80" s="80">
        <f>SUM(G75:G79)</f>
        <v>1834900</v>
      </c>
      <c r="H80" s="80">
        <f>SUM(H75:H79)</f>
        <v>500300</v>
      </c>
      <c r="I80" s="80">
        <f>SUM(I75:I79)</f>
        <v>424300</v>
      </c>
      <c r="J80" s="80">
        <f>SUM(J75:J79)</f>
        <v>2759400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10" priority="5">
      <formula>$J$44&lt;0</formula>
    </cfRule>
  </conditionalFormatting>
  <conditionalFormatting sqref="K43">
    <cfRule type="expression" dxfId="9" priority="4">
      <formula>$J$43&lt;0</formula>
    </cfRule>
  </conditionalFormatting>
  <conditionalFormatting sqref="L16">
    <cfRule type="expression" dxfId="8" priority="3">
      <formula>$J$16&lt;0</formula>
    </cfRule>
  </conditionalFormatting>
  <conditionalFormatting sqref="K45">
    <cfRule type="expression" dxfId="7" priority="2">
      <formula>$J$44&lt;0</formula>
    </cfRule>
  </conditionalFormatting>
  <conditionalFormatting sqref="K43:N45">
    <cfRule type="containsText" dxfId="6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C7D71B1-7B56-47EE-B519-F444C85643C3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DJ71"/>
  <sheetViews>
    <sheetView workbookViewId="0">
      <pane xSplit="3" ySplit="1" topLeftCell="AM53" activePane="bottomRight" state="frozen"/>
      <selection pane="topRight" activeCell="D1" sqref="D1"/>
      <selection pane="bottomLeft" activeCell="A2" sqref="A2"/>
      <selection pane="bottomRight" activeCell="AS60" sqref="AS60:BA71"/>
    </sheetView>
  </sheetViews>
  <sheetFormatPr defaultRowHeight="15" x14ac:dyDescent="0.25"/>
  <cols>
    <col min="45" max="53" width="15.7109375" customWidth="1"/>
    <col min="54" max="54" width="11.7109375" bestFit="1" customWidth="1"/>
    <col min="55" max="55" width="9" bestFit="1" customWidth="1"/>
    <col min="56" max="57" width="10.5703125" bestFit="1" customWidth="1"/>
    <col min="58" max="58" width="11.7109375" bestFit="1" customWidth="1"/>
    <col min="59" max="59" width="10.5703125" bestFit="1" customWidth="1"/>
    <col min="60" max="61" width="9.42578125" bestFit="1" customWidth="1"/>
    <col min="62" max="62" width="10.5703125" bestFit="1" customWidth="1"/>
    <col min="63" max="63" width="9" bestFit="1" customWidth="1"/>
    <col min="64" max="64" width="11.7109375" bestFit="1" customWidth="1"/>
    <col min="65" max="65" width="9" bestFit="1" customWidth="1"/>
    <col min="66" max="66" width="11.7109375" bestFit="1" customWidth="1"/>
    <col min="67" max="67" width="9" bestFit="1" customWidth="1"/>
    <col min="68" max="69" width="10.5703125" bestFit="1" customWidth="1"/>
    <col min="70" max="70" width="11.7109375" bestFit="1" customWidth="1"/>
    <col min="71" max="71" width="10.5703125" bestFit="1" customWidth="1"/>
    <col min="72" max="72" width="9" bestFit="1" customWidth="1"/>
    <col min="73" max="73" width="9.42578125" bestFit="1" customWidth="1"/>
    <col min="74" max="74" width="10.5703125" bestFit="1" customWidth="1"/>
    <col min="75" max="75" width="9" bestFit="1" customWidth="1"/>
    <col min="76" max="76" width="11.7109375" bestFit="1" customWidth="1"/>
    <col min="77" max="83" width="9" bestFit="1" customWidth="1"/>
    <col min="84" max="84" width="10.140625" bestFit="1" customWidth="1"/>
    <col min="85" max="85" width="9" bestFit="1" customWidth="1"/>
    <col min="86" max="86" width="9.42578125" bestFit="1" customWidth="1"/>
    <col min="87" max="87" width="9" bestFit="1" customWidth="1"/>
    <col min="88" max="88" width="10.140625" bestFit="1" customWidth="1"/>
    <col min="89" max="89" width="9" bestFit="1" customWidth="1"/>
    <col min="90" max="90" width="11.7109375" bestFit="1" customWidth="1"/>
    <col min="91" max="91" width="10.5703125" bestFit="1" customWidth="1"/>
  </cols>
  <sheetData>
    <row r="1" spans="1:92" ht="12.75" customHeight="1" thickBot="1" x14ac:dyDescent="0.3">
      <c r="A1" s="374" t="s">
        <v>118</v>
      </c>
      <c r="B1" s="374" t="s">
        <v>119</v>
      </c>
      <c r="C1" s="374" t="s">
        <v>20</v>
      </c>
      <c r="D1" s="374" t="s">
        <v>120</v>
      </c>
      <c r="E1" s="374" t="s">
        <v>121</v>
      </c>
      <c r="F1" s="375" t="s">
        <v>122</v>
      </c>
      <c r="G1" s="374" t="s">
        <v>123</v>
      </c>
      <c r="H1" s="374" t="s">
        <v>124</v>
      </c>
      <c r="I1" s="374" t="s">
        <v>125</v>
      </c>
      <c r="J1" s="374" t="s">
        <v>126</v>
      </c>
      <c r="K1" s="374" t="s">
        <v>127</v>
      </c>
      <c r="L1" s="374" t="s">
        <v>128</v>
      </c>
      <c r="M1" s="374" t="s">
        <v>129</v>
      </c>
      <c r="N1" s="374" t="s">
        <v>130</v>
      </c>
      <c r="O1" s="374" t="s">
        <v>131</v>
      </c>
      <c r="P1" s="374" t="s">
        <v>132</v>
      </c>
      <c r="Q1" s="374" t="s">
        <v>133</v>
      </c>
      <c r="R1" s="374" t="s">
        <v>134</v>
      </c>
      <c r="S1" s="374" t="s">
        <v>135</v>
      </c>
      <c r="T1" s="374" t="s">
        <v>136</v>
      </c>
      <c r="U1" s="374" t="s">
        <v>137</v>
      </c>
      <c r="V1" s="374" t="s">
        <v>138</v>
      </c>
      <c r="W1" s="374" t="s">
        <v>139</v>
      </c>
      <c r="X1" s="374" t="s">
        <v>140</v>
      </c>
      <c r="Y1" s="374" t="s">
        <v>141</v>
      </c>
      <c r="Z1" s="374" t="s">
        <v>142</v>
      </c>
      <c r="AA1" s="374" t="s">
        <v>143</v>
      </c>
      <c r="AB1" s="374" t="s">
        <v>144</v>
      </c>
      <c r="AC1" s="374" t="s">
        <v>145</v>
      </c>
      <c r="AD1" s="374" t="s">
        <v>146</v>
      </c>
      <c r="AE1" s="374" t="s">
        <v>147</v>
      </c>
      <c r="AF1" s="374" t="s">
        <v>148</v>
      </c>
      <c r="AG1" s="374" t="s">
        <v>149</v>
      </c>
      <c r="AH1" s="374" t="s">
        <v>150</v>
      </c>
      <c r="AI1" s="374" t="s">
        <v>151</v>
      </c>
      <c r="AJ1" s="374" t="s">
        <v>152</v>
      </c>
      <c r="AK1" s="374" t="s">
        <v>153</v>
      </c>
      <c r="AL1" s="374" t="s">
        <v>154</v>
      </c>
      <c r="AM1" s="374" t="s">
        <v>155</v>
      </c>
      <c r="AN1" s="374" t="s">
        <v>156</v>
      </c>
      <c r="AO1" s="374" t="s">
        <v>157</v>
      </c>
      <c r="AP1" s="374" t="s">
        <v>158</v>
      </c>
      <c r="AQ1" s="374" t="s">
        <v>159</v>
      </c>
      <c r="AR1" s="374" t="s">
        <v>160</v>
      </c>
      <c r="AS1" s="385" t="s">
        <v>378</v>
      </c>
      <c r="AT1" s="385" t="s">
        <v>379</v>
      </c>
      <c r="AU1" s="385" t="s">
        <v>380</v>
      </c>
      <c r="AV1" s="385" t="s">
        <v>381</v>
      </c>
      <c r="AW1" s="385" t="s">
        <v>382</v>
      </c>
      <c r="AX1" s="385" t="s">
        <v>383</v>
      </c>
      <c r="AY1" s="385" t="s">
        <v>384</v>
      </c>
      <c r="AZ1" s="385" t="s">
        <v>385</v>
      </c>
      <c r="BA1" s="387" t="s">
        <v>386</v>
      </c>
      <c r="BB1" s="388" t="s">
        <v>387</v>
      </c>
      <c r="BC1" s="388" t="s">
        <v>388</v>
      </c>
      <c r="BD1" s="388" t="s">
        <v>389</v>
      </c>
      <c r="BE1" s="388" t="s">
        <v>390</v>
      </c>
      <c r="BF1" s="388" t="s">
        <v>391</v>
      </c>
      <c r="BG1" s="388" t="s">
        <v>392</v>
      </c>
      <c r="BH1" s="388" t="s">
        <v>393</v>
      </c>
      <c r="BI1" s="388" t="s">
        <v>394</v>
      </c>
      <c r="BJ1" s="388" t="s">
        <v>395</v>
      </c>
      <c r="BK1" s="388" t="s">
        <v>396</v>
      </c>
      <c r="BL1" s="389" t="s">
        <v>397</v>
      </c>
      <c r="BM1" s="389" t="s">
        <v>398</v>
      </c>
      <c r="BN1" s="388" t="s">
        <v>399</v>
      </c>
      <c r="BO1" s="388" t="s">
        <v>400</v>
      </c>
      <c r="BP1" s="388" t="s">
        <v>401</v>
      </c>
      <c r="BQ1" s="388" t="s">
        <v>402</v>
      </c>
      <c r="BR1" s="388" t="s">
        <v>403</v>
      </c>
      <c r="BS1" s="388" t="s">
        <v>404</v>
      </c>
      <c r="BT1" s="388" t="s">
        <v>405</v>
      </c>
      <c r="BU1" s="388" t="s">
        <v>406</v>
      </c>
      <c r="BV1" s="388" t="s">
        <v>407</v>
      </c>
      <c r="BW1" s="388" t="s">
        <v>408</v>
      </c>
      <c r="BX1" s="389" t="s">
        <v>409</v>
      </c>
      <c r="BY1" s="389" t="s">
        <v>410</v>
      </c>
      <c r="BZ1" s="388" t="s">
        <v>411</v>
      </c>
      <c r="CA1" s="388" t="s">
        <v>412</v>
      </c>
      <c r="CB1" s="388" t="s">
        <v>413</v>
      </c>
      <c r="CC1" s="388" t="s">
        <v>414</v>
      </c>
      <c r="CD1" s="388" t="s">
        <v>415</v>
      </c>
      <c r="CE1" s="388" t="s">
        <v>416</v>
      </c>
      <c r="CF1" s="388" t="s">
        <v>417</v>
      </c>
      <c r="CG1" s="388" t="s">
        <v>418</v>
      </c>
      <c r="CH1" s="388" t="s">
        <v>419</v>
      </c>
      <c r="CI1" s="388" t="s">
        <v>420</v>
      </c>
      <c r="CJ1" s="389" t="s">
        <v>421</v>
      </c>
      <c r="CK1" s="389" t="s">
        <v>422</v>
      </c>
      <c r="CL1" s="390" t="s">
        <v>423</v>
      </c>
      <c r="CM1" s="390" t="s">
        <v>424</v>
      </c>
      <c r="CN1" s="390" t="s">
        <v>425</v>
      </c>
    </row>
    <row r="2" spans="1:92" ht="15.75" thickBot="1" x14ac:dyDescent="0.3">
      <c r="A2" s="376" t="s">
        <v>161</v>
      </c>
      <c r="B2" s="376" t="s">
        <v>162</v>
      </c>
      <c r="C2" s="376" t="s">
        <v>163</v>
      </c>
      <c r="D2" s="376" t="s">
        <v>164</v>
      </c>
      <c r="E2" s="376" t="s">
        <v>165</v>
      </c>
      <c r="F2" s="377" t="s">
        <v>166</v>
      </c>
      <c r="G2" s="376" t="s">
        <v>167</v>
      </c>
      <c r="H2" s="378"/>
      <c r="I2" s="378"/>
      <c r="J2" s="376" t="s">
        <v>168</v>
      </c>
      <c r="K2" s="376" t="s">
        <v>169</v>
      </c>
      <c r="L2" s="376" t="s">
        <v>170</v>
      </c>
      <c r="M2" s="376" t="s">
        <v>171</v>
      </c>
      <c r="N2" s="376" t="s">
        <v>172</v>
      </c>
      <c r="O2" s="379">
        <v>1</v>
      </c>
      <c r="P2" s="384">
        <v>1</v>
      </c>
      <c r="Q2" s="384">
        <v>1</v>
      </c>
      <c r="R2" s="380">
        <v>80</v>
      </c>
      <c r="S2" s="384">
        <v>1</v>
      </c>
      <c r="T2" s="380">
        <v>33585.279999999999</v>
      </c>
      <c r="U2" s="380">
        <v>971.54</v>
      </c>
      <c r="V2" s="380">
        <v>19709.900000000001</v>
      </c>
      <c r="W2" s="380">
        <v>34216</v>
      </c>
      <c r="X2" s="380">
        <v>19990.11</v>
      </c>
      <c r="Y2" s="380">
        <v>34216</v>
      </c>
      <c r="Z2" s="380">
        <v>19860.099999999999</v>
      </c>
      <c r="AA2" s="376" t="s">
        <v>173</v>
      </c>
      <c r="AB2" s="376" t="s">
        <v>174</v>
      </c>
      <c r="AC2" s="376" t="s">
        <v>175</v>
      </c>
      <c r="AD2" s="376" t="s">
        <v>176</v>
      </c>
      <c r="AE2" s="376" t="s">
        <v>169</v>
      </c>
      <c r="AF2" s="376" t="s">
        <v>177</v>
      </c>
      <c r="AG2" s="376" t="s">
        <v>178</v>
      </c>
      <c r="AH2" s="381">
        <v>16.45</v>
      </c>
      <c r="AI2" s="379">
        <v>6104</v>
      </c>
      <c r="AJ2" s="376" t="s">
        <v>179</v>
      </c>
      <c r="AK2" s="376" t="s">
        <v>180</v>
      </c>
      <c r="AL2" s="376" t="s">
        <v>181</v>
      </c>
      <c r="AM2" s="376" t="s">
        <v>182</v>
      </c>
      <c r="AN2" s="376" t="s">
        <v>70</v>
      </c>
      <c r="AO2" s="379">
        <v>80</v>
      </c>
      <c r="AP2" s="384">
        <v>1</v>
      </c>
      <c r="AQ2" s="384">
        <v>1</v>
      </c>
      <c r="AR2" s="382" t="s">
        <v>183</v>
      </c>
      <c r="AS2" s="386">
        <f>IF(((AO2/80)*AP2*P2)&gt;1,AQ2,((AO2/80)*AP2*P2))</f>
        <v>1</v>
      </c>
      <c r="AT2">
        <f>IF(AND(M2="F",N2&lt;&gt;"NG",AS2&lt;&gt;0,AND(AR2&lt;&gt;6,AR2&lt;&gt;36,AR2&lt;&gt;56),AG2&lt;&gt;"A",OR(AG2="H",AJ2="FS")),1,IF(AND(M2="F",N2&lt;&gt;"NG",AS2&lt;&gt;0,AG2="A"),3,0))</f>
        <v>1</v>
      </c>
      <c r="AU2" s="386">
        <f>IF(AT2=0,"",IF(AND(AT2=1,M2="F",SUMIF(C2:C48,C2,AS2:AS48)&lt;=1),SUMIF(C2:C48,C2,AS2:AS48),IF(AND(AT2=1,M2="F",SUMIF(C2:C48,C2,AS2:AS48)&gt;1),1,"")))</f>
        <v>1</v>
      </c>
      <c r="AV2" s="386" t="str">
        <f>IF(AT2=0,"",IF(AND(AT2=3,M2="F",SUMIF(C2:C48,C2,AS2:AS48)&lt;=1),SUMIF(C2:C48,C2,AS2:AS48),IF(AND(AT2=3,M2="F",SUMIF(C2:C48,C2,AS2:AS48)&gt;1),1,"")))</f>
        <v/>
      </c>
      <c r="AW2" s="386">
        <f>SUMIF(C2:C48,C2,O2:O48)</f>
        <v>1</v>
      </c>
      <c r="AX2" s="386">
        <f>IF(AND(M2="F",AS2&lt;&gt;0),SUMIF(C2:C48,C2,W2:W48),0)</f>
        <v>34216</v>
      </c>
      <c r="AY2" s="386">
        <f>IF(AT2=1,W2,"")</f>
        <v>34216</v>
      </c>
      <c r="AZ2" s="386" t="str">
        <f>IF(AT2=3,W2,"")</f>
        <v/>
      </c>
      <c r="BA2" s="386">
        <f>IF(AT2=1,Y2-W2,0)</f>
        <v>0</v>
      </c>
      <c r="BB2" s="386">
        <f t="shared" ref="BB2:BB48" si="0">IF(AND(AT2=1,AK2="E",AU2&gt;=0.75,AW2=1),Health,IF(AND(AT2=1,AK2="E",AU2&gt;=0.75),Health*P2,IF(AND(AT2=1,AK2="E",AU2&gt;=0.5,AW2=1),PTHealth,IF(AND(AT2=1,AK2="E",AU2&gt;=0.5),PTHealth*P2,0))))</f>
        <v>11650</v>
      </c>
      <c r="BC2" s="386">
        <f t="shared" ref="BC2:BC48" si="1">IF(AND(AT2=3,AK2="E",AV2&gt;=0.75,AW2=1),Health,IF(AND(AT2=3,AK2="E",AV2&gt;=0.75),Health*P2,IF(AND(AT2=3,AK2="E",AV2&gt;=0.5,AW2=1),PTHealth,IF(AND(AT2=3,AK2="E",AV2&gt;=0.5),PTHealth*P2,0))))</f>
        <v>0</v>
      </c>
      <c r="BD2" s="386">
        <f t="shared" ref="BD2:BD48" si="2">IF(AND(AT2&lt;&gt;0,AX2&gt;=MAXSSDI),SSDI*MAXSSDI*P2,IF(AT2&lt;&gt;0,SSDI*W2,0))</f>
        <v>2121.3919999999998</v>
      </c>
      <c r="BE2" s="386">
        <f t="shared" ref="BE2:BE48" si="3">IF(AT2&lt;&gt;0,SSHI*W2,0)</f>
        <v>496.13200000000001</v>
      </c>
      <c r="BF2" s="386">
        <f t="shared" ref="BF2:BF48" si="4">IF(AND(AT2&lt;&gt;0,AN2&lt;&gt;"NE"),VLOOKUP(AN2,Retirement_Rates,3,FALSE)*W2,0)</f>
        <v>4201.7248</v>
      </c>
      <c r="BG2" s="386">
        <f t="shared" ref="BG2:BG48" si="5">IF(AND(AT2&lt;&gt;0,AJ2&lt;&gt;"PF"),Life*W2,0)</f>
        <v>246.69736</v>
      </c>
      <c r="BH2" s="386">
        <f t="shared" ref="BH2:BH48" si="6">IF(AND(AT2&lt;&gt;0,AM2="Y"),UI*W2,0)</f>
        <v>167.6584</v>
      </c>
      <c r="BI2" s="386">
        <f t="shared" ref="BI2:BI48" si="7">IF(AND(AT2&lt;&gt;0,N2&lt;&gt;"NR"),DHR*W2,0)</f>
        <v>189.38556</v>
      </c>
      <c r="BJ2" s="386">
        <f t="shared" ref="BJ2:BJ48" si="8">IF(AT2&lt;&gt;0,WC*W2,0)</f>
        <v>916.98880000000008</v>
      </c>
      <c r="BK2" s="386">
        <f t="shared" ref="BK2:BK48" si="9">IF(OR(AND(AT2&lt;&gt;0,AJ2&lt;&gt;"PF",AN2&lt;&gt;"NE",AG2&lt;&gt;"A"),AND(AL2="E",OR(AT2=1,AT2=3))),Sick*W2,0)</f>
        <v>0</v>
      </c>
      <c r="BL2" s="386">
        <f>IF(AT2=1,SUM(BD2:BK2),0)</f>
        <v>8339.9789199999996</v>
      </c>
      <c r="BM2" s="386">
        <f>IF(AT2=3,SUM(BD2:BK2),0)</f>
        <v>0</v>
      </c>
      <c r="BN2" s="386">
        <f t="shared" ref="BN2:BN48" si="10">IF(AND(AT2=1,AK2="E",AU2&gt;=0.75,AW2=1),HealthBY,IF(AND(AT2=1,AK2="E",AU2&gt;=0.75),HealthBY*P2,IF(AND(AT2=1,AK2="E",AU2&gt;=0.5,AW2=1),PTHealthBY,IF(AND(AT2=1,AK2="E",AU2&gt;=0.5),PTHealthBY*P2,0))))</f>
        <v>11650</v>
      </c>
      <c r="BO2" s="386">
        <f t="shared" ref="BO2:BO48" si="11">IF(AND(AT2=3,AK2="E",AV2&gt;=0.75,AW2=1),HealthBY,IF(AND(AT2=3,AK2="E",AV2&gt;=0.75),HealthBY*P2,IF(AND(AT2=3,AK2="E",AV2&gt;=0.5,AW2=1),PTHealthBY,IF(AND(AT2=3,AK2="E",AV2&gt;=0.5),PTHealthBY*P2,0))))</f>
        <v>0</v>
      </c>
      <c r="BP2" s="386">
        <f t="shared" ref="BP2:BP48" si="12">IF(AND(AT2&lt;&gt;0,(AX2+BA2)&gt;=MAXSSDIBY),SSDIBY*MAXSSDIBY*P2,IF(AT2&lt;&gt;0,SSDIBY*W2,0))</f>
        <v>2121.3919999999998</v>
      </c>
      <c r="BQ2" s="386">
        <f t="shared" ref="BQ2:BQ48" si="13">IF(AT2&lt;&gt;0,SSHIBY*W2,0)</f>
        <v>496.13200000000001</v>
      </c>
      <c r="BR2" s="386">
        <f t="shared" ref="BR2:BR48" si="14">IF(AND(AT2&lt;&gt;0,AN2&lt;&gt;"NE"),VLOOKUP(AN2,Retirement_Rates,4,FALSE)*W2,0)</f>
        <v>4201.7248</v>
      </c>
      <c r="BS2" s="386">
        <f t="shared" ref="BS2:BS48" si="15">IF(AND(AT2&lt;&gt;0,AJ2&lt;&gt;"PF"),LifeBY*W2,0)</f>
        <v>246.69736</v>
      </c>
      <c r="BT2" s="386">
        <f t="shared" ref="BT2:BT48" si="16">IF(AND(AT2&lt;&gt;0,AM2="Y"),UIBY*W2,0)</f>
        <v>0</v>
      </c>
      <c r="BU2" s="386">
        <f t="shared" ref="BU2:BU48" si="17">IF(AND(AT2&lt;&gt;0,N2&lt;&gt;"NR"),DHRBY*W2,0)</f>
        <v>189.38556</v>
      </c>
      <c r="BV2" s="386">
        <f t="shared" ref="BV2:BV48" si="18">IF(AT2&lt;&gt;0,WCBY*W2,0)</f>
        <v>954.62639999999999</v>
      </c>
      <c r="BW2" s="386">
        <f t="shared" ref="BW2:BW48" si="19">IF(OR(AND(AT2&lt;&gt;0,AJ2&lt;&gt;"PF",AN2&lt;&gt;"NE",AG2&lt;&gt;"A"),AND(AL2="E",OR(AT2=1,AT2=3))),SickBY*W2,0)</f>
        <v>0</v>
      </c>
      <c r="BX2" s="386">
        <f>IF(AT2=1,SUM(BP2:BW2),0)</f>
        <v>8209.9581199999993</v>
      </c>
      <c r="BY2" s="386">
        <f>IF(AT2=3,SUM(BP2:BW2),0)</f>
        <v>0</v>
      </c>
      <c r="BZ2" s="386">
        <f>IF(AT2=1,BN2-BB2,0)</f>
        <v>0</v>
      </c>
      <c r="CA2" s="386">
        <f>IF(AT2=3,BO2-BC2,0)</f>
        <v>0</v>
      </c>
      <c r="CB2" s="386">
        <f>BP2-BD2</f>
        <v>0</v>
      </c>
      <c r="CC2" s="386">
        <f t="shared" ref="CC2:CC48" si="20">IF(AT2&lt;&gt;0,SSHICHG*Y2,0)</f>
        <v>0</v>
      </c>
      <c r="CD2" s="386">
        <f t="shared" ref="CD2:CD48" si="21">IF(AND(AT2&lt;&gt;0,AN2&lt;&gt;"NE"),VLOOKUP(AN2,Retirement_Rates,5,FALSE)*Y2,0)</f>
        <v>0</v>
      </c>
      <c r="CE2" s="386">
        <f t="shared" ref="CE2:CE48" si="22">IF(AND(AT2&lt;&gt;0,AJ2&lt;&gt;"PF"),LifeCHG*Y2,0)</f>
        <v>0</v>
      </c>
      <c r="CF2" s="386">
        <f t="shared" ref="CF2:CF48" si="23">IF(AND(AT2&lt;&gt;0,AM2="Y"),UICHG*Y2,0)</f>
        <v>-167.6584</v>
      </c>
      <c r="CG2" s="386">
        <f t="shared" ref="CG2:CG48" si="24">IF(AND(AT2&lt;&gt;0,N2&lt;&gt;"NR"),DHRCHG*Y2,0)</f>
        <v>0</v>
      </c>
      <c r="CH2" s="386">
        <f t="shared" ref="CH2:CH48" si="25">IF(AT2&lt;&gt;0,WCCHG*Y2,0)</f>
        <v>37.637600000000006</v>
      </c>
      <c r="CI2" s="386">
        <f t="shared" ref="CI2:CI48" si="26">IF(OR(AND(AT2&lt;&gt;0,AJ2&lt;&gt;"PF",AN2&lt;&gt;"NE",AG2&lt;&gt;"A"),AND(AL2="E",OR(AT2=1,AT2=3))),SickCHG*Y2,0)</f>
        <v>0</v>
      </c>
      <c r="CJ2" s="386">
        <f>IF(AT2=1,SUM(CB2:CI2),0)</f>
        <v>-130.02080000000001</v>
      </c>
      <c r="CK2" s="386" t="str">
        <f>IF(AT2=3,SUM(CB2:CI2),"")</f>
        <v/>
      </c>
      <c r="CL2" s="386" t="str">
        <f>IF(OR(N2="NG",AG2="D"),(T2+U2),"")</f>
        <v/>
      </c>
      <c r="CM2" s="386" t="str">
        <f>IF(OR(N2="NG",AG2="D"),V2,"")</f>
        <v/>
      </c>
      <c r="CN2" s="386" t="str">
        <f>E2 &amp; "-" &amp; F2</f>
        <v>0229-15</v>
      </c>
    </row>
    <row r="3" spans="1:92" ht="15.75" thickBot="1" x14ac:dyDescent="0.3">
      <c r="A3" s="376" t="s">
        <v>161</v>
      </c>
      <c r="B3" s="376" t="s">
        <v>162</v>
      </c>
      <c r="C3" s="376" t="s">
        <v>184</v>
      </c>
      <c r="D3" s="376" t="s">
        <v>164</v>
      </c>
      <c r="E3" s="376" t="s">
        <v>165</v>
      </c>
      <c r="F3" s="377" t="s">
        <v>166</v>
      </c>
      <c r="G3" s="376" t="s">
        <v>167</v>
      </c>
      <c r="H3" s="378"/>
      <c r="I3" s="378"/>
      <c r="J3" s="376" t="s">
        <v>168</v>
      </c>
      <c r="K3" s="376" t="s">
        <v>169</v>
      </c>
      <c r="L3" s="376" t="s">
        <v>170</v>
      </c>
      <c r="M3" s="376" t="s">
        <v>171</v>
      </c>
      <c r="N3" s="376" t="s">
        <v>172</v>
      </c>
      <c r="O3" s="379">
        <v>1</v>
      </c>
      <c r="P3" s="384">
        <v>1</v>
      </c>
      <c r="Q3" s="384">
        <v>1</v>
      </c>
      <c r="R3" s="380">
        <v>80</v>
      </c>
      <c r="S3" s="384">
        <v>1</v>
      </c>
      <c r="T3" s="380">
        <v>43904.2</v>
      </c>
      <c r="U3" s="380">
        <v>727.89</v>
      </c>
      <c r="V3" s="380">
        <v>21863.09</v>
      </c>
      <c r="W3" s="380">
        <v>44824</v>
      </c>
      <c r="X3" s="380">
        <v>22575.81</v>
      </c>
      <c r="Y3" s="380">
        <v>44824</v>
      </c>
      <c r="Z3" s="380">
        <v>22405.48</v>
      </c>
      <c r="AA3" s="376" t="s">
        <v>185</v>
      </c>
      <c r="AB3" s="376" t="s">
        <v>186</v>
      </c>
      <c r="AC3" s="376" t="s">
        <v>187</v>
      </c>
      <c r="AD3" s="376" t="s">
        <v>188</v>
      </c>
      <c r="AE3" s="376" t="s">
        <v>169</v>
      </c>
      <c r="AF3" s="376" t="s">
        <v>177</v>
      </c>
      <c r="AG3" s="376" t="s">
        <v>178</v>
      </c>
      <c r="AH3" s="381">
        <v>21.55</v>
      </c>
      <c r="AI3" s="381">
        <v>64127.5</v>
      </c>
      <c r="AJ3" s="376" t="s">
        <v>179</v>
      </c>
      <c r="AK3" s="376" t="s">
        <v>180</v>
      </c>
      <c r="AL3" s="376" t="s">
        <v>181</v>
      </c>
      <c r="AM3" s="376" t="s">
        <v>182</v>
      </c>
      <c r="AN3" s="376" t="s">
        <v>70</v>
      </c>
      <c r="AO3" s="379">
        <v>80</v>
      </c>
      <c r="AP3" s="384">
        <v>1</v>
      </c>
      <c r="AQ3" s="384">
        <v>1</v>
      </c>
      <c r="AR3" s="382" t="s">
        <v>183</v>
      </c>
      <c r="AS3" s="386">
        <f t="shared" ref="AS3:AS48" si="27">IF(((AO3/80)*AP3*P3)&gt;1,AQ3,((AO3/80)*AP3*P3))</f>
        <v>1</v>
      </c>
      <c r="AT3">
        <f t="shared" ref="AT3:AT48" si="28">IF(AND(M3="F",N3&lt;&gt;"NG",AS3&lt;&gt;0,AND(AR3&lt;&gt;6,AR3&lt;&gt;36,AR3&lt;&gt;56),AG3&lt;&gt;"A",OR(AG3="H",AJ3="FS")),1,IF(AND(M3="F",N3&lt;&gt;"NG",AS3&lt;&gt;0,AG3="A"),3,0))</f>
        <v>1</v>
      </c>
      <c r="AU3" s="386">
        <f>IF(AT3=0,"",IF(AND(AT3=1,M3="F",SUMIF(C2:C48,C3,AS2:AS48)&lt;=1),SUMIF(C2:C48,C3,AS2:AS48),IF(AND(AT3=1,M3="F",SUMIF(C2:C48,C3,AS2:AS48)&gt;1),1,"")))</f>
        <v>1</v>
      </c>
      <c r="AV3" s="386" t="str">
        <f>IF(AT3=0,"",IF(AND(AT3=3,M3="F",SUMIF(C2:C48,C3,AS2:AS48)&lt;=1),SUMIF(C2:C48,C3,AS2:AS48),IF(AND(AT3=3,M3="F",SUMIF(C2:C48,C3,AS2:AS48)&gt;1),1,"")))</f>
        <v/>
      </c>
      <c r="AW3" s="386">
        <f>SUMIF(C2:C48,C3,O2:O48)</f>
        <v>1</v>
      </c>
      <c r="AX3" s="386">
        <f>IF(AND(M3="F",AS3&lt;&gt;0),SUMIF(C2:C48,C3,W2:W48),0)</f>
        <v>44824</v>
      </c>
      <c r="AY3" s="386">
        <f t="shared" ref="AY3:AY48" si="29">IF(AT3=1,W3,"")</f>
        <v>44824</v>
      </c>
      <c r="AZ3" s="386" t="str">
        <f t="shared" ref="AZ3:AZ48" si="30">IF(AT3=3,W3,"")</f>
        <v/>
      </c>
      <c r="BA3" s="386">
        <f t="shared" ref="BA3:BA48" si="31">IF(AT3=1,Y3-W3,0)</f>
        <v>0</v>
      </c>
      <c r="BB3" s="386">
        <f t="shared" si="0"/>
        <v>11650</v>
      </c>
      <c r="BC3" s="386">
        <f t="shared" si="1"/>
        <v>0</v>
      </c>
      <c r="BD3" s="386">
        <f t="shared" si="2"/>
        <v>2779.0880000000002</v>
      </c>
      <c r="BE3" s="386">
        <f t="shared" si="3"/>
        <v>649.94799999999998</v>
      </c>
      <c r="BF3" s="386">
        <f t="shared" si="4"/>
        <v>5504.3872000000001</v>
      </c>
      <c r="BG3" s="386">
        <f t="shared" si="5"/>
        <v>323.18104</v>
      </c>
      <c r="BH3" s="386">
        <f t="shared" si="6"/>
        <v>219.63759999999999</v>
      </c>
      <c r="BI3" s="386">
        <f t="shared" si="7"/>
        <v>248.10084000000001</v>
      </c>
      <c r="BJ3" s="386">
        <f t="shared" si="8"/>
        <v>1201.2832000000001</v>
      </c>
      <c r="BK3" s="386">
        <f t="shared" si="9"/>
        <v>0</v>
      </c>
      <c r="BL3" s="386">
        <f t="shared" ref="BL3:BL48" si="32">IF(AT3=1,SUM(BD3:BK3),0)</f>
        <v>10925.62588</v>
      </c>
      <c r="BM3" s="386">
        <f t="shared" ref="BM3:BM48" si="33">IF(AT3=3,SUM(BD3:BK3),0)</f>
        <v>0</v>
      </c>
      <c r="BN3" s="386">
        <f t="shared" si="10"/>
        <v>11650</v>
      </c>
      <c r="BO3" s="386">
        <f t="shared" si="11"/>
        <v>0</v>
      </c>
      <c r="BP3" s="386">
        <f t="shared" si="12"/>
        <v>2779.0880000000002</v>
      </c>
      <c r="BQ3" s="386">
        <f t="shared" si="13"/>
        <v>649.94799999999998</v>
      </c>
      <c r="BR3" s="386">
        <f t="shared" si="14"/>
        <v>5504.3872000000001</v>
      </c>
      <c r="BS3" s="386">
        <f t="shared" si="15"/>
        <v>323.18104</v>
      </c>
      <c r="BT3" s="386">
        <f t="shared" si="16"/>
        <v>0</v>
      </c>
      <c r="BU3" s="386">
        <f t="shared" si="17"/>
        <v>248.10084000000001</v>
      </c>
      <c r="BV3" s="386">
        <f t="shared" si="18"/>
        <v>1250.5896</v>
      </c>
      <c r="BW3" s="386">
        <f t="shared" si="19"/>
        <v>0</v>
      </c>
      <c r="BX3" s="386">
        <f t="shared" ref="BX3:BX48" si="34">IF(AT3=1,SUM(BP3:BW3),0)</f>
        <v>10755.294679999999</v>
      </c>
      <c r="BY3" s="386">
        <f t="shared" ref="BY3:BY48" si="35">IF(AT3=3,SUM(BP3:BW3),0)</f>
        <v>0</v>
      </c>
      <c r="BZ3" s="386">
        <f t="shared" ref="BZ3:BZ48" si="36">IF(AT3=1,BN3-BB3,0)</f>
        <v>0</v>
      </c>
      <c r="CA3" s="386">
        <f t="shared" ref="CA3:CA48" si="37">IF(AT3=3,BO3-BC3,0)</f>
        <v>0</v>
      </c>
      <c r="CB3" s="386">
        <f t="shared" ref="CB3:CB48" si="38">BP3-BD3</f>
        <v>0</v>
      </c>
      <c r="CC3" s="386">
        <f t="shared" si="20"/>
        <v>0</v>
      </c>
      <c r="CD3" s="386">
        <f t="shared" si="21"/>
        <v>0</v>
      </c>
      <c r="CE3" s="386">
        <f t="shared" si="22"/>
        <v>0</v>
      </c>
      <c r="CF3" s="386">
        <f t="shared" si="23"/>
        <v>-219.63759999999999</v>
      </c>
      <c r="CG3" s="386">
        <f t="shared" si="24"/>
        <v>0</v>
      </c>
      <c r="CH3" s="386">
        <f t="shared" si="25"/>
        <v>49.306400000000011</v>
      </c>
      <c r="CI3" s="386">
        <f t="shared" si="26"/>
        <v>0</v>
      </c>
      <c r="CJ3" s="386">
        <f t="shared" ref="CJ3:CJ48" si="39">IF(AT3=1,SUM(CB3:CI3),0)</f>
        <v>-170.33119999999997</v>
      </c>
      <c r="CK3" s="386" t="str">
        <f t="shared" ref="CK3:CK48" si="40">IF(AT3=3,SUM(CB3:CI3),"")</f>
        <v/>
      </c>
      <c r="CL3" s="386" t="str">
        <f t="shared" ref="CL3:CL48" si="41">IF(OR(N3="NG",AG3="D"),(T3+U3),"")</f>
        <v/>
      </c>
      <c r="CM3" s="386" t="str">
        <f t="shared" ref="CM3:CM48" si="42">IF(OR(N3="NG",AG3="D"),V3,"")</f>
        <v/>
      </c>
      <c r="CN3" s="386" t="str">
        <f t="shared" ref="CN3:CN48" si="43">E3 &amp; "-" &amp; F3</f>
        <v>0229-15</v>
      </c>
    </row>
    <row r="4" spans="1:92" ht="15.75" thickBot="1" x14ac:dyDescent="0.3">
      <c r="A4" s="376" t="s">
        <v>161</v>
      </c>
      <c r="B4" s="376" t="s">
        <v>162</v>
      </c>
      <c r="C4" s="376" t="s">
        <v>189</v>
      </c>
      <c r="D4" s="376" t="s">
        <v>164</v>
      </c>
      <c r="E4" s="376" t="s">
        <v>165</v>
      </c>
      <c r="F4" s="377" t="s">
        <v>166</v>
      </c>
      <c r="G4" s="376" t="s">
        <v>167</v>
      </c>
      <c r="H4" s="378"/>
      <c r="I4" s="378"/>
      <c r="J4" s="376" t="s">
        <v>168</v>
      </c>
      <c r="K4" s="376" t="s">
        <v>169</v>
      </c>
      <c r="L4" s="376" t="s">
        <v>170</v>
      </c>
      <c r="M4" s="376" t="s">
        <v>171</v>
      </c>
      <c r="N4" s="376" t="s">
        <v>172</v>
      </c>
      <c r="O4" s="379">
        <v>1</v>
      </c>
      <c r="P4" s="384">
        <v>1</v>
      </c>
      <c r="Q4" s="384">
        <v>1</v>
      </c>
      <c r="R4" s="380">
        <v>80</v>
      </c>
      <c r="S4" s="384">
        <v>1</v>
      </c>
      <c r="T4" s="380">
        <v>43709.21</v>
      </c>
      <c r="U4" s="380">
        <v>822</v>
      </c>
      <c r="V4" s="380">
        <v>22020.240000000002</v>
      </c>
      <c r="W4" s="380">
        <v>44657.599999999999</v>
      </c>
      <c r="X4" s="380">
        <v>22535.27</v>
      </c>
      <c r="Y4" s="380">
        <v>44657.599999999999</v>
      </c>
      <c r="Z4" s="380">
        <v>22365.57</v>
      </c>
      <c r="AA4" s="376" t="s">
        <v>190</v>
      </c>
      <c r="AB4" s="376" t="s">
        <v>191</v>
      </c>
      <c r="AC4" s="376" t="s">
        <v>192</v>
      </c>
      <c r="AD4" s="376" t="s">
        <v>193</v>
      </c>
      <c r="AE4" s="376" t="s">
        <v>169</v>
      </c>
      <c r="AF4" s="376" t="s">
        <v>177</v>
      </c>
      <c r="AG4" s="376" t="s">
        <v>178</v>
      </c>
      <c r="AH4" s="381">
        <v>21.47</v>
      </c>
      <c r="AI4" s="381">
        <v>63591.8</v>
      </c>
      <c r="AJ4" s="376" t="s">
        <v>179</v>
      </c>
      <c r="AK4" s="376" t="s">
        <v>180</v>
      </c>
      <c r="AL4" s="376" t="s">
        <v>181</v>
      </c>
      <c r="AM4" s="376" t="s">
        <v>182</v>
      </c>
      <c r="AN4" s="376" t="s">
        <v>70</v>
      </c>
      <c r="AO4" s="379">
        <v>80</v>
      </c>
      <c r="AP4" s="384">
        <v>1</v>
      </c>
      <c r="AQ4" s="384">
        <v>1</v>
      </c>
      <c r="AR4" s="382" t="s">
        <v>183</v>
      </c>
      <c r="AS4" s="386">
        <f t="shared" si="27"/>
        <v>1</v>
      </c>
      <c r="AT4">
        <f t="shared" si="28"/>
        <v>1</v>
      </c>
      <c r="AU4" s="386">
        <f>IF(AT4=0,"",IF(AND(AT4=1,M4="F",SUMIF(C2:C48,C4,AS2:AS48)&lt;=1),SUMIF(C2:C48,C4,AS2:AS48),IF(AND(AT4=1,M4="F",SUMIF(C2:C48,C4,AS2:AS48)&gt;1),1,"")))</f>
        <v>1</v>
      </c>
      <c r="AV4" s="386" t="str">
        <f>IF(AT4=0,"",IF(AND(AT4=3,M4="F",SUMIF(C2:C48,C4,AS2:AS48)&lt;=1),SUMIF(C2:C48,C4,AS2:AS48),IF(AND(AT4=3,M4="F",SUMIF(C2:C48,C4,AS2:AS48)&gt;1),1,"")))</f>
        <v/>
      </c>
      <c r="AW4" s="386">
        <f>SUMIF(C2:C48,C4,O2:O48)</f>
        <v>1</v>
      </c>
      <c r="AX4" s="386">
        <f>IF(AND(M4="F",AS4&lt;&gt;0),SUMIF(C2:C48,C4,W2:W48),0)</f>
        <v>44657.599999999999</v>
      </c>
      <c r="AY4" s="386">
        <f t="shared" si="29"/>
        <v>44657.599999999999</v>
      </c>
      <c r="AZ4" s="386" t="str">
        <f t="shared" si="30"/>
        <v/>
      </c>
      <c r="BA4" s="386">
        <f t="shared" si="31"/>
        <v>0</v>
      </c>
      <c r="BB4" s="386">
        <f t="shared" si="0"/>
        <v>11650</v>
      </c>
      <c r="BC4" s="386">
        <f t="shared" si="1"/>
        <v>0</v>
      </c>
      <c r="BD4" s="386">
        <f t="shared" si="2"/>
        <v>2768.7711999999997</v>
      </c>
      <c r="BE4" s="386">
        <f t="shared" si="3"/>
        <v>647.53520000000003</v>
      </c>
      <c r="BF4" s="386">
        <f t="shared" si="4"/>
        <v>5483.9532799999997</v>
      </c>
      <c r="BG4" s="386">
        <f t="shared" si="5"/>
        <v>321.98129599999999</v>
      </c>
      <c r="BH4" s="386">
        <f t="shared" si="6"/>
        <v>218.82223999999999</v>
      </c>
      <c r="BI4" s="386">
        <f t="shared" si="7"/>
        <v>247.17981599999999</v>
      </c>
      <c r="BJ4" s="386">
        <f t="shared" si="8"/>
        <v>1196.82368</v>
      </c>
      <c r="BK4" s="386">
        <f t="shared" si="9"/>
        <v>0</v>
      </c>
      <c r="BL4" s="386">
        <f t="shared" si="32"/>
        <v>10885.066711999998</v>
      </c>
      <c r="BM4" s="386">
        <f t="shared" si="33"/>
        <v>0</v>
      </c>
      <c r="BN4" s="386">
        <f t="shared" si="10"/>
        <v>11650</v>
      </c>
      <c r="BO4" s="386">
        <f t="shared" si="11"/>
        <v>0</v>
      </c>
      <c r="BP4" s="386">
        <f t="shared" si="12"/>
        <v>2768.7711999999997</v>
      </c>
      <c r="BQ4" s="386">
        <f t="shared" si="13"/>
        <v>647.53520000000003</v>
      </c>
      <c r="BR4" s="386">
        <f t="shared" si="14"/>
        <v>5483.9532799999997</v>
      </c>
      <c r="BS4" s="386">
        <f t="shared" si="15"/>
        <v>321.98129599999999</v>
      </c>
      <c r="BT4" s="386">
        <f t="shared" si="16"/>
        <v>0</v>
      </c>
      <c r="BU4" s="386">
        <f t="shared" si="17"/>
        <v>247.17981599999999</v>
      </c>
      <c r="BV4" s="386">
        <f t="shared" si="18"/>
        <v>1245.94704</v>
      </c>
      <c r="BW4" s="386">
        <f t="shared" si="19"/>
        <v>0</v>
      </c>
      <c r="BX4" s="386">
        <f t="shared" si="34"/>
        <v>10715.367832</v>
      </c>
      <c r="BY4" s="386">
        <f t="shared" si="35"/>
        <v>0</v>
      </c>
      <c r="BZ4" s="386">
        <f t="shared" si="36"/>
        <v>0</v>
      </c>
      <c r="CA4" s="386">
        <f t="shared" si="37"/>
        <v>0</v>
      </c>
      <c r="CB4" s="386">
        <f t="shared" si="38"/>
        <v>0</v>
      </c>
      <c r="CC4" s="386">
        <f t="shared" si="20"/>
        <v>0</v>
      </c>
      <c r="CD4" s="386">
        <f t="shared" si="21"/>
        <v>0</v>
      </c>
      <c r="CE4" s="386">
        <f t="shared" si="22"/>
        <v>0</v>
      </c>
      <c r="CF4" s="386">
        <f t="shared" si="23"/>
        <v>-218.82223999999999</v>
      </c>
      <c r="CG4" s="386">
        <f t="shared" si="24"/>
        <v>0</v>
      </c>
      <c r="CH4" s="386">
        <f t="shared" si="25"/>
        <v>49.123360000000012</v>
      </c>
      <c r="CI4" s="386">
        <f t="shared" si="26"/>
        <v>0</v>
      </c>
      <c r="CJ4" s="386">
        <f t="shared" si="39"/>
        <v>-169.69887999999997</v>
      </c>
      <c r="CK4" s="386" t="str">
        <f t="shared" si="40"/>
        <v/>
      </c>
      <c r="CL4" s="386" t="str">
        <f t="shared" si="41"/>
        <v/>
      </c>
      <c r="CM4" s="386" t="str">
        <f t="shared" si="42"/>
        <v/>
      </c>
      <c r="CN4" s="386" t="str">
        <f t="shared" si="43"/>
        <v>0229-15</v>
      </c>
    </row>
    <row r="5" spans="1:92" ht="15.75" thickBot="1" x14ac:dyDescent="0.3">
      <c r="A5" s="376" t="s">
        <v>161</v>
      </c>
      <c r="B5" s="376" t="s">
        <v>162</v>
      </c>
      <c r="C5" s="376" t="s">
        <v>194</v>
      </c>
      <c r="D5" s="376" t="s">
        <v>164</v>
      </c>
      <c r="E5" s="376" t="s">
        <v>165</v>
      </c>
      <c r="F5" s="377" t="s">
        <v>166</v>
      </c>
      <c r="G5" s="376" t="s">
        <v>167</v>
      </c>
      <c r="H5" s="378"/>
      <c r="I5" s="378"/>
      <c r="J5" s="376" t="s">
        <v>168</v>
      </c>
      <c r="K5" s="376" t="s">
        <v>169</v>
      </c>
      <c r="L5" s="376" t="s">
        <v>170</v>
      </c>
      <c r="M5" s="376" t="s">
        <v>171</v>
      </c>
      <c r="N5" s="376" t="s">
        <v>172</v>
      </c>
      <c r="O5" s="379">
        <v>1</v>
      </c>
      <c r="P5" s="384">
        <v>1</v>
      </c>
      <c r="Q5" s="384">
        <v>1</v>
      </c>
      <c r="R5" s="380">
        <v>80</v>
      </c>
      <c r="S5" s="384">
        <v>1</v>
      </c>
      <c r="T5" s="380">
        <v>35256.36</v>
      </c>
      <c r="U5" s="380">
        <v>288.05</v>
      </c>
      <c r="V5" s="380">
        <v>19749.02</v>
      </c>
      <c r="W5" s="380">
        <v>35942.400000000001</v>
      </c>
      <c r="X5" s="380">
        <v>20410.919999999998</v>
      </c>
      <c r="Y5" s="380">
        <v>35942.400000000001</v>
      </c>
      <c r="Z5" s="380">
        <v>20274.349999999999</v>
      </c>
      <c r="AA5" s="376" t="s">
        <v>195</v>
      </c>
      <c r="AB5" s="376" t="s">
        <v>196</v>
      </c>
      <c r="AC5" s="376" t="s">
        <v>187</v>
      </c>
      <c r="AD5" s="376" t="s">
        <v>197</v>
      </c>
      <c r="AE5" s="376" t="s">
        <v>169</v>
      </c>
      <c r="AF5" s="376" t="s">
        <v>177</v>
      </c>
      <c r="AG5" s="376" t="s">
        <v>178</v>
      </c>
      <c r="AH5" s="381">
        <v>17.28</v>
      </c>
      <c r="AI5" s="381">
        <v>15758.5</v>
      </c>
      <c r="AJ5" s="376" t="s">
        <v>179</v>
      </c>
      <c r="AK5" s="376" t="s">
        <v>180</v>
      </c>
      <c r="AL5" s="376" t="s">
        <v>181</v>
      </c>
      <c r="AM5" s="376" t="s">
        <v>182</v>
      </c>
      <c r="AN5" s="376" t="s">
        <v>70</v>
      </c>
      <c r="AO5" s="379">
        <v>80</v>
      </c>
      <c r="AP5" s="384">
        <v>1</v>
      </c>
      <c r="AQ5" s="384">
        <v>1</v>
      </c>
      <c r="AR5" s="382" t="s">
        <v>183</v>
      </c>
      <c r="AS5" s="386">
        <f t="shared" si="27"/>
        <v>1</v>
      </c>
      <c r="AT5">
        <f t="shared" si="28"/>
        <v>1</v>
      </c>
      <c r="AU5" s="386">
        <f>IF(AT5=0,"",IF(AND(AT5=1,M5="F",SUMIF(C2:C48,C5,AS2:AS48)&lt;=1),SUMIF(C2:C48,C5,AS2:AS48),IF(AND(AT5=1,M5="F",SUMIF(C2:C48,C5,AS2:AS48)&gt;1),1,"")))</f>
        <v>1</v>
      </c>
      <c r="AV5" s="386" t="str">
        <f>IF(AT5=0,"",IF(AND(AT5=3,M5="F",SUMIF(C2:C48,C5,AS2:AS48)&lt;=1),SUMIF(C2:C48,C5,AS2:AS48),IF(AND(AT5=3,M5="F",SUMIF(C2:C48,C5,AS2:AS48)&gt;1),1,"")))</f>
        <v/>
      </c>
      <c r="AW5" s="386">
        <f>SUMIF(C2:C48,C5,O2:O48)</f>
        <v>1</v>
      </c>
      <c r="AX5" s="386">
        <f>IF(AND(M5="F",AS5&lt;&gt;0),SUMIF(C2:C48,C5,W2:W48),0)</f>
        <v>35942.400000000001</v>
      </c>
      <c r="AY5" s="386">
        <f t="shared" si="29"/>
        <v>35942.400000000001</v>
      </c>
      <c r="AZ5" s="386" t="str">
        <f t="shared" si="30"/>
        <v/>
      </c>
      <c r="BA5" s="386">
        <f t="shared" si="31"/>
        <v>0</v>
      </c>
      <c r="BB5" s="386">
        <f t="shared" si="0"/>
        <v>11650</v>
      </c>
      <c r="BC5" s="386">
        <f t="shared" si="1"/>
        <v>0</v>
      </c>
      <c r="BD5" s="386">
        <f t="shared" si="2"/>
        <v>2228.4288000000001</v>
      </c>
      <c r="BE5" s="386">
        <f t="shared" si="3"/>
        <v>521.16480000000001</v>
      </c>
      <c r="BF5" s="386">
        <f t="shared" si="4"/>
        <v>4413.7267200000006</v>
      </c>
      <c r="BG5" s="386">
        <f t="shared" si="5"/>
        <v>259.14470400000005</v>
      </c>
      <c r="BH5" s="386">
        <f t="shared" si="6"/>
        <v>176.11776</v>
      </c>
      <c r="BI5" s="386">
        <f t="shared" si="7"/>
        <v>198.94118400000002</v>
      </c>
      <c r="BJ5" s="386">
        <f t="shared" si="8"/>
        <v>963.25632000000007</v>
      </c>
      <c r="BK5" s="386">
        <f t="shared" si="9"/>
        <v>0</v>
      </c>
      <c r="BL5" s="386">
        <f t="shared" si="32"/>
        <v>8760.7802880000017</v>
      </c>
      <c r="BM5" s="386">
        <f t="shared" si="33"/>
        <v>0</v>
      </c>
      <c r="BN5" s="386">
        <f t="shared" si="10"/>
        <v>11650</v>
      </c>
      <c r="BO5" s="386">
        <f t="shared" si="11"/>
        <v>0</v>
      </c>
      <c r="BP5" s="386">
        <f t="shared" si="12"/>
        <v>2228.4288000000001</v>
      </c>
      <c r="BQ5" s="386">
        <f t="shared" si="13"/>
        <v>521.16480000000001</v>
      </c>
      <c r="BR5" s="386">
        <f t="shared" si="14"/>
        <v>4413.7267200000006</v>
      </c>
      <c r="BS5" s="386">
        <f t="shared" si="15"/>
        <v>259.14470400000005</v>
      </c>
      <c r="BT5" s="386">
        <f t="shared" si="16"/>
        <v>0</v>
      </c>
      <c r="BU5" s="386">
        <f t="shared" si="17"/>
        <v>198.94118400000002</v>
      </c>
      <c r="BV5" s="386">
        <f t="shared" si="18"/>
        <v>1002.7929600000001</v>
      </c>
      <c r="BW5" s="386">
        <f t="shared" si="19"/>
        <v>0</v>
      </c>
      <c r="BX5" s="386">
        <f t="shared" si="34"/>
        <v>8624.199168000001</v>
      </c>
      <c r="BY5" s="386">
        <f t="shared" si="35"/>
        <v>0</v>
      </c>
      <c r="BZ5" s="386">
        <f t="shared" si="36"/>
        <v>0</v>
      </c>
      <c r="CA5" s="386">
        <f t="shared" si="37"/>
        <v>0</v>
      </c>
      <c r="CB5" s="386">
        <f t="shared" si="38"/>
        <v>0</v>
      </c>
      <c r="CC5" s="386">
        <f t="shared" si="20"/>
        <v>0</v>
      </c>
      <c r="CD5" s="386">
        <f t="shared" si="21"/>
        <v>0</v>
      </c>
      <c r="CE5" s="386">
        <f t="shared" si="22"/>
        <v>0</v>
      </c>
      <c r="CF5" s="386">
        <f t="shared" si="23"/>
        <v>-176.11776</v>
      </c>
      <c r="CG5" s="386">
        <f t="shared" si="24"/>
        <v>0</v>
      </c>
      <c r="CH5" s="386">
        <f t="shared" si="25"/>
        <v>39.536640000000013</v>
      </c>
      <c r="CI5" s="386">
        <f t="shared" si="26"/>
        <v>0</v>
      </c>
      <c r="CJ5" s="386">
        <f t="shared" si="39"/>
        <v>-136.58112</v>
      </c>
      <c r="CK5" s="386" t="str">
        <f t="shared" si="40"/>
        <v/>
      </c>
      <c r="CL5" s="386" t="str">
        <f t="shared" si="41"/>
        <v/>
      </c>
      <c r="CM5" s="386" t="str">
        <f t="shared" si="42"/>
        <v/>
      </c>
      <c r="CN5" s="386" t="str">
        <f t="shared" si="43"/>
        <v>0229-15</v>
      </c>
    </row>
    <row r="6" spans="1:92" ht="15.75" thickBot="1" x14ac:dyDescent="0.3">
      <c r="A6" s="376" t="s">
        <v>161</v>
      </c>
      <c r="B6" s="376" t="s">
        <v>162</v>
      </c>
      <c r="C6" s="376" t="s">
        <v>198</v>
      </c>
      <c r="D6" s="376" t="s">
        <v>199</v>
      </c>
      <c r="E6" s="376" t="s">
        <v>165</v>
      </c>
      <c r="F6" s="377" t="s">
        <v>166</v>
      </c>
      <c r="G6" s="376" t="s">
        <v>167</v>
      </c>
      <c r="H6" s="378"/>
      <c r="I6" s="378"/>
      <c r="J6" s="376" t="s">
        <v>168</v>
      </c>
      <c r="K6" s="376" t="s">
        <v>200</v>
      </c>
      <c r="L6" s="376" t="s">
        <v>201</v>
      </c>
      <c r="M6" s="376" t="s">
        <v>171</v>
      </c>
      <c r="N6" s="376" t="s">
        <v>202</v>
      </c>
      <c r="O6" s="379">
        <v>1</v>
      </c>
      <c r="P6" s="384">
        <v>1</v>
      </c>
      <c r="Q6" s="384">
        <v>1</v>
      </c>
      <c r="R6" s="380">
        <v>80</v>
      </c>
      <c r="S6" s="384">
        <v>1</v>
      </c>
      <c r="T6" s="380">
        <v>46623.02</v>
      </c>
      <c r="U6" s="380">
        <v>0</v>
      </c>
      <c r="V6" s="380">
        <v>21930.62</v>
      </c>
      <c r="W6" s="380">
        <v>47944</v>
      </c>
      <c r="X6" s="380">
        <v>23070.7</v>
      </c>
      <c r="Y6" s="380">
        <v>47944</v>
      </c>
      <c r="Z6" s="380">
        <v>22888.52</v>
      </c>
      <c r="AA6" s="376" t="s">
        <v>203</v>
      </c>
      <c r="AB6" s="376" t="s">
        <v>204</v>
      </c>
      <c r="AC6" s="376" t="s">
        <v>205</v>
      </c>
      <c r="AD6" s="376" t="s">
        <v>206</v>
      </c>
      <c r="AE6" s="376" t="s">
        <v>200</v>
      </c>
      <c r="AF6" s="376" t="s">
        <v>207</v>
      </c>
      <c r="AG6" s="376" t="s">
        <v>178</v>
      </c>
      <c r="AH6" s="381">
        <v>23.05</v>
      </c>
      <c r="AI6" s="381">
        <v>30497.5</v>
      </c>
      <c r="AJ6" s="376" t="s">
        <v>179</v>
      </c>
      <c r="AK6" s="376" t="s">
        <v>180</v>
      </c>
      <c r="AL6" s="376" t="s">
        <v>181</v>
      </c>
      <c r="AM6" s="376" t="s">
        <v>182</v>
      </c>
      <c r="AN6" s="376" t="s">
        <v>70</v>
      </c>
      <c r="AO6" s="379">
        <v>80</v>
      </c>
      <c r="AP6" s="384">
        <v>1</v>
      </c>
      <c r="AQ6" s="384">
        <v>1</v>
      </c>
      <c r="AR6" s="382" t="s">
        <v>183</v>
      </c>
      <c r="AS6" s="386">
        <f t="shared" si="27"/>
        <v>1</v>
      </c>
      <c r="AT6">
        <f t="shared" si="28"/>
        <v>1</v>
      </c>
      <c r="AU6" s="386">
        <f>IF(AT6=0,"",IF(AND(AT6=1,M6="F",SUMIF(C2:C48,C6,AS2:AS48)&lt;=1),SUMIF(C2:C48,C6,AS2:AS48),IF(AND(AT6=1,M6="F",SUMIF(C2:C48,C6,AS2:AS48)&gt;1),1,"")))</f>
        <v>1</v>
      </c>
      <c r="AV6" s="386" t="str">
        <f>IF(AT6=0,"",IF(AND(AT6=3,M6="F",SUMIF(C2:C48,C6,AS2:AS48)&lt;=1),SUMIF(C2:C48,C6,AS2:AS48),IF(AND(AT6=3,M6="F",SUMIF(C2:C48,C6,AS2:AS48)&gt;1),1,"")))</f>
        <v/>
      </c>
      <c r="AW6" s="386">
        <f>SUMIF(C2:C48,C6,O2:O48)</f>
        <v>1</v>
      </c>
      <c r="AX6" s="386">
        <f>IF(AND(M6="F",AS6&lt;&gt;0),SUMIF(C2:C48,C6,W2:W48),0)</f>
        <v>47944</v>
      </c>
      <c r="AY6" s="386">
        <f t="shared" si="29"/>
        <v>47944</v>
      </c>
      <c r="AZ6" s="386" t="str">
        <f t="shared" si="30"/>
        <v/>
      </c>
      <c r="BA6" s="386">
        <f t="shared" si="31"/>
        <v>0</v>
      </c>
      <c r="BB6" s="386">
        <f t="shared" si="0"/>
        <v>11650</v>
      </c>
      <c r="BC6" s="386">
        <f t="shared" si="1"/>
        <v>0</v>
      </c>
      <c r="BD6" s="386">
        <f t="shared" si="2"/>
        <v>2972.5279999999998</v>
      </c>
      <c r="BE6" s="386">
        <f t="shared" si="3"/>
        <v>695.18799999999999</v>
      </c>
      <c r="BF6" s="386">
        <f t="shared" si="4"/>
        <v>5887.5232000000005</v>
      </c>
      <c r="BG6" s="386">
        <f t="shared" si="5"/>
        <v>345.67624000000001</v>
      </c>
      <c r="BH6" s="386">
        <f t="shared" si="6"/>
        <v>234.9256</v>
      </c>
      <c r="BI6" s="386">
        <f t="shared" si="7"/>
        <v>0</v>
      </c>
      <c r="BJ6" s="386">
        <f t="shared" si="8"/>
        <v>1284.8992000000001</v>
      </c>
      <c r="BK6" s="386">
        <f t="shared" si="9"/>
        <v>0</v>
      </c>
      <c r="BL6" s="386">
        <f t="shared" si="32"/>
        <v>11420.740240000001</v>
      </c>
      <c r="BM6" s="386">
        <f t="shared" si="33"/>
        <v>0</v>
      </c>
      <c r="BN6" s="386">
        <f t="shared" si="10"/>
        <v>11650</v>
      </c>
      <c r="BO6" s="386">
        <f t="shared" si="11"/>
        <v>0</v>
      </c>
      <c r="BP6" s="386">
        <f t="shared" si="12"/>
        <v>2972.5279999999998</v>
      </c>
      <c r="BQ6" s="386">
        <f t="shared" si="13"/>
        <v>695.18799999999999</v>
      </c>
      <c r="BR6" s="386">
        <f t="shared" si="14"/>
        <v>5887.5232000000005</v>
      </c>
      <c r="BS6" s="386">
        <f t="shared" si="15"/>
        <v>345.67624000000001</v>
      </c>
      <c r="BT6" s="386">
        <f t="shared" si="16"/>
        <v>0</v>
      </c>
      <c r="BU6" s="386">
        <f t="shared" si="17"/>
        <v>0</v>
      </c>
      <c r="BV6" s="386">
        <f t="shared" si="18"/>
        <v>1337.6376</v>
      </c>
      <c r="BW6" s="386">
        <f t="shared" si="19"/>
        <v>0</v>
      </c>
      <c r="BX6" s="386">
        <f t="shared" si="34"/>
        <v>11238.553040000001</v>
      </c>
      <c r="BY6" s="386">
        <f t="shared" si="35"/>
        <v>0</v>
      </c>
      <c r="BZ6" s="386">
        <f t="shared" si="36"/>
        <v>0</v>
      </c>
      <c r="CA6" s="386">
        <f t="shared" si="37"/>
        <v>0</v>
      </c>
      <c r="CB6" s="386">
        <f t="shared" si="38"/>
        <v>0</v>
      </c>
      <c r="CC6" s="386">
        <f t="shared" si="20"/>
        <v>0</v>
      </c>
      <c r="CD6" s="386">
        <f t="shared" si="21"/>
        <v>0</v>
      </c>
      <c r="CE6" s="386">
        <f t="shared" si="22"/>
        <v>0</v>
      </c>
      <c r="CF6" s="386">
        <f t="shared" si="23"/>
        <v>-234.9256</v>
      </c>
      <c r="CG6" s="386">
        <f t="shared" si="24"/>
        <v>0</v>
      </c>
      <c r="CH6" s="386">
        <f t="shared" si="25"/>
        <v>52.738400000000013</v>
      </c>
      <c r="CI6" s="386">
        <f t="shared" si="26"/>
        <v>0</v>
      </c>
      <c r="CJ6" s="386">
        <f t="shared" si="39"/>
        <v>-182.18719999999999</v>
      </c>
      <c r="CK6" s="386" t="str">
        <f t="shared" si="40"/>
        <v/>
      </c>
      <c r="CL6" s="386" t="str">
        <f t="shared" si="41"/>
        <v/>
      </c>
      <c r="CM6" s="386" t="str">
        <f t="shared" si="42"/>
        <v/>
      </c>
      <c r="CN6" s="386" t="str">
        <f t="shared" si="43"/>
        <v>0229-15</v>
      </c>
    </row>
    <row r="7" spans="1:92" ht="15.75" thickBot="1" x14ac:dyDescent="0.3">
      <c r="A7" s="376" t="s">
        <v>161</v>
      </c>
      <c r="B7" s="376" t="s">
        <v>162</v>
      </c>
      <c r="C7" s="376" t="s">
        <v>208</v>
      </c>
      <c r="D7" s="376" t="s">
        <v>164</v>
      </c>
      <c r="E7" s="376" t="s">
        <v>165</v>
      </c>
      <c r="F7" s="377" t="s">
        <v>166</v>
      </c>
      <c r="G7" s="376" t="s">
        <v>167</v>
      </c>
      <c r="H7" s="378"/>
      <c r="I7" s="378"/>
      <c r="J7" s="376" t="s">
        <v>168</v>
      </c>
      <c r="K7" s="376" t="s">
        <v>169</v>
      </c>
      <c r="L7" s="376" t="s">
        <v>170</v>
      </c>
      <c r="M7" s="376" t="s">
        <v>209</v>
      </c>
      <c r="N7" s="376" t="s">
        <v>210</v>
      </c>
      <c r="O7" s="379">
        <v>0</v>
      </c>
      <c r="P7" s="384">
        <v>1</v>
      </c>
      <c r="Q7" s="384">
        <v>0</v>
      </c>
      <c r="R7" s="380">
        <v>0</v>
      </c>
      <c r="S7" s="384">
        <v>0</v>
      </c>
      <c r="T7" s="380">
        <v>0</v>
      </c>
      <c r="U7" s="380">
        <v>0</v>
      </c>
      <c r="V7" s="380">
        <v>0</v>
      </c>
      <c r="W7" s="380">
        <v>0</v>
      </c>
      <c r="X7" s="380">
        <v>0</v>
      </c>
      <c r="Y7" s="380">
        <v>0</v>
      </c>
      <c r="Z7" s="380">
        <v>0</v>
      </c>
      <c r="AA7" s="378"/>
      <c r="AB7" s="376" t="s">
        <v>45</v>
      </c>
      <c r="AC7" s="376" t="s">
        <v>45</v>
      </c>
      <c r="AD7" s="378"/>
      <c r="AE7" s="378"/>
      <c r="AF7" s="378"/>
      <c r="AG7" s="378"/>
      <c r="AH7" s="379">
        <v>0</v>
      </c>
      <c r="AI7" s="379">
        <v>0</v>
      </c>
      <c r="AJ7" s="378"/>
      <c r="AK7" s="378"/>
      <c r="AL7" s="376" t="s">
        <v>181</v>
      </c>
      <c r="AM7" s="378"/>
      <c r="AN7" s="378"/>
      <c r="AO7" s="379">
        <v>0</v>
      </c>
      <c r="AP7" s="384">
        <v>0</v>
      </c>
      <c r="AQ7" s="384">
        <v>0</v>
      </c>
      <c r="AR7" s="383"/>
      <c r="AS7" s="386">
        <f t="shared" si="27"/>
        <v>0</v>
      </c>
      <c r="AT7">
        <f t="shared" si="28"/>
        <v>0</v>
      </c>
      <c r="AU7" s="386" t="str">
        <f>IF(AT7=0,"",IF(AND(AT7=1,M7="F",SUMIF(C2:C48,C7,AS2:AS48)&lt;=1),SUMIF(C2:C48,C7,AS2:AS48),IF(AND(AT7=1,M7="F",SUMIF(C2:C48,C7,AS2:AS48)&gt;1),1,"")))</f>
        <v/>
      </c>
      <c r="AV7" s="386" t="str">
        <f>IF(AT7=0,"",IF(AND(AT7=3,M7="F",SUMIF(C2:C48,C7,AS2:AS48)&lt;=1),SUMIF(C2:C48,C7,AS2:AS48),IF(AND(AT7=3,M7="F",SUMIF(C2:C48,C7,AS2:AS48)&gt;1),1,"")))</f>
        <v/>
      </c>
      <c r="AW7" s="386">
        <f>SUMIF(C2:C48,C7,O2:O48)</f>
        <v>0</v>
      </c>
      <c r="AX7" s="386">
        <f>IF(AND(M7="F",AS7&lt;&gt;0),SUMIF(C2:C48,C7,W2:W48),0)</f>
        <v>0</v>
      </c>
      <c r="AY7" s="386" t="str">
        <f t="shared" si="29"/>
        <v/>
      </c>
      <c r="AZ7" s="386" t="str">
        <f t="shared" si="30"/>
        <v/>
      </c>
      <c r="BA7" s="386">
        <f t="shared" si="31"/>
        <v>0</v>
      </c>
      <c r="BB7" s="386">
        <f t="shared" si="0"/>
        <v>0</v>
      </c>
      <c r="BC7" s="386">
        <f t="shared" si="1"/>
        <v>0</v>
      </c>
      <c r="BD7" s="386">
        <f t="shared" si="2"/>
        <v>0</v>
      </c>
      <c r="BE7" s="386">
        <f t="shared" si="3"/>
        <v>0</v>
      </c>
      <c r="BF7" s="386">
        <f t="shared" si="4"/>
        <v>0</v>
      </c>
      <c r="BG7" s="386">
        <f t="shared" si="5"/>
        <v>0</v>
      </c>
      <c r="BH7" s="386">
        <f t="shared" si="6"/>
        <v>0</v>
      </c>
      <c r="BI7" s="386">
        <f t="shared" si="7"/>
        <v>0</v>
      </c>
      <c r="BJ7" s="386">
        <f t="shared" si="8"/>
        <v>0</v>
      </c>
      <c r="BK7" s="386">
        <f t="shared" si="9"/>
        <v>0</v>
      </c>
      <c r="BL7" s="386">
        <f t="shared" si="32"/>
        <v>0</v>
      </c>
      <c r="BM7" s="386">
        <f t="shared" si="33"/>
        <v>0</v>
      </c>
      <c r="BN7" s="386">
        <f t="shared" si="10"/>
        <v>0</v>
      </c>
      <c r="BO7" s="386">
        <f t="shared" si="11"/>
        <v>0</v>
      </c>
      <c r="BP7" s="386">
        <f t="shared" si="12"/>
        <v>0</v>
      </c>
      <c r="BQ7" s="386">
        <f t="shared" si="13"/>
        <v>0</v>
      </c>
      <c r="BR7" s="386">
        <f t="shared" si="14"/>
        <v>0</v>
      </c>
      <c r="BS7" s="386">
        <f t="shared" si="15"/>
        <v>0</v>
      </c>
      <c r="BT7" s="386">
        <f t="shared" si="16"/>
        <v>0</v>
      </c>
      <c r="BU7" s="386">
        <f t="shared" si="17"/>
        <v>0</v>
      </c>
      <c r="BV7" s="386">
        <f t="shared" si="18"/>
        <v>0</v>
      </c>
      <c r="BW7" s="386">
        <f t="shared" si="19"/>
        <v>0</v>
      </c>
      <c r="BX7" s="386">
        <f t="shared" si="34"/>
        <v>0</v>
      </c>
      <c r="BY7" s="386">
        <f t="shared" si="35"/>
        <v>0</v>
      </c>
      <c r="BZ7" s="386">
        <f t="shared" si="36"/>
        <v>0</v>
      </c>
      <c r="CA7" s="386">
        <f t="shared" si="37"/>
        <v>0</v>
      </c>
      <c r="CB7" s="386">
        <f t="shared" si="38"/>
        <v>0</v>
      </c>
      <c r="CC7" s="386">
        <f t="shared" si="20"/>
        <v>0</v>
      </c>
      <c r="CD7" s="386">
        <f t="shared" si="21"/>
        <v>0</v>
      </c>
      <c r="CE7" s="386">
        <f t="shared" si="22"/>
        <v>0</v>
      </c>
      <c r="CF7" s="386">
        <f t="shared" si="23"/>
        <v>0</v>
      </c>
      <c r="CG7" s="386">
        <f t="shared" si="24"/>
        <v>0</v>
      </c>
      <c r="CH7" s="386">
        <f t="shared" si="25"/>
        <v>0</v>
      </c>
      <c r="CI7" s="386">
        <f t="shared" si="26"/>
        <v>0</v>
      </c>
      <c r="CJ7" s="386">
        <f t="shared" si="39"/>
        <v>0</v>
      </c>
      <c r="CK7" s="386" t="str">
        <f t="shared" si="40"/>
        <v/>
      </c>
      <c r="CL7" s="386">
        <f t="shared" si="41"/>
        <v>0</v>
      </c>
      <c r="CM7" s="386">
        <f t="shared" si="42"/>
        <v>0</v>
      </c>
      <c r="CN7" s="386" t="str">
        <f t="shared" si="43"/>
        <v>0229-15</v>
      </c>
    </row>
    <row r="8" spans="1:92" ht="15.75" thickBot="1" x14ac:dyDescent="0.3">
      <c r="A8" s="376" t="s">
        <v>161</v>
      </c>
      <c r="B8" s="376" t="s">
        <v>162</v>
      </c>
      <c r="C8" s="376" t="s">
        <v>211</v>
      </c>
      <c r="D8" s="376" t="s">
        <v>164</v>
      </c>
      <c r="E8" s="376" t="s">
        <v>165</v>
      </c>
      <c r="F8" s="377" t="s">
        <v>166</v>
      </c>
      <c r="G8" s="376" t="s">
        <v>167</v>
      </c>
      <c r="H8" s="378"/>
      <c r="I8" s="378"/>
      <c r="J8" s="376" t="s">
        <v>168</v>
      </c>
      <c r="K8" s="376" t="s">
        <v>169</v>
      </c>
      <c r="L8" s="376" t="s">
        <v>170</v>
      </c>
      <c r="M8" s="376" t="s">
        <v>171</v>
      </c>
      <c r="N8" s="376" t="s">
        <v>172</v>
      </c>
      <c r="O8" s="379">
        <v>1</v>
      </c>
      <c r="P8" s="384">
        <v>1</v>
      </c>
      <c r="Q8" s="384">
        <v>1</v>
      </c>
      <c r="R8" s="380">
        <v>80</v>
      </c>
      <c r="S8" s="384">
        <v>1</v>
      </c>
      <c r="T8" s="380">
        <v>44707.94</v>
      </c>
      <c r="U8" s="380">
        <v>2988.9</v>
      </c>
      <c r="V8" s="380">
        <v>22384.71</v>
      </c>
      <c r="W8" s="380">
        <v>45552</v>
      </c>
      <c r="X8" s="380">
        <v>22753.26</v>
      </c>
      <c r="Y8" s="380">
        <v>45552</v>
      </c>
      <c r="Z8" s="380">
        <v>22580.17</v>
      </c>
      <c r="AA8" s="376" t="s">
        <v>212</v>
      </c>
      <c r="AB8" s="376" t="s">
        <v>213</v>
      </c>
      <c r="AC8" s="376" t="s">
        <v>214</v>
      </c>
      <c r="AD8" s="376" t="s">
        <v>215</v>
      </c>
      <c r="AE8" s="376" t="s">
        <v>169</v>
      </c>
      <c r="AF8" s="376" t="s">
        <v>177</v>
      </c>
      <c r="AG8" s="376" t="s">
        <v>178</v>
      </c>
      <c r="AH8" s="381">
        <v>21.9</v>
      </c>
      <c r="AI8" s="381">
        <v>40427.4</v>
      </c>
      <c r="AJ8" s="376" t="s">
        <v>179</v>
      </c>
      <c r="AK8" s="376" t="s">
        <v>180</v>
      </c>
      <c r="AL8" s="376" t="s">
        <v>181</v>
      </c>
      <c r="AM8" s="376" t="s">
        <v>182</v>
      </c>
      <c r="AN8" s="376" t="s">
        <v>70</v>
      </c>
      <c r="AO8" s="379">
        <v>80</v>
      </c>
      <c r="AP8" s="384">
        <v>1</v>
      </c>
      <c r="AQ8" s="384">
        <v>1</v>
      </c>
      <c r="AR8" s="382" t="s">
        <v>183</v>
      </c>
      <c r="AS8" s="386">
        <f t="shared" si="27"/>
        <v>1</v>
      </c>
      <c r="AT8">
        <f t="shared" si="28"/>
        <v>1</v>
      </c>
      <c r="AU8" s="386">
        <f>IF(AT8=0,"",IF(AND(AT8=1,M8="F",SUMIF(C2:C48,C8,AS2:AS48)&lt;=1),SUMIF(C2:C48,C8,AS2:AS48),IF(AND(AT8=1,M8="F",SUMIF(C2:C48,C8,AS2:AS48)&gt;1),1,"")))</f>
        <v>1</v>
      </c>
      <c r="AV8" s="386" t="str">
        <f>IF(AT8=0,"",IF(AND(AT8=3,M8="F",SUMIF(C2:C48,C8,AS2:AS48)&lt;=1),SUMIF(C2:C48,C8,AS2:AS48),IF(AND(AT8=3,M8="F",SUMIF(C2:C48,C8,AS2:AS48)&gt;1),1,"")))</f>
        <v/>
      </c>
      <c r="AW8" s="386">
        <f>SUMIF(C2:C48,C8,O2:O48)</f>
        <v>1</v>
      </c>
      <c r="AX8" s="386">
        <f>IF(AND(M8="F",AS8&lt;&gt;0),SUMIF(C2:C48,C8,W2:W48),0)</f>
        <v>45552</v>
      </c>
      <c r="AY8" s="386">
        <f t="shared" si="29"/>
        <v>45552</v>
      </c>
      <c r="AZ8" s="386" t="str">
        <f t="shared" si="30"/>
        <v/>
      </c>
      <c r="BA8" s="386">
        <f t="shared" si="31"/>
        <v>0</v>
      </c>
      <c r="BB8" s="386">
        <f t="shared" si="0"/>
        <v>11650</v>
      </c>
      <c r="BC8" s="386">
        <f t="shared" si="1"/>
        <v>0</v>
      </c>
      <c r="BD8" s="386">
        <f t="shared" si="2"/>
        <v>2824.2240000000002</v>
      </c>
      <c r="BE8" s="386">
        <f t="shared" si="3"/>
        <v>660.50400000000002</v>
      </c>
      <c r="BF8" s="386">
        <f t="shared" si="4"/>
        <v>5593.7856000000002</v>
      </c>
      <c r="BG8" s="386">
        <f t="shared" si="5"/>
        <v>328.42992000000004</v>
      </c>
      <c r="BH8" s="386">
        <f t="shared" si="6"/>
        <v>223.20480000000001</v>
      </c>
      <c r="BI8" s="386">
        <f t="shared" si="7"/>
        <v>252.13032000000001</v>
      </c>
      <c r="BJ8" s="386">
        <f t="shared" si="8"/>
        <v>1220.7936</v>
      </c>
      <c r="BK8" s="386">
        <f t="shared" si="9"/>
        <v>0</v>
      </c>
      <c r="BL8" s="386">
        <f t="shared" si="32"/>
        <v>11103.072240000001</v>
      </c>
      <c r="BM8" s="386">
        <f t="shared" si="33"/>
        <v>0</v>
      </c>
      <c r="BN8" s="386">
        <f t="shared" si="10"/>
        <v>11650</v>
      </c>
      <c r="BO8" s="386">
        <f t="shared" si="11"/>
        <v>0</v>
      </c>
      <c r="BP8" s="386">
        <f t="shared" si="12"/>
        <v>2824.2240000000002</v>
      </c>
      <c r="BQ8" s="386">
        <f t="shared" si="13"/>
        <v>660.50400000000002</v>
      </c>
      <c r="BR8" s="386">
        <f t="shared" si="14"/>
        <v>5593.7856000000002</v>
      </c>
      <c r="BS8" s="386">
        <f t="shared" si="15"/>
        <v>328.42992000000004</v>
      </c>
      <c r="BT8" s="386">
        <f t="shared" si="16"/>
        <v>0</v>
      </c>
      <c r="BU8" s="386">
        <f t="shared" si="17"/>
        <v>252.13032000000001</v>
      </c>
      <c r="BV8" s="386">
        <f t="shared" si="18"/>
        <v>1270.9008000000001</v>
      </c>
      <c r="BW8" s="386">
        <f t="shared" si="19"/>
        <v>0</v>
      </c>
      <c r="BX8" s="386">
        <f t="shared" si="34"/>
        <v>10929.97464</v>
      </c>
      <c r="BY8" s="386">
        <f t="shared" si="35"/>
        <v>0</v>
      </c>
      <c r="BZ8" s="386">
        <f t="shared" si="36"/>
        <v>0</v>
      </c>
      <c r="CA8" s="386">
        <f t="shared" si="37"/>
        <v>0</v>
      </c>
      <c r="CB8" s="386">
        <f t="shared" si="38"/>
        <v>0</v>
      </c>
      <c r="CC8" s="386">
        <f t="shared" si="20"/>
        <v>0</v>
      </c>
      <c r="CD8" s="386">
        <f t="shared" si="21"/>
        <v>0</v>
      </c>
      <c r="CE8" s="386">
        <f t="shared" si="22"/>
        <v>0</v>
      </c>
      <c r="CF8" s="386">
        <f t="shared" si="23"/>
        <v>-223.20480000000001</v>
      </c>
      <c r="CG8" s="386">
        <f t="shared" si="24"/>
        <v>0</v>
      </c>
      <c r="CH8" s="386">
        <f t="shared" si="25"/>
        <v>50.107200000000013</v>
      </c>
      <c r="CI8" s="386">
        <f t="shared" si="26"/>
        <v>0</v>
      </c>
      <c r="CJ8" s="386">
        <f t="shared" si="39"/>
        <v>-173.0976</v>
      </c>
      <c r="CK8" s="386" t="str">
        <f t="shared" si="40"/>
        <v/>
      </c>
      <c r="CL8" s="386" t="str">
        <f t="shared" si="41"/>
        <v/>
      </c>
      <c r="CM8" s="386" t="str">
        <f t="shared" si="42"/>
        <v/>
      </c>
      <c r="CN8" s="386" t="str">
        <f t="shared" si="43"/>
        <v>0229-15</v>
      </c>
    </row>
    <row r="9" spans="1:92" ht="15.75" thickBot="1" x14ac:dyDescent="0.3">
      <c r="A9" s="376" t="s">
        <v>161</v>
      </c>
      <c r="B9" s="376" t="s">
        <v>162</v>
      </c>
      <c r="C9" s="376" t="s">
        <v>216</v>
      </c>
      <c r="D9" s="376" t="s">
        <v>217</v>
      </c>
      <c r="E9" s="376" t="s">
        <v>165</v>
      </c>
      <c r="F9" s="377" t="s">
        <v>166</v>
      </c>
      <c r="G9" s="376" t="s">
        <v>167</v>
      </c>
      <c r="H9" s="378"/>
      <c r="I9" s="378"/>
      <c r="J9" s="376" t="s">
        <v>168</v>
      </c>
      <c r="K9" s="376" t="s">
        <v>218</v>
      </c>
      <c r="L9" s="376" t="s">
        <v>201</v>
      </c>
      <c r="M9" s="376" t="s">
        <v>171</v>
      </c>
      <c r="N9" s="376" t="s">
        <v>210</v>
      </c>
      <c r="O9" s="379">
        <v>0</v>
      </c>
      <c r="P9" s="384">
        <v>1</v>
      </c>
      <c r="Q9" s="384">
        <v>0</v>
      </c>
      <c r="R9" s="380">
        <v>0</v>
      </c>
      <c r="S9" s="384">
        <v>0</v>
      </c>
      <c r="T9" s="380">
        <v>97617.66</v>
      </c>
      <c r="U9" s="380">
        <v>1614.81</v>
      </c>
      <c r="V9" s="380">
        <v>13763.65</v>
      </c>
      <c r="W9" s="380">
        <v>99232.47</v>
      </c>
      <c r="X9" s="380">
        <v>13763.65</v>
      </c>
      <c r="Y9" s="380">
        <v>99232.47</v>
      </c>
      <c r="Z9" s="380">
        <v>13763.65</v>
      </c>
      <c r="AA9" s="378"/>
      <c r="AB9" s="376" t="s">
        <v>45</v>
      </c>
      <c r="AC9" s="376" t="s">
        <v>45</v>
      </c>
      <c r="AD9" s="378"/>
      <c r="AE9" s="378"/>
      <c r="AF9" s="378"/>
      <c r="AG9" s="378"/>
      <c r="AH9" s="379">
        <v>0</v>
      </c>
      <c r="AI9" s="379">
        <v>0</v>
      </c>
      <c r="AJ9" s="378"/>
      <c r="AK9" s="378"/>
      <c r="AL9" s="376" t="s">
        <v>181</v>
      </c>
      <c r="AM9" s="378"/>
      <c r="AN9" s="378"/>
      <c r="AO9" s="379">
        <v>0</v>
      </c>
      <c r="AP9" s="384">
        <v>0</v>
      </c>
      <c r="AQ9" s="384">
        <v>0</v>
      </c>
      <c r="AR9" s="383"/>
      <c r="AS9" s="386">
        <f t="shared" si="27"/>
        <v>0</v>
      </c>
      <c r="AT9">
        <f t="shared" si="28"/>
        <v>0</v>
      </c>
      <c r="AU9" s="386" t="str">
        <f>IF(AT9=0,"",IF(AND(AT9=1,M9="F",SUMIF(C2:C48,C9,AS2:AS48)&lt;=1),SUMIF(C2:C48,C9,AS2:AS48),IF(AND(AT9=1,M9="F",SUMIF(C2:C48,C9,AS2:AS48)&gt;1),1,"")))</f>
        <v/>
      </c>
      <c r="AV9" s="386" t="str">
        <f>IF(AT9=0,"",IF(AND(AT9=3,M9="F",SUMIF(C2:C48,C9,AS2:AS48)&lt;=1),SUMIF(C2:C48,C9,AS2:AS48),IF(AND(AT9=3,M9="F",SUMIF(C2:C48,C9,AS2:AS48)&gt;1),1,"")))</f>
        <v/>
      </c>
      <c r="AW9" s="386">
        <f>SUMIF(C2:C48,C9,O2:O48)</f>
        <v>0</v>
      </c>
      <c r="AX9" s="386">
        <f>IF(AND(M9="F",AS9&lt;&gt;0),SUMIF(C2:C48,C9,W2:W48),0)</f>
        <v>0</v>
      </c>
      <c r="AY9" s="386" t="str">
        <f t="shared" si="29"/>
        <v/>
      </c>
      <c r="AZ9" s="386" t="str">
        <f t="shared" si="30"/>
        <v/>
      </c>
      <c r="BA9" s="386">
        <f t="shared" si="31"/>
        <v>0</v>
      </c>
      <c r="BB9" s="386">
        <f t="shared" si="0"/>
        <v>0</v>
      </c>
      <c r="BC9" s="386">
        <f t="shared" si="1"/>
        <v>0</v>
      </c>
      <c r="BD9" s="386">
        <f t="shared" si="2"/>
        <v>0</v>
      </c>
      <c r="BE9" s="386">
        <f t="shared" si="3"/>
        <v>0</v>
      </c>
      <c r="BF9" s="386">
        <f t="shared" si="4"/>
        <v>0</v>
      </c>
      <c r="BG9" s="386">
        <f t="shared" si="5"/>
        <v>0</v>
      </c>
      <c r="BH9" s="386">
        <f t="shared" si="6"/>
        <v>0</v>
      </c>
      <c r="BI9" s="386">
        <f t="shared" si="7"/>
        <v>0</v>
      </c>
      <c r="BJ9" s="386">
        <f t="shared" si="8"/>
        <v>0</v>
      </c>
      <c r="BK9" s="386">
        <f t="shared" si="9"/>
        <v>0</v>
      </c>
      <c r="BL9" s="386">
        <f t="shared" si="32"/>
        <v>0</v>
      </c>
      <c r="BM9" s="386">
        <f t="shared" si="33"/>
        <v>0</v>
      </c>
      <c r="BN9" s="386">
        <f t="shared" si="10"/>
        <v>0</v>
      </c>
      <c r="BO9" s="386">
        <f t="shared" si="11"/>
        <v>0</v>
      </c>
      <c r="BP9" s="386">
        <f t="shared" si="12"/>
        <v>0</v>
      </c>
      <c r="BQ9" s="386">
        <f t="shared" si="13"/>
        <v>0</v>
      </c>
      <c r="BR9" s="386">
        <f t="shared" si="14"/>
        <v>0</v>
      </c>
      <c r="BS9" s="386">
        <f t="shared" si="15"/>
        <v>0</v>
      </c>
      <c r="BT9" s="386">
        <f t="shared" si="16"/>
        <v>0</v>
      </c>
      <c r="BU9" s="386">
        <f t="shared" si="17"/>
        <v>0</v>
      </c>
      <c r="BV9" s="386">
        <f t="shared" si="18"/>
        <v>0</v>
      </c>
      <c r="BW9" s="386">
        <f t="shared" si="19"/>
        <v>0</v>
      </c>
      <c r="BX9" s="386">
        <f t="shared" si="34"/>
        <v>0</v>
      </c>
      <c r="BY9" s="386">
        <f t="shared" si="35"/>
        <v>0</v>
      </c>
      <c r="BZ9" s="386">
        <f t="shared" si="36"/>
        <v>0</v>
      </c>
      <c r="CA9" s="386">
        <f t="shared" si="37"/>
        <v>0</v>
      </c>
      <c r="CB9" s="386">
        <f t="shared" si="38"/>
        <v>0</v>
      </c>
      <c r="CC9" s="386">
        <f t="shared" si="20"/>
        <v>0</v>
      </c>
      <c r="CD9" s="386">
        <f t="shared" si="21"/>
        <v>0</v>
      </c>
      <c r="CE9" s="386">
        <f t="shared" si="22"/>
        <v>0</v>
      </c>
      <c r="CF9" s="386">
        <f t="shared" si="23"/>
        <v>0</v>
      </c>
      <c r="CG9" s="386">
        <f t="shared" si="24"/>
        <v>0</v>
      </c>
      <c r="CH9" s="386">
        <f t="shared" si="25"/>
        <v>0</v>
      </c>
      <c r="CI9" s="386">
        <f t="shared" si="26"/>
        <v>0</v>
      </c>
      <c r="CJ9" s="386">
        <f t="shared" si="39"/>
        <v>0</v>
      </c>
      <c r="CK9" s="386" t="str">
        <f t="shared" si="40"/>
        <v/>
      </c>
      <c r="CL9" s="386">
        <f t="shared" si="41"/>
        <v>99232.47</v>
      </c>
      <c r="CM9" s="386">
        <f t="shared" si="42"/>
        <v>13763.65</v>
      </c>
      <c r="CN9" s="386" t="str">
        <f t="shared" si="43"/>
        <v>0229-15</v>
      </c>
    </row>
    <row r="10" spans="1:92" ht="15.75" thickBot="1" x14ac:dyDescent="0.3">
      <c r="A10" s="376" t="s">
        <v>161</v>
      </c>
      <c r="B10" s="376" t="s">
        <v>162</v>
      </c>
      <c r="C10" s="376" t="s">
        <v>219</v>
      </c>
      <c r="D10" s="376" t="s">
        <v>164</v>
      </c>
      <c r="E10" s="376" t="s">
        <v>165</v>
      </c>
      <c r="F10" s="377" t="s">
        <v>166</v>
      </c>
      <c r="G10" s="376" t="s">
        <v>167</v>
      </c>
      <c r="H10" s="378"/>
      <c r="I10" s="378"/>
      <c r="J10" s="376" t="s">
        <v>168</v>
      </c>
      <c r="K10" s="376" t="s">
        <v>169</v>
      </c>
      <c r="L10" s="376" t="s">
        <v>170</v>
      </c>
      <c r="M10" s="376" t="s">
        <v>171</v>
      </c>
      <c r="N10" s="376" t="s">
        <v>172</v>
      </c>
      <c r="O10" s="379">
        <v>1</v>
      </c>
      <c r="P10" s="384">
        <v>1</v>
      </c>
      <c r="Q10" s="384">
        <v>1</v>
      </c>
      <c r="R10" s="380">
        <v>80</v>
      </c>
      <c r="S10" s="384">
        <v>1</v>
      </c>
      <c r="T10" s="380">
        <v>33870.879999999997</v>
      </c>
      <c r="U10" s="380">
        <v>861.59</v>
      </c>
      <c r="V10" s="380">
        <v>19823.87</v>
      </c>
      <c r="W10" s="380">
        <v>34465.599999999999</v>
      </c>
      <c r="X10" s="380">
        <v>20050.95</v>
      </c>
      <c r="Y10" s="380">
        <v>34465.599999999999</v>
      </c>
      <c r="Z10" s="380">
        <v>19919.990000000002</v>
      </c>
      <c r="AA10" s="376" t="s">
        <v>220</v>
      </c>
      <c r="AB10" s="376" t="s">
        <v>221</v>
      </c>
      <c r="AC10" s="376" t="s">
        <v>222</v>
      </c>
      <c r="AD10" s="376" t="s">
        <v>223</v>
      </c>
      <c r="AE10" s="376" t="s">
        <v>169</v>
      </c>
      <c r="AF10" s="376" t="s">
        <v>177</v>
      </c>
      <c r="AG10" s="376" t="s">
        <v>178</v>
      </c>
      <c r="AH10" s="381">
        <v>16.57</v>
      </c>
      <c r="AI10" s="379">
        <v>8771</v>
      </c>
      <c r="AJ10" s="376" t="s">
        <v>179</v>
      </c>
      <c r="AK10" s="376" t="s">
        <v>180</v>
      </c>
      <c r="AL10" s="376" t="s">
        <v>181</v>
      </c>
      <c r="AM10" s="376" t="s">
        <v>182</v>
      </c>
      <c r="AN10" s="376" t="s">
        <v>70</v>
      </c>
      <c r="AO10" s="379">
        <v>80</v>
      </c>
      <c r="AP10" s="384">
        <v>1</v>
      </c>
      <c r="AQ10" s="384">
        <v>1</v>
      </c>
      <c r="AR10" s="382" t="s">
        <v>183</v>
      </c>
      <c r="AS10" s="386">
        <f t="shared" si="27"/>
        <v>1</v>
      </c>
      <c r="AT10">
        <f t="shared" si="28"/>
        <v>1</v>
      </c>
      <c r="AU10" s="386">
        <f>IF(AT10=0,"",IF(AND(AT10=1,M10="F",SUMIF(C2:C48,C10,AS2:AS48)&lt;=1),SUMIF(C2:C48,C10,AS2:AS48),IF(AND(AT10=1,M10="F",SUMIF(C2:C48,C10,AS2:AS48)&gt;1),1,"")))</f>
        <v>1</v>
      </c>
      <c r="AV10" s="386" t="str">
        <f>IF(AT10=0,"",IF(AND(AT10=3,M10="F",SUMIF(C2:C48,C10,AS2:AS48)&lt;=1),SUMIF(C2:C48,C10,AS2:AS48),IF(AND(AT10=3,M10="F",SUMIF(C2:C48,C10,AS2:AS48)&gt;1),1,"")))</f>
        <v/>
      </c>
      <c r="AW10" s="386">
        <f>SUMIF(C2:C48,C10,O2:O48)</f>
        <v>1</v>
      </c>
      <c r="AX10" s="386">
        <f>IF(AND(M10="F",AS10&lt;&gt;0),SUMIF(C2:C48,C10,W2:W48),0)</f>
        <v>34465.599999999999</v>
      </c>
      <c r="AY10" s="386">
        <f t="shared" si="29"/>
        <v>34465.599999999999</v>
      </c>
      <c r="AZ10" s="386" t="str">
        <f t="shared" si="30"/>
        <v/>
      </c>
      <c r="BA10" s="386">
        <f t="shared" si="31"/>
        <v>0</v>
      </c>
      <c r="BB10" s="386">
        <f t="shared" si="0"/>
        <v>11650</v>
      </c>
      <c r="BC10" s="386">
        <f t="shared" si="1"/>
        <v>0</v>
      </c>
      <c r="BD10" s="386">
        <f t="shared" si="2"/>
        <v>2136.8671999999997</v>
      </c>
      <c r="BE10" s="386">
        <f t="shared" si="3"/>
        <v>499.75119999999998</v>
      </c>
      <c r="BF10" s="386">
        <f t="shared" si="4"/>
        <v>4232.3756800000001</v>
      </c>
      <c r="BG10" s="386">
        <f t="shared" si="5"/>
        <v>248.49697599999999</v>
      </c>
      <c r="BH10" s="386">
        <f t="shared" si="6"/>
        <v>168.88144</v>
      </c>
      <c r="BI10" s="386">
        <f t="shared" si="7"/>
        <v>190.76709599999998</v>
      </c>
      <c r="BJ10" s="386">
        <f t="shared" si="8"/>
        <v>923.67808000000002</v>
      </c>
      <c r="BK10" s="386">
        <f t="shared" si="9"/>
        <v>0</v>
      </c>
      <c r="BL10" s="386">
        <f t="shared" si="32"/>
        <v>8400.817672000001</v>
      </c>
      <c r="BM10" s="386">
        <f t="shared" si="33"/>
        <v>0</v>
      </c>
      <c r="BN10" s="386">
        <f t="shared" si="10"/>
        <v>11650</v>
      </c>
      <c r="BO10" s="386">
        <f t="shared" si="11"/>
        <v>0</v>
      </c>
      <c r="BP10" s="386">
        <f t="shared" si="12"/>
        <v>2136.8671999999997</v>
      </c>
      <c r="BQ10" s="386">
        <f t="shared" si="13"/>
        <v>499.75119999999998</v>
      </c>
      <c r="BR10" s="386">
        <f t="shared" si="14"/>
        <v>4232.3756800000001</v>
      </c>
      <c r="BS10" s="386">
        <f t="shared" si="15"/>
        <v>248.49697599999999</v>
      </c>
      <c r="BT10" s="386">
        <f t="shared" si="16"/>
        <v>0</v>
      </c>
      <c r="BU10" s="386">
        <f t="shared" si="17"/>
        <v>190.76709599999998</v>
      </c>
      <c r="BV10" s="386">
        <f t="shared" si="18"/>
        <v>961.59023999999999</v>
      </c>
      <c r="BW10" s="386">
        <f t="shared" si="19"/>
        <v>0</v>
      </c>
      <c r="BX10" s="386">
        <f t="shared" si="34"/>
        <v>8269.8483919999999</v>
      </c>
      <c r="BY10" s="386">
        <f t="shared" si="35"/>
        <v>0</v>
      </c>
      <c r="BZ10" s="386">
        <f t="shared" si="36"/>
        <v>0</v>
      </c>
      <c r="CA10" s="386">
        <f t="shared" si="37"/>
        <v>0</v>
      </c>
      <c r="CB10" s="386">
        <f t="shared" si="38"/>
        <v>0</v>
      </c>
      <c r="CC10" s="386">
        <f t="shared" si="20"/>
        <v>0</v>
      </c>
      <c r="CD10" s="386">
        <f t="shared" si="21"/>
        <v>0</v>
      </c>
      <c r="CE10" s="386">
        <f t="shared" si="22"/>
        <v>0</v>
      </c>
      <c r="CF10" s="386">
        <f t="shared" si="23"/>
        <v>-168.88144</v>
      </c>
      <c r="CG10" s="386">
        <f t="shared" si="24"/>
        <v>0</v>
      </c>
      <c r="CH10" s="386">
        <f t="shared" si="25"/>
        <v>37.912160000000007</v>
      </c>
      <c r="CI10" s="386">
        <f t="shared" si="26"/>
        <v>0</v>
      </c>
      <c r="CJ10" s="386">
        <f t="shared" si="39"/>
        <v>-130.96928</v>
      </c>
      <c r="CK10" s="386" t="str">
        <f t="shared" si="40"/>
        <v/>
      </c>
      <c r="CL10" s="386" t="str">
        <f t="shared" si="41"/>
        <v/>
      </c>
      <c r="CM10" s="386" t="str">
        <f t="shared" si="42"/>
        <v/>
      </c>
      <c r="CN10" s="386" t="str">
        <f t="shared" si="43"/>
        <v>0229-15</v>
      </c>
    </row>
    <row r="11" spans="1:92" ht="15.75" thickBot="1" x14ac:dyDescent="0.3">
      <c r="A11" s="376" t="s">
        <v>161</v>
      </c>
      <c r="B11" s="376" t="s">
        <v>162</v>
      </c>
      <c r="C11" s="376" t="s">
        <v>224</v>
      </c>
      <c r="D11" s="376" t="s">
        <v>225</v>
      </c>
      <c r="E11" s="376" t="s">
        <v>165</v>
      </c>
      <c r="F11" s="377" t="s">
        <v>166</v>
      </c>
      <c r="G11" s="376" t="s">
        <v>167</v>
      </c>
      <c r="H11" s="378"/>
      <c r="I11" s="378"/>
      <c r="J11" s="376" t="s">
        <v>168</v>
      </c>
      <c r="K11" s="376" t="s">
        <v>226</v>
      </c>
      <c r="L11" s="376" t="s">
        <v>201</v>
      </c>
      <c r="M11" s="376" t="s">
        <v>171</v>
      </c>
      <c r="N11" s="376" t="s">
        <v>210</v>
      </c>
      <c r="O11" s="379">
        <v>0</v>
      </c>
      <c r="P11" s="384">
        <v>1</v>
      </c>
      <c r="Q11" s="384">
        <v>0</v>
      </c>
      <c r="R11" s="380">
        <v>0</v>
      </c>
      <c r="S11" s="384">
        <v>0</v>
      </c>
      <c r="T11" s="380">
        <v>2000</v>
      </c>
      <c r="U11" s="380">
        <v>0</v>
      </c>
      <c r="V11" s="380">
        <v>296.36</v>
      </c>
      <c r="W11" s="380">
        <v>2000</v>
      </c>
      <c r="X11" s="380">
        <v>296.36</v>
      </c>
      <c r="Y11" s="380">
        <v>2000</v>
      </c>
      <c r="Z11" s="380">
        <v>296.36</v>
      </c>
      <c r="AA11" s="378"/>
      <c r="AB11" s="376" t="s">
        <v>45</v>
      </c>
      <c r="AC11" s="376" t="s">
        <v>45</v>
      </c>
      <c r="AD11" s="378"/>
      <c r="AE11" s="378"/>
      <c r="AF11" s="378"/>
      <c r="AG11" s="378"/>
      <c r="AH11" s="379">
        <v>0</v>
      </c>
      <c r="AI11" s="379">
        <v>0</v>
      </c>
      <c r="AJ11" s="378"/>
      <c r="AK11" s="378"/>
      <c r="AL11" s="376" t="s">
        <v>181</v>
      </c>
      <c r="AM11" s="378"/>
      <c r="AN11" s="378"/>
      <c r="AO11" s="379">
        <v>0</v>
      </c>
      <c r="AP11" s="384">
        <v>0</v>
      </c>
      <c r="AQ11" s="384">
        <v>0</v>
      </c>
      <c r="AR11" s="383"/>
      <c r="AS11" s="386">
        <f t="shared" si="27"/>
        <v>0</v>
      </c>
      <c r="AT11">
        <f t="shared" si="28"/>
        <v>0</v>
      </c>
      <c r="AU11" s="386" t="str">
        <f>IF(AT11=0,"",IF(AND(AT11=1,M11="F",SUMIF(C2:C48,C11,AS2:AS48)&lt;=1),SUMIF(C2:C48,C11,AS2:AS48),IF(AND(AT11=1,M11="F",SUMIF(C2:C48,C11,AS2:AS48)&gt;1),1,"")))</f>
        <v/>
      </c>
      <c r="AV11" s="386" t="str">
        <f>IF(AT11=0,"",IF(AND(AT11=3,M11="F",SUMIF(C2:C48,C11,AS2:AS48)&lt;=1),SUMIF(C2:C48,C11,AS2:AS48),IF(AND(AT11=3,M11="F",SUMIF(C2:C48,C11,AS2:AS48)&gt;1),1,"")))</f>
        <v/>
      </c>
      <c r="AW11" s="386">
        <f>SUMIF(C2:C48,C11,O2:O48)</f>
        <v>0</v>
      </c>
      <c r="AX11" s="386">
        <f>IF(AND(M11="F",AS11&lt;&gt;0),SUMIF(C2:C48,C11,W2:W48),0)</f>
        <v>0</v>
      </c>
      <c r="AY11" s="386" t="str">
        <f t="shared" si="29"/>
        <v/>
      </c>
      <c r="AZ11" s="386" t="str">
        <f t="shared" si="30"/>
        <v/>
      </c>
      <c r="BA11" s="386">
        <f t="shared" si="31"/>
        <v>0</v>
      </c>
      <c r="BB11" s="386">
        <f t="shared" si="0"/>
        <v>0</v>
      </c>
      <c r="BC11" s="386">
        <f t="shared" si="1"/>
        <v>0</v>
      </c>
      <c r="BD11" s="386">
        <f t="shared" si="2"/>
        <v>0</v>
      </c>
      <c r="BE11" s="386">
        <f t="shared" si="3"/>
        <v>0</v>
      </c>
      <c r="BF11" s="386">
        <f t="shared" si="4"/>
        <v>0</v>
      </c>
      <c r="BG11" s="386">
        <f t="shared" si="5"/>
        <v>0</v>
      </c>
      <c r="BH11" s="386">
        <f t="shared" si="6"/>
        <v>0</v>
      </c>
      <c r="BI11" s="386">
        <f t="shared" si="7"/>
        <v>0</v>
      </c>
      <c r="BJ11" s="386">
        <f t="shared" si="8"/>
        <v>0</v>
      </c>
      <c r="BK11" s="386">
        <f t="shared" si="9"/>
        <v>0</v>
      </c>
      <c r="BL11" s="386">
        <f t="shared" si="32"/>
        <v>0</v>
      </c>
      <c r="BM11" s="386">
        <f t="shared" si="33"/>
        <v>0</v>
      </c>
      <c r="BN11" s="386">
        <f t="shared" si="10"/>
        <v>0</v>
      </c>
      <c r="BO11" s="386">
        <f t="shared" si="11"/>
        <v>0</v>
      </c>
      <c r="BP11" s="386">
        <f t="shared" si="12"/>
        <v>0</v>
      </c>
      <c r="BQ11" s="386">
        <f t="shared" si="13"/>
        <v>0</v>
      </c>
      <c r="BR11" s="386">
        <f t="shared" si="14"/>
        <v>0</v>
      </c>
      <c r="BS11" s="386">
        <f t="shared" si="15"/>
        <v>0</v>
      </c>
      <c r="BT11" s="386">
        <f t="shared" si="16"/>
        <v>0</v>
      </c>
      <c r="BU11" s="386">
        <f t="shared" si="17"/>
        <v>0</v>
      </c>
      <c r="BV11" s="386">
        <f t="shared" si="18"/>
        <v>0</v>
      </c>
      <c r="BW11" s="386">
        <f t="shared" si="19"/>
        <v>0</v>
      </c>
      <c r="BX11" s="386">
        <f t="shared" si="34"/>
        <v>0</v>
      </c>
      <c r="BY11" s="386">
        <f t="shared" si="35"/>
        <v>0</v>
      </c>
      <c r="BZ11" s="386">
        <f t="shared" si="36"/>
        <v>0</v>
      </c>
      <c r="CA11" s="386">
        <f t="shared" si="37"/>
        <v>0</v>
      </c>
      <c r="CB11" s="386">
        <f t="shared" si="38"/>
        <v>0</v>
      </c>
      <c r="CC11" s="386">
        <f t="shared" si="20"/>
        <v>0</v>
      </c>
      <c r="CD11" s="386">
        <f t="shared" si="21"/>
        <v>0</v>
      </c>
      <c r="CE11" s="386">
        <f t="shared" si="22"/>
        <v>0</v>
      </c>
      <c r="CF11" s="386">
        <f t="shared" si="23"/>
        <v>0</v>
      </c>
      <c r="CG11" s="386">
        <f t="shared" si="24"/>
        <v>0</v>
      </c>
      <c r="CH11" s="386">
        <f t="shared" si="25"/>
        <v>0</v>
      </c>
      <c r="CI11" s="386">
        <f t="shared" si="26"/>
        <v>0</v>
      </c>
      <c r="CJ11" s="386">
        <f t="shared" si="39"/>
        <v>0</v>
      </c>
      <c r="CK11" s="386" t="str">
        <f t="shared" si="40"/>
        <v/>
      </c>
      <c r="CL11" s="386">
        <f t="shared" si="41"/>
        <v>2000</v>
      </c>
      <c r="CM11" s="386">
        <f t="shared" si="42"/>
        <v>296.36</v>
      </c>
      <c r="CN11" s="386" t="str">
        <f t="shared" si="43"/>
        <v>0229-15</v>
      </c>
    </row>
    <row r="12" spans="1:92" ht="15.75" thickBot="1" x14ac:dyDescent="0.3">
      <c r="A12" s="376" t="s">
        <v>161</v>
      </c>
      <c r="B12" s="376" t="s">
        <v>162</v>
      </c>
      <c r="C12" s="376" t="s">
        <v>227</v>
      </c>
      <c r="D12" s="376" t="s">
        <v>164</v>
      </c>
      <c r="E12" s="376" t="s">
        <v>165</v>
      </c>
      <c r="F12" s="377" t="s">
        <v>166</v>
      </c>
      <c r="G12" s="376" t="s">
        <v>167</v>
      </c>
      <c r="H12" s="378"/>
      <c r="I12" s="378"/>
      <c r="J12" s="376" t="s">
        <v>168</v>
      </c>
      <c r="K12" s="376" t="s">
        <v>169</v>
      </c>
      <c r="L12" s="376" t="s">
        <v>170</v>
      </c>
      <c r="M12" s="376" t="s">
        <v>171</v>
      </c>
      <c r="N12" s="376" t="s">
        <v>172</v>
      </c>
      <c r="O12" s="379">
        <v>1</v>
      </c>
      <c r="P12" s="384">
        <v>1</v>
      </c>
      <c r="Q12" s="384">
        <v>1</v>
      </c>
      <c r="R12" s="380">
        <v>80</v>
      </c>
      <c r="S12" s="384">
        <v>1</v>
      </c>
      <c r="T12" s="380">
        <v>32996.870000000003</v>
      </c>
      <c r="U12" s="380">
        <v>490.3</v>
      </c>
      <c r="V12" s="380">
        <v>19345.419999999998</v>
      </c>
      <c r="W12" s="380">
        <v>33571.199999999997</v>
      </c>
      <c r="X12" s="380">
        <v>19832.939999999999</v>
      </c>
      <c r="Y12" s="380">
        <v>33571.199999999997</v>
      </c>
      <c r="Z12" s="380">
        <v>19705.38</v>
      </c>
      <c r="AA12" s="376" t="s">
        <v>228</v>
      </c>
      <c r="AB12" s="376" t="s">
        <v>229</v>
      </c>
      <c r="AC12" s="376" t="s">
        <v>230</v>
      </c>
      <c r="AD12" s="376" t="s">
        <v>197</v>
      </c>
      <c r="AE12" s="376" t="s">
        <v>169</v>
      </c>
      <c r="AF12" s="376" t="s">
        <v>177</v>
      </c>
      <c r="AG12" s="376" t="s">
        <v>178</v>
      </c>
      <c r="AH12" s="381">
        <v>16.14</v>
      </c>
      <c r="AI12" s="381">
        <v>5670.7</v>
      </c>
      <c r="AJ12" s="376" t="s">
        <v>179</v>
      </c>
      <c r="AK12" s="376" t="s">
        <v>180</v>
      </c>
      <c r="AL12" s="376" t="s">
        <v>181</v>
      </c>
      <c r="AM12" s="376" t="s">
        <v>182</v>
      </c>
      <c r="AN12" s="376" t="s">
        <v>70</v>
      </c>
      <c r="AO12" s="379">
        <v>80</v>
      </c>
      <c r="AP12" s="384">
        <v>1</v>
      </c>
      <c r="AQ12" s="384">
        <v>1</v>
      </c>
      <c r="AR12" s="382" t="s">
        <v>183</v>
      </c>
      <c r="AS12" s="386">
        <f t="shared" si="27"/>
        <v>1</v>
      </c>
      <c r="AT12">
        <f t="shared" si="28"/>
        <v>1</v>
      </c>
      <c r="AU12" s="386">
        <f>IF(AT12=0,"",IF(AND(AT12=1,M12="F",SUMIF(C2:C48,C12,AS2:AS48)&lt;=1),SUMIF(C2:C48,C12,AS2:AS48),IF(AND(AT12=1,M12="F",SUMIF(C2:C48,C12,AS2:AS48)&gt;1),1,"")))</f>
        <v>1</v>
      </c>
      <c r="AV12" s="386" t="str">
        <f>IF(AT12=0,"",IF(AND(AT12=3,M12="F",SUMIF(C2:C48,C12,AS2:AS48)&lt;=1),SUMIF(C2:C48,C12,AS2:AS48),IF(AND(AT12=3,M12="F",SUMIF(C2:C48,C12,AS2:AS48)&gt;1),1,"")))</f>
        <v/>
      </c>
      <c r="AW12" s="386">
        <f>SUMIF(C2:C48,C12,O2:O48)</f>
        <v>1</v>
      </c>
      <c r="AX12" s="386">
        <f>IF(AND(M12="F",AS12&lt;&gt;0),SUMIF(C2:C48,C12,W2:W48),0)</f>
        <v>33571.199999999997</v>
      </c>
      <c r="AY12" s="386">
        <f t="shared" si="29"/>
        <v>33571.199999999997</v>
      </c>
      <c r="AZ12" s="386" t="str">
        <f t="shared" si="30"/>
        <v/>
      </c>
      <c r="BA12" s="386">
        <f t="shared" si="31"/>
        <v>0</v>
      </c>
      <c r="BB12" s="386">
        <f t="shared" si="0"/>
        <v>11650</v>
      </c>
      <c r="BC12" s="386">
        <f t="shared" si="1"/>
        <v>0</v>
      </c>
      <c r="BD12" s="386">
        <f t="shared" si="2"/>
        <v>2081.4143999999997</v>
      </c>
      <c r="BE12" s="386">
        <f t="shared" si="3"/>
        <v>486.7824</v>
      </c>
      <c r="BF12" s="386">
        <f t="shared" si="4"/>
        <v>4122.5433599999997</v>
      </c>
      <c r="BG12" s="386">
        <f t="shared" si="5"/>
        <v>242.04835199999999</v>
      </c>
      <c r="BH12" s="386">
        <f t="shared" si="6"/>
        <v>164.49887999999999</v>
      </c>
      <c r="BI12" s="386">
        <f t="shared" si="7"/>
        <v>185.81659199999999</v>
      </c>
      <c r="BJ12" s="386">
        <f t="shared" si="8"/>
        <v>899.70815999999991</v>
      </c>
      <c r="BK12" s="386">
        <f t="shared" si="9"/>
        <v>0</v>
      </c>
      <c r="BL12" s="386">
        <f t="shared" si="32"/>
        <v>8182.8121439999995</v>
      </c>
      <c r="BM12" s="386">
        <f t="shared" si="33"/>
        <v>0</v>
      </c>
      <c r="BN12" s="386">
        <f t="shared" si="10"/>
        <v>11650</v>
      </c>
      <c r="BO12" s="386">
        <f t="shared" si="11"/>
        <v>0</v>
      </c>
      <c r="BP12" s="386">
        <f t="shared" si="12"/>
        <v>2081.4143999999997</v>
      </c>
      <c r="BQ12" s="386">
        <f t="shared" si="13"/>
        <v>486.7824</v>
      </c>
      <c r="BR12" s="386">
        <f t="shared" si="14"/>
        <v>4122.5433599999997</v>
      </c>
      <c r="BS12" s="386">
        <f t="shared" si="15"/>
        <v>242.04835199999999</v>
      </c>
      <c r="BT12" s="386">
        <f t="shared" si="16"/>
        <v>0</v>
      </c>
      <c r="BU12" s="386">
        <f t="shared" si="17"/>
        <v>185.81659199999999</v>
      </c>
      <c r="BV12" s="386">
        <f t="shared" si="18"/>
        <v>936.63648000000001</v>
      </c>
      <c r="BW12" s="386">
        <f t="shared" si="19"/>
        <v>0</v>
      </c>
      <c r="BX12" s="386">
        <f t="shared" si="34"/>
        <v>8055.2415839999994</v>
      </c>
      <c r="BY12" s="386">
        <f t="shared" si="35"/>
        <v>0</v>
      </c>
      <c r="BZ12" s="386">
        <f t="shared" si="36"/>
        <v>0</v>
      </c>
      <c r="CA12" s="386">
        <f t="shared" si="37"/>
        <v>0</v>
      </c>
      <c r="CB12" s="386">
        <f t="shared" si="38"/>
        <v>0</v>
      </c>
      <c r="CC12" s="386">
        <f t="shared" si="20"/>
        <v>0</v>
      </c>
      <c r="CD12" s="386">
        <f t="shared" si="21"/>
        <v>0</v>
      </c>
      <c r="CE12" s="386">
        <f t="shared" si="22"/>
        <v>0</v>
      </c>
      <c r="CF12" s="386">
        <f t="shared" si="23"/>
        <v>-164.49887999999999</v>
      </c>
      <c r="CG12" s="386">
        <f t="shared" si="24"/>
        <v>0</v>
      </c>
      <c r="CH12" s="386">
        <f t="shared" si="25"/>
        <v>36.928320000000006</v>
      </c>
      <c r="CI12" s="386">
        <f t="shared" si="26"/>
        <v>0</v>
      </c>
      <c r="CJ12" s="386">
        <f t="shared" si="39"/>
        <v>-127.57055999999997</v>
      </c>
      <c r="CK12" s="386" t="str">
        <f t="shared" si="40"/>
        <v/>
      </c>
      <c r="CL12" s="386" t="str">
        <f t="shared" si="41"/>
        <v/>
      </c>
      <c r="CM12" s="386" t="str">
        <f t="shared" si="42"/>
        <v/>
      </c>
      <c r="CN12" s="386" t="str">
        <f t="shared" si="43"/>
        <v>0229-15</v>
      </c>
    </row>
    <row r="13" spans="1:92" ht="15.75" thickBot="1" x14ac:dyDescent="0.3">
      <c r="A13" s="376" t="s">
        <v>161</v>
      </c>
      <c r="B13" s="376" t="s">
        <v>162</v>
      </c>
      <c r="C13" s="376" t="s">
        <v>231</v>
      </c>
      <c r="D13" s="376" t="s">
        <v>199</v>
      </c>
      <c r="E13" s="376" t="s">
        <v>165</v>
      </c>
      <c r="F13" s="377" t="s">
        <v>166</v>
      </c>
      <c r="G13" s="376" t="s">
        <v>167</v>
      </c>
      <c r="H13" s="378"/>
      <c r="I13" s="378"/>
      <c r="J13" s="376" t="s">
        <v>168</v>
      </c>
      <c r="K13" s="376" t="s">
        <v>200</v>
      </c>
      <c r="L13" s="376" t="s">
        <v>201</v>
      </c>
      <c r="M13" s="376" t="s">
        <v>171</v>
      </c>
      <c r="N13" s="376" t="s">
        <v>210</v>
      </c>
      <c r="O13" s="379">
        <v>0</v>
      </c>
      <c r="P13" s="384">
        <v>1</v>
      </c>
      <c r="Q13" s="384">
        <v>0</v>
      </c>
      <c r="R13" s="380">
        <v>0</v>
      </c>
      <c r="S13" s="384">
        <v>0</v>
      </c>
      <c r="T13" s="380">
        <v>18291.45</v>
      </c>
      <c r="U13" s="380">
        <v>223.92</v>
      </c>
      <c r="V13" s="380">
        <v>2257.91</v>
      </c>
      <c r="W13" s="380">
        <v>18515.37</v>
      </c>
      <c r="X13" s="380">
        <v>2257.91</v>
      </c>
      <c r="Y13" s="380">
        <v>18515.37</v>
      </c>
      <c r="Z13" s="380">
        <v>2257.91</v>
      </c>
      <c r="AA13" s="378"/>
      <c r="AB13" s="376" t="s">
        <v>45</v>
      </c>
      <c r="AC13" s="376" t="s">
        <v>45</v>
      </c>
      <c r="AD13" s="378"/>
      <c r="AE13" s="378"/>
      <c r="AF13" s="378"/>
      <c r="AG13" s="378"/>
      <c r="AH13" s="379">
        <v>0</v>
      </c>
      <c r="AI13" s="379">
        <v>0</v>
      </c>
      <c r="AJ13" s="378"/>
      <c r="AK13" s="378"/>
      <c r="AL13" s="376" t="s">
        <v>181</v>
      </c>
      <c r="AM13" s="378"/>
      <c r="AN13" s="378"/>
      <c r="AO13" s="379">
        <v>0</v>
      </c>
      <c r="AP13" s="384">
        <v>0</v>
      </c>
      <c r="AQ13" s="384">
        <v>0</v>
      </c>
      <c r="AR13" s="383"/>
      <c r="AS13" s="386">
        <f t="shared" si="27"/>
        <v>0</v>
      </c>
      <c r="AT13">
        <f t="shared" si="28"/>
        <v>0</v>
      </c>
      <c r="AU13" s="386" t="str">
        <f>IF(AT13=0,"",IF(AND(AT13=1,M13="F",SUMIF(C2:C48,C13,AS2:AS48)&lt;=1),SUMIF(C2:C48,C13,AS2:AS48),IF(AND(AT13=1,M13="F",SUMIF(C2:C48,C13,AS2:AS48)&gt;1),1,"")))</f>
        <v/>
      </c>
      <c r="AV13" s="386" t="str">
        <f>IF(AT13=0,"",IF(AND(AT13=3,M13="F",SUMIF(C2:C48,C13,AS2:AS48)&lt;=1),SUMIF(C2:C48,C13,AS2:AS48),IF(AND(AT13=3,M13="F",SUMIF(C2:C48,C13,AS2:AS48)&gt;1),1,"")))</f>
        <v/>
      </c>
      <c r="AW13" s="386">
        <f>SUMIF(C2:C48,C13,O2:O48)</f>
        <v>0</v>
      </c>
      <c r="AX13" s="386">
        <f>IF(AND(M13="F",AS13&lt;&gt;0),SUMIF(C2:C48,C13,W2:W48),0)</f>
        <v>0</v>
      </c>
      <c r="AY13" s="386" t="str">
        <f t="shared" si="29"/>
        <v/>
      </c>
      <c r="AZ13" s="386" t="str">
        <f t="shared" si="30"/>
        <v/>
      </c>
      <c r="BA13" s="386">
        <f t="shared" si="31"/>
        <v>0</v>
      </c>
      <c r="BB13" s="386">
        <f t="shared" si="0"/>
        <v>0</v>
      </c>
      <c r="BC13" s="386">
        <f t="shared" si="1"/>
        <v>0</v>
      </c>
      <c r="BD13" s="386">
        <f t="shared" si="2"/>
        <v>0</v>
      </c>
      <c r="BE13" s="386">
        <f t="shared" si="3"/>
        <v>0</v>
      </c>
      <c r="BF13" s="386">
        <f t="shared" si="4"/>
        <v>0</v>
      </c>
      <c r="BG13" s="386">
        <f t="shared" si="5"/>
        <v>0</v>
      </c>
      <c r="BH13" s="386">
        <f t="shared" si="6"/>
        <v>0</v>
      </c>
      <c r="BI13" s="386">
        <f t="shared" si="7"/>
        <v>0</v>
      </c>
      <c r="BJ13" s="386">
        <f t="shared" si="8"/>
        <v>0</v>
      </c>
      <c r="BK13" s="386">
        <f t="shared" si="9"/>
        <v>0</v>
      </c>
      <c r="BL13" s="386">
        <f t="shared" si="32"/>
        <v>0</v>
      </c>
      <c r="BM13" s="386">
        <f t="shared" si="33"/>
        <v>0</v>
      </c>
      <c r="BN13" s="386">
        <f t="shared" si="10"/>
        <v>0</v>
      </c>
      <c r="BO13" s="386">
        <f t="shared" si="11"/>
        <v>0</v>
      </c>
      <c r="BP13" s="386">
        <f t="shared" si="12"/>
        <v>0</v>
      </c>
      <c r="BQ13" s="386">
        <f t="shared" si="13"/>
        <v>0</v>
      </c>
      <c r="BR13" s="386">
        <f t="shared" si="14"/>
        <v>0</v>
      </c>
      <c r="BS13" s="386">
        <f t="shared" si="15"/>
        <v>0</v>
      </c>
      <c r="BT13" s="386">
        <f t="shared" si="16"/>
        <v>0</v>
      </c>
      <c r="BU13" s="386">
        <f t="shared" si="17"/>
        <v>0</v>
      </c>
      <c r="BV13" s="386">
        <f t="shared" si="18"/>
        <v>0</v>
      </c>
      <c r="BW13" s="386">
        <f t="shared" si="19"/>
        <v>0</v>
      </c>
      <c r="BX13" s="386">
        <f t="shared" si="34"/>
        <v>0</v>
      </c>
      <c r="BY13" s="386">
        <f t="shared" si="35"/>
        <v>0</v>
      </c>
      <c r="BZ13" s="386">
        <f t="shared" si="36"/>
        <v>0</v>
      </c>
      <c r="CA13" s="386">
        <f t="shared" si="37"/>
        <v>0</v>
      </c>
      <c r="CB13" s="386">
        <f t="shared" si="38"/>
        <v>0</v>
      </c>
      <c r="CC13" s="386">
        <f t="shared" si="20"/>
        <v>0</v>
      </c>
      <c r="CD13" s="386">
        <f t="shared" si="21"/>
        <v>0</v>
      </c>
      <c r="CE13" s="386">
        <f t="shared" si="22"/>
        <v>0</v>
      </c>
      <c r="CF13" s="386">
        <f t="shared" si="23"/>
        <v>0</v>
      </c>
      <c r="CG13" s="386">
        <f t="shared" si="24"/>
        <v>0</v>
      </c>
      <c r="CH13" s="386">
        <f t="shared" si="25"/>
        <v>0</v>
      </c>
      <c r="CI13" s="386">
        <f t="shared" si="26"/>
        <v>0</v>
      </c>
      <c r="CJ13" s="386">
        <f t="shared" si="39"/>
        <v>0</v>
      </c>
      <c r="CK13" s="386" t="str">
        <f t="shared" si="40"/>
        <v/>
      </c>
      <c r="CL13" s="386">
        <f t="shared" si="41"/>
        <v>18515.37</v>
      </c>
      <c r="CM13" s="386">
        <f t="shared" si="42"/>
        <v>2257.91</v>
      </c>
      <c r="CN13" s="386" t="str">
        <f t="shared" si="43"/>
        <v>0229-15</v>
      </c>
    </row>
    <row r="14" spans="1:92" ht="15.75" thickBot="1" x14ac:dyDescent="0.3">
      <c r="A14" s="376" t="s">
        <v>161</v>
      </c>
      <c r="B14" s="376" t="s">
        <v>162</v>
      </c>
      <c r="C14" s="376" t="s">
        <v>232</v>
      </c>
      <c r="D14" s="376" t="s">
        <v>164</v>
      </c>
      <c r="E14" s="376" t="s">
        <v>165</v>
      </c>
      <c r="F14" s="377" t="s">
        <v>166</v>
      </c>
      <c r="G14" s="376" t="s">
        <v>167</v>
      </c>
      <c r="H14" s="378"/>
      <c r="I14" s="378"/>
      <c r="J14" s="376" t="s">
        <v>168</v>
      </c>
      <c r="K14" s="376" t="s">
        <v>169</v>
      </c>
      <c r="L14" s="376" t="s">
        <v>170</v>
      </c>
      <c r="M14" s="376" t="s">
        <v>171</v>
      </c>
      <c r="N14" s="376" t="s">
        <v>172</v>
      </c>
      <c r="O14" s="379">
        <v>1</v>
      </c>
      <c r="P14" s="384">
        <v>1</v>
      </c>
      <c r="Q14" s="384">
        <v>1</v>
      </c>
      <c r="R14" s="380">
        <v>80</v>
      </c>
      <c r="S14" s="384">
        <v>1</v>
      </c>
      <c r="T14" s="380">
        <v>17274.400000000001</v>
      </c>
      <c r="U14" s="380">
        <v>0</v>
      </c>
      <c r="V14" s="380">
        <v>11671.5</v>
      </c>
      <c r="W14" s="380">
        <v>33404.800000000003</v>
      </c>
      <c r="X14" s="380">
        <v>19678.8</v>
      </c>
      <c r="Y14" s="380">
        <v>33404.800000000003</v>
      </c>
      <c r="Z14" s="380">
        <v>19551.87</v>
      </c>
      <c r="AA14" s="376" t="s">
        <v>233</v>
      </c>
      <c r="AB14" s="376" t="s">
        <v>234</v>
      </c>
      <c r="AC14" s="376" t="s">
        <v>235</v>
      </c>
      <c r="AD14" s="376" t="s">
        <v>236</v>
      </c>
      <c r="AE14" s="376" t="s">
        <v>169</v>
      </c>
      <c r="AF14" s="376" t="s">
        <v>177</v>
      </c>
      <c r="AG14" s="376" t="s">
        <v>178</v>
      </c>
      <c r="AH14" s="381">
        <v>16.059999999999999</v>
      </c>
      <c r="AI14" s="379">
        <v>1248</v>
      </c>
      <c r="AJ14" s="376" t="s">
        <v>179</v>
      </c>
      <c r="AK14" s="376" t="s">
        <v>180</v>
      </c>
      <c r="AL14" s="376" t="s">
        <v>181</v>
      </c>
      <c r="AM14" s="376" t="s">
        <v>182</v>
      </c>
      <c r="AN14" s="376" t="s">
        <v>68</v>
      </c>
      <c r="AO14" s="379">
        <v>80</v>
      </c>
      <c r="AP14" s="384">
        <v>1</v>
      </c>
      <c r="AQ14" s="384">
        <v>1</v>
      </c>
      <c r="AR14" s="382" t="s">
        <v>183</v>
      </c>
      <c r="AS14" s="386">
        <f t="shared" si="27"/>
        <v>1</v>
      </c>
      <c r="AT14">
        <f t="shared" si="28"/>
        <v>1</v>
      </c>
      <c r="AU14" s="386">
        <f>IF(AT14=0,"",IF(AND(AT14=1,M14="F",SUMIF(C2:C48,C14,AS2:AS48)&lt;=1),SUMIF(C2:C48,C14,AS2:AS48),IF(AND(AT14=1,M14="F",SUMIF(C2:C48,C14,AS2:AS48)&gt;1),1,"")))</f>
        <v>1</v>
      </c>
      <c r="AV14" s="386" t="str">
        <f>IF(AT14=0,"",IF(AND(AT14=3,M14="F",SUMIF(C2:C48,C14,AS2:AS48)&lt;=1),SUMIF(C2:C48,C14,AS2:AS48),IF(AND(AT14=3,M14="F",SUMIF(C2:C48,C14,AS2:AS48)&gt;1),1,"")))</f>
        <v/>
      </c>
      <c r="AW14" s="386">
        <f>SUMIF(C2:C48,C14,O2:O48)</f>
        <v>1</v>
      </c>
      <c r="AX14" s="386">
        <f>IF(AND(M14="F",AS14&lt;&gt;0),SUMIF(C2:C48,C14,W2:W48),0)</f>
        <v>33404.800000000003</v>
      </c>
      <c r="AY14" s="386">
        <f t="shared" si="29"/>
        <v>33404.800000000003</v>
      </c>
      <c r="AZ14" s="386" t="str">
        <f t="shared" si="30"/>
        <v/>
      </c>
      <c r="BA14" s="386">
        <f t="shared" si="31"/>
        <v>0</v>
      </c>
      <c r="BB14" s="386">
        <f t="shared" si="0"/>
        <v>11650</v>
      </c>
      <c r="BC14" s="386">
        <f t="shared" si="1"/>
        <v>0</v>
      </c>
      <c r="BD14" s="386">
        <f t="shared" si="2"/>
        <v>2071.0976000000001</v>
      </c>
      <c r="BE14" s="386">
        <f t="shared" si="3"/>
        <v>484.36960000000005</v>
      </c>
      <c r="BF14" s="386">
        <f t="shared" si="4"/>
        <v>3988.5331200000005</v>
      </c>
      <c r="BG14" s="386">
        <f t="shared" si="5"/>
        <v>240.84860800000004</v>
      </c>
      <c r="BH14" s="386">
        <f t="shared" si="6"/>
        <v>163.68352000000002</v>
      </c>
      <c r="BI14" s="386">
        <f t="shared" si="7"/>
        <v>184.89556800000003</v>
      </c>
      <c r="BJ14" s="386">
        <f t="shared" si="8"/>
        <v>895.24864000000014</v>
      </c>
      <c r="BK14" s="386">
        <f t="shared" si="9"/>
        <v>0</v>
      </c>
      <c r="BL14" s="386">
        <f t="shared" si="32"/>
        <v>8028.6766560000005</v>
      </c>
      <c r="BM14" s="386">
        <f t="shared" si="33"/>
        <v>0</v>
      </c>
      <c r="BN14" s="386">
        <f t="shared" si="10"/>
        <v>11650</v>
      </c>
      <c r="BO14" s="386">
        <f t="shared" si="11"/>
        <v>0</v>
      </c>
      <c r="BP14" s="386">
        <f t="shared" si="12"/>
        <v>2071.0976000000001</v>
      </c>
      <c r="BQ14" s="386">
        <f t="shared" si="13"/>
        <v>484.36960000000005</v>
      </c>
      <c r="BR14" s="386">
        <f t="shared" si="14"/>
        <v>3988.5331200000005</v>
      </c>
      <c r="BS14" s="386">
        <f t="shared" si="15"/>
        <v>240.84860800000004</v>
      </c>
      <c r="BT14" s="386">
        <f t="shared" si="16"/>
        <v>0</v>
      </c>
      <c r="BU14" s="386">
        <f t="shared" si="17"/>
        <v>184.89556800000003</v>
      </c>
      <c r="BV14" s="386">
        <f t="shared" si="18"/>
        <v>931.99392000000012</v>
      </c>
      <c r="BW14" s="386">
        <f t="shared" si="19"/>
        <v>0</v>
      </c>
      <c r="BX14" s="386">
        <f t="shared" si="34"/>
        <v>7901.7384160000011</v>
      </c>
      <c r="BY14" s="386">
        <f t="shared" si="35"/>
        <v>0</v>
      </c>
      <c r="BZ14" s="386">
        <f t="shared" si="36"/>
        <v>0</v>
      </c>
      <c r="CA14" s="386">
        <f t="shared" si="37"/>
        <v>0</v>
      </c>
      <c r="CB14" s="386">
        <f t="shared" si="38"/>
        <v>0</v>
      </c>
      <c r="CC14" s="386">
        <f t="shared" si="20"/>
        <v>0</v>
      </c>
      <c r="CD14" s="386">
        <f t="shared" si="21"/>
        <v>0</v>
      </c>
      <c r="CE14" s="386">
        <f t="shared" si="22"/>
        <v>0</v>
      </c>
      <c r="CF14" s="386">
        <f t="shared" si="23"/>
        <v>-163.68352000000002</v>
      </c>
      <c r="CG14" s="386">
        <f t="shared" si="24"/>
        <v>0</v>
      </c>
      <c r="CH14" s="386">
        <f t="shared" si="25"/>
        <v>36.745280000000015</v>
      </c>
      <c r="CI14" s="386">
        <f t="shared" si="26"/>
        <v>0</v>
      </c>
      <c r="CJ14" s="386">
        <f t="shared" si="39"/>
        <v>-126.93824000000001</v>
      </c>
      <c r="CK14" s="386" t="str">
        <f t="shared" si="40"/>
        <v/>
      </c>
      <c r="CL14" s="386" t="str">
        <f t="shared" si="41"/>
        <v/>
      </c>
      <c r="CM14" s="386" t="str">
        <f t="shared" si="42"/>
        <v/>
      </c>
      <c r="CN14" s="386" t="str">
        <f t="shared" si="43"/>
        <v>0229-15</v>
      </c>
    </row>
    <row r="15" spans="1:92" ht="15.75" thickBot="1" x14ac:dyDescent="0.3">
      <c r="A15" s="376" t="s">
        <v>161</v>
      </c>
      <c r="B15" s="376" t="s">
        <v>162</v>
      </c>
      <c r="C15" s="376" t="s">
        <v>237</v>
      </c>
      <c r="D15" s="376" t="s">
        <v>238</v>
      </c>
      <c r="E15" s="376" t="s">
        <v>165</v>
      </c>
      <c r="F15" s="377" t="s">
        <v>166</v>
      </c>
      <c r="G15" s="376" t="s">
        <v>167</v>
      </c>
      <c r="H15" s="378"/>
      <c r="I15" s="378"/>
      <c r="J15" s="376" t="s">
        <v>168</v>
      </c>
      <c r="K15" s="376" t="s">
        <v>239</v>
      </c>
      <c r="L15" s="376" t="s">
        <v>240</v>
      </c>
      <c r="M15" s="376" t="s">
        <v>209</v>
      </c>
      <c r="N15" s="376" t="s">
        <v>210</v>
      </c>
      <c r="O15" s="379">
        <v>0</v>
      </c>
      <c r="P15" s="384">
        <v>1</v>
      </c>
      <c r="Q15" s="384">
        <v>0</v>
      </c>
      <c r="R15" s="380">
        <v>0</v>
      </c>
      <c r="S15" s="384">
        <v>0</v>
      </c>
      <c r="T15" s="380">
        <v>0</v>
      </c>
      <c r="U15" s="380">
        <v>0</v>
      </c>
      <c r="V15" s="380">
        <v>0</v>
      </c>
      <c r="W15" s="380">
        <v>0</v>
      </c>
      <c r="X15" s="380">
        <v>0</v>
      </c>
      <c r="Y15" s="380">
        <v>0</v>
      </c>
      <c r="Z15" s="380">
        <v>0</v>
      </c>
      <c r="AA15" s="378"/>
      <c r="AB15" s="376" t="s">
        <v>45</v>
      </c>
      <c r="AC15" s="376" t="s">
        <v>45</v>
      </c>
      <c r="AD15" s="378"/>
      <c r="AE15" s="378"/>
      <c r="AF15" s="378"/>
      <c r="AG15" s="378"/>
      <c r="AH15" s="379">
        <v>0</v>
      </c>
      <c r="AI15" s="379">
        <v>0</v>
      </c>
      <c r="AJ15" s="378"/>
      <c r="AK15" s="378"/>
      <c r="AL15" s="376" t="s">
        <v>181</v>
      </c>
      <c r="AM15" s="378"/>
      <c r="AN15" s="378"/>
      <c r="AO15" s="379">
        <v>0</v>
      </c>
      <c r="AP15" s="384">
        <v>0</v>
      </c>
      <c r="AQ15" s="384">
        <v>0</v>
      </c>
      <c r="AR15" s="383"/>
      <c r="AS15" s="386">
        <f t="shared" si="27"/>
        <v>0</v>
      </c>
      <c r="AT15">
        <f t="shared" si="28"/>
        <v>0</v>
      </c>
      <c r="AU15" s="386" t="str">
        <f>IF(AT15=0,"",IF(AND(AT15=1,M15="F",SUMIF(C2:C48,C15,AS2:AS48)&lt;=1),SUMIF(C2:C48,C15,AS2:AS48),IF(AND(AT15=1,M15="F",SUMIF(C2:C48,C15,AS2:AS48)&gt;1),1,"")))</f>
        <v/>
      </c>
      <c r="AV15" s="386" t="str">
        <f>IF(AT15=0,"",IF(AND(AT15=3,M15="F",SUMIF(C2:C48,C15,AS2:AS48)&lt;=1),SUMIF(C2:C48,C15,AS2:AS48),IF(AND(AT15=3,M15="F",SUMIF(C2:C48,C15,AS2:AS48)&gt;1),1,"")))</f>
        <v/>
      </c>
      <c r="AW15" s="386">
        <f>SUMIF(C2:C48,C15,O2:O48)</f>
        <v>0</v>
      </c>
      <c r="AX15" s="386">
        <f>IF(AND(M15="F",AS15&lt;&gt;0),SUMIF(C2:C48,C15,W2:W48),0)</f>
        <v>0</v>
      </c>
      <c r="AY15" s="386" t="str">
        <f t="shared" si="29"/>
        <v/>
      </c>
      <c r="AZ15" s="386" t="str">
        <f t="shared" si="30"/>
        <v/>
      </c>
      <c r="BA15" s="386">
        <f t="shared" si="31"/>
        <v>0</v>
      </c>
      <c r="BB15" s="386">
        <f t="shared" si="0"/>
        <v>0</v>
      </c>
      <c r="BC15" s="386">
        <f t="shared" si="1"/>
        <v>0</v>
      </c>
      <c r="BD15" s="386">
        <f t="shared" si="2"/>
        <v>0</v>
      </c>
      <c r="BE15" s="386">
        <f t="shared" si="3"/>
        <v>0</v>
      </c>
      <c r="BF15" s="386">
        <f t="shared" si="4"/>
        <v>0</v>
      </c>
      <c r="BG15" s="386">
        <f t="shared" si="5"/>
        <v>0</v>
      </c>
      <c r="BH15" s="386">
        <f t="shared" si="6"/>
        <v>0</v>
      </c>
      <c r="BI15" s="386">
        <f t="shared" si="7"/>
        <v>0</v>
      </c>
      <c r="BJ15" s="386">
        <f t="shared" si="8"/>
        <v>0</v>
      </c>
      <c r="BK15" s="386">
        <f t="shared" si="9"/>
        <v>0</v>
      </c>
      <c r="BL15" s="386">
        <f t="shared" si="32"/>
        <v>0</v>
      </c>
      <c r="BM15" s="386">
        <f t="shared" si="33"/>
        <v>0</v>
      </c>
      <c r="BN15" s="386">
        <f t="shared" si="10"/>
        <v>0</v>
      </c>
      <c r="BO15" s="386">
        <f t="shared" si="11"/>
        <v>0</v>
      </c>
      <c r="BP15" s="386">
        <f t="shared" si="12"/>
        <v>0</v>
      </c>
      <c r="BQ15" s="386">
        <f t="shared" si="13"/>
        <v>0</v>
      </c>
      <c r="BR15" s="386">
        <f t="shared" si="14"/>
        <v>0</v>
      </c>
      <c r="BS15" s="386">
        <f t="shared" si="15"/>
        <v>0</v>
      </c>
      <c r="BT15" s="386">
        <f t="shared" si="16"/>
        <v>0</v>
      </c>
      <c r="BU15" s="386">
        <f t="shared" si="17"/>
        <v>0</v>
      </c>
      <c r="BV15" s="386">
        <f t="shared" si="18"/>
        <v>0</v>
      </c>
      <c r="BW15" s="386">
        <f t="shared" si="19"/>
        <v>0</v>
      </c>
      <c r="BX15" s="386">
        <f t="shared" si="34"/>
        <v>0</v>
      </c>
      <c r="BY15" s="386">
        <f t="shared" si="35"/>
        <v>0</v>
      </c>
      <c r="BZ15" s="386">
        <f t="shared" si="36"/>
        <v>0</v>
      </c>
      <c r="CA15" s="386">
        <f t="shared" si="37"/>
        <v>0</v>
      </c>
      <c r="CB15" s="386">
        <f t="shared" si="38"/>
        <v>0</v>
      </c>
      <c r="CC15" s="386">
        <f t="shared" si="20"/>
        <v>0</v>
      </c>
      <c r="CD15" s="386">
        <f t="shared" si="21"/>
        <v>0</v>
      </c>
      <c r="CE15" s="386">
        <f t="shared" si="22"/>
        <v>0</v>
      </c>
      <c r="CF15" s="386">
        <f t="shared" si="23"/>
        <v>0</v>
      </c>
      <c r="CG15" s="386">
        <f t="shared" si="24"/>
        <v>0</v>
      </c>
      <c r="CH15" s="386">
        <f t="shared" si="25"/>
        <v>0</v>
      </c>
      <c r="CI15" s="386">
        <f t="shared" si="26"/>
        <v>0</v>
      </c>
      <c r="CJ15" s="386">
        <f t="shared" si="39"/>
        <v>0</v>
      </c>
      <c r="CK15" s="386" t="str">
        <f t="shared" si="40"/>
        <v/>
      </c>
      <c r="CL15" s="386">
        <f t="shared" si="41"/>
        <v>0</v>
      </c>
      <c r="CM15" s="386">
        <f t="shared" si="42"/>
        <v>0</v>
      </c>
      <c r="CN15" s="386" t="str">
        <f t="shared" si="43"/>
        <v>0229-15</v>
      </c>
    </row>
    <row r="16" spans="1:92" ht="15.75" thickBot="1" x14ac:dyDescent="0.3">
      <c r="A16" s="376" t="s">
        <v>161</v>
      </c>
      <c r="B16" s="376" t="s">
        <v>162</v>
      </c>
      <c r="C16" s="376" t="s">
        <v>241</v>
      </c>
      <c r="D16" s="376" t="s">
        <v>164</v>
      </c>
      <c r="E16" s="376" t="s">
        <v>165</v>
      </c>
      <c r="F16" s="377" t="s">
        <v>166</v>
      </c>
      <c r="G16" s="376" t="s">
        <v>167</v>
      </c>
      <c r="H16" s="378"/>
      <c r="I16" s="378"/>
      <c r="J16" s="376" t="s">
        <v>168</v>
      </c>
      <c r="K16" s="376" t="s">
        <v>169</v>
      </c>
      <c r="L16" s="376" t="s">
        <v>170</v>
      </c>
      <c r="M16" s="376" t="s">
        <v>171</v>
      </c>
      <c r="N16" s="376" t="s">
        <v>172</v>
      </c>
      <c r="O16" s="379">
        <v>1</v>
      </c>
      <c r="P16" s="384">
        <v>1</v>
      </c>
      <c r="Q16" s="384">
        <v>1</v>
      </c>
      <c r="R16" s="380">
        <v>80</v>
      </c>
      <c r="S16" s="384">
        <v>1</v>
      </c>
      <c r="T16" s="380">
        <v>38597.480000000003</v>
      </c>
      <c r="U16" s="380">
        <v>216.6</v>
      </c>
      <c r="V16" s="380">
        <v>20554.77</v>
      </c>
      <c r="W16" s="380">
        <v>39416</v>
      </c>
      <c r="X16" s="380">
        <v>21257.61</v>
      </c>
      <c r="Y16" s="380">
        <v>39416</v>
      </c>
      <c r="Z16" s="380">
        <v>21107.84</v>
      </c>
      <c r="AA16" s="376" t="s">
        <v>242</v>
      </c>
      <c r="AB16" s="376" t="s">
        <v>243</v>
      </c>
      <c r="AC16" s="376" t="s">
        <v>244</v>
      </c>
      <c r="AD16" s="376" t="s">
        <v>245</v>
      </c>
      <c r="AE16" s="376" t="s">
        <v>169</v>
      </c>
      <c r="AF16" s="376" t="s">
        <v>177</v>
      </c>
      <c r="AG16" s="376" t="s">
        <v>178</v>
      </c>
      <c r="AH16" s="381">
        <v>18.95</v>
      </c>
      <c r="AI16" s="379">
        <v>12983</v>
      </c>
      <c r="AJ16" s="376" t="s">
        <v>179</v>
      </c>
      <c r="AK16" s="376" t="s">
        <v>180</v>
      </c>
      <c r="AL16" s="376" t="s">
        <v>181</v>
      </c>
      <c r="AM16" s="376" t="s">
        <v>182</v>
      </c>
      <c r="AN16" s="376" t="s">
        <v>70</v>
      </c>
      <c r="AO16" s="379">
        <v>80</v>
      </c>
      <c r="AP16" s="384">
        <v>1</v>
      </c>
      <c r="AQ16" s="384">
        <v>1</v>
      </c>
      <c r="AR16" s="382" t="s">
        <v>183</v>
      </c>
      <c r="AS16" s="386">
        <f t="shared" si="27"/>
        <v>1</v>
      </c>
      <c r="AT16">
        <f t="shared" si="28"/>
        <v>1</v>
      </c>
      <c r="AU16" s="386">
        <f>IF(AT16=0,"",IF(AND(AT16=1,M16="F",SUMIF(C2:C48,C16,AS2:AS48)&lt;=1),SUMIF(C2:C48,C16,AS2:AS48),IF(AND(AT16=1,M16="F",SUMIF(C2:C48,C16,AS2:AS48)&gt;1),1,"")))</f>
        <v>1</v>
      </c>
      <c r="AV16" s="386" t="str">
        <f>IF(AT16=0,"",IF(AND(AT16=3,M16="F",SUMIF(C2:C48,C16,AS2:AS48)&lt;=1),SUMIF(C2:C48,C16,AS2:AS48),IF(AND(AT16=3,M16="F",SUMIF(C2:C48,C16,AS2:AS48)&gt;1),1,"")))</f>
        <v/>
      </c>
      <c r="AW16" s="386">
        <f>SUMIF(C2:C48,C16,O2:O48)</f>
        <v>1</v>
      </c>
      <c r="AX16" s="386">
        <f>IF(AND(M16="F",AS16&lt;&gt;0),SUMIF(C2:C48,C16,W2:W48),0)</f>
        <v>39416</v>
      </c>
      <c r="AY16" s="386">
        <f t="shared" si="29"/>
        <v>39416</v>
      </c>
      <c r="AZ16" s="386" t="str">
        <f t="shared" si="30"/>
        <v/>
      </c>
      <c r="BA16" s="386">
        <f t="shared" si="31"/>
        <v>0</v>
      </c>
      <c r="BB16" s="386">
        <f t="shared" si="0"/>
        <v>11650</v>
      </c>
      <c r="BC16" s="386">
        <f t="shared" si="1"/>
        <v>0</v>
      </c>
      <c r="BD16" s="386">
        <f t="shared" si="2"/>
        <v>2443.7919999999999</v>
      </c>
      <c r="BE16" s="386">
        <f t="shared" si="3"/>
        <v>571.53200000000004</v>
      </c>
      <c r="BF16" s="386">
        <f t="shared" si="4"/>
        <v>4840.2848000000004</v>
      </c>
      <c r="BG16" s="386">
        <f t="shared" si="5"/>
        <v>284.18936000000002</v>
      </c>
      <c r="BH16" s="386">
        <f t="shared" si="6"/>
        <v>193.13839999999999</v>
      </c>
      <c r="BI16" s="386">
        <f t="shared" si="7"/>
        <v>218.16756000000001</v>
      </c>
      <c r="BJ16" s="386">
        <f t="shared" si="8"/>
        <v>1056.3488</v>
      </c>
      <c r="BK16" s="386">
        <f t="shared" si="9"/>
        <v>0</v>
      </c>
      <c r="BL16" s="386">
        <f t="shared" si="32"/>
        <v>9607.4529199999997</v>
      </c>
      <c r="BM16" s="386">
        <f t="shared" si="33"/>
        <v>0</v>
      </c>
      <c r="BN16" s="386">
        <f t="shared" si="10"/>
        <v>11650</v>
      </c>
      <c r="BO16" s="386">
        <f t="shared" si="11"/>
        <v>0</v>
      </c>
      <c r="BP16" s="386">
        <f t="shared" si="12"/>
        <v>2443.7919999999999</v>
      </c>
      <c r="BQ16" s="386">
        <f t="shared" si="13"/>
        <v>571.53200000000004</v>
      </c>
      <c r="BR16" s="386">
        <f t="shared" si="14"/>
        <v>4840.2848000000004</v>
      </c>
      <c r="BS16" s="386">
        <f t="shared" si="15"/>
        <v>284.18936000000002</v>
      </c>
      <c r="BT16" s="386">
        <f t="shared" si="16"/>
        <v>0</v>
      </c>
      <c r="BU16" s="386">
        <f t="shared" si="17"/>
        <v>218.16756000000001</v>
      </c>
      <c r="BV16" s="386">
        <f t="shared" si="18"/>
        <v>1099.7064</v>
      </c>
      <c r="BW16" s="386">
        <f t="shared" si="19"/>
        <v>0</v>
      </c>
      <c r="BX16" s="386">
        <f t="shared" si="34"/>
        <v>9457.6721199999993</v>
      </c>
      <c r="BY16" s="386">
        <f t="shared" si="35"/>
        <v>0</v>
      </c>
      <c r="BZ16" s="386">
        <f t="shared" si="36"/>
        <v>0</v>
      </c>
      <c r="CA16" s="386">
        <f t="shared" si="37"/>
        <v>0</v>
      </c>
      <c r="CB16" s="386">
        <f t="shared" si="38"/>
        <v>0</v>
      </c>
      <c r="CC16" s="386">
        <f t="shared" si="20"/>
        <v>0</v>
      </c>
      <c r="CD16" s="386">
        <f t="shared" si="21"/>
        <v>0</v>
      </c>
      <c r="CE16" s="386">
        <f t="shared" si="22"/>
        <v>0</v>
      </c>
      <c r="CF16" s="386">
        <f t="shared" si="23"/>
        <v>-193.13839999999999</v>
      </c>
      <c r="CG16" s="386">
        <f t="shared" si="24"/>
        <v>0</v>
      </c>
      <c r="CH16" s="386">
        <f t="shared" si="25"/>
        <v>43.357600000000012</v>
      </c>
      <c r="CI16" s="386">
        <f t="shared" si="26"/>
        <v>0</v>
      </c>
      <c r="CJ16" s="386">
        <f t="shared" si="39"/>
        <v>-149.78079999999997</v>
      </c>
      <c r="CK16" s="386" t="str">
        <f t="shared" si="40"/>
        <v/>
      </c>
      <c r="CL16" s="386" t="str">
        <f t="shared" si="41"/>
        <v/>
      </c>
      <c r="CM16" s="386" t="str">
        <f t="shared" si="42"/>
        <v/>
      </c>
      <c r="CN16" s="386" t="str">
        <f t="shared" si="43"/>
        <v>0229-15</v>
      </c>
    </row>
    <row r="17" spans="1:92" ht="15.75" thickBot="1" x14ac:dyDescent="0.3">
      <c r="A17" s="376" t="s">
        <v>161</v>
      </c>
      <c r="B17" s="376" t="s">
        <v>162</v>
      </c>
      <c r="C17" s="376" t="s">
        <v>246</v>
      </c>
      <c r="D17" s="376" t="s">
        <v>164</v>
      </c>
      <c r="E17" s="376" t="s">
        <v>165</v>
      </c>
      <c r="F17" s="377" t="s">
        <v>166</v>
      </c>
      <c r="G17" s="376" t="s">
        <v>167</v>
      </c>
      <c r="H17" s="378"/>
      <c r="I17" s="378"/>
      <c r="J17" s="376" t="s">
        <v>168</v>
      </c>
      <c r="K17" s="376" t="s">
        <v>169</v>
      </c>
      <c r="L17" s="376" t="s">
        <v>170</v>
      </c>
      <c r="M17" s="376" t="s">
        <v>209</v>
      </c>
      <c r="N17" s="376" t="s">
        <v>172</v>
      </c>
      <c r="O17" s="379">
        <v>0</v>
      </c>
      <c r="P17" s="384">
        <v>1</v>
      </c>
      <c r="Q17" s="384">
        <v>1</v>
      </c>
      <c r="R17" s="380">
        <v>80</v>
      </c>
      <c r="S17" s="384">
        <v>1</v>
      </c>
      <c r="T17" s="380">
        <v>29695.34</v>
      </c>
      <c r="U17" s="380">
        <v>115.28</v>
      </c>
      <c r="V17" s="380">
        <v>16282.38</v>
      </c>
      <c r="W17" s="380">
        <v>37502.400000000001</v>
      </c>
      <c r="X17" s="380">
        <v>16426.05</v>
      </c>
      <c r="Y17" s="380">
        <v>37502.400000000001</v>
      </c>
      <c r="Z17" s="380">
        <v>16238.53</v>
      </c>
      <c r="AA17" s="378"/>
      <c r="AB17" s="376" t="s">
        <v>45</v>
      </c>
      <c r="AC17" s="376" t="s">
        <v>45</v>
      </c>
      <c r="AD17" s="378"/>
      <c r="AE17" s="378"/>
      <c r="AF17" s="378"/>
      <c r="AG17" s="378"/>
      <c r="AH17" s="379">
        <v>0</v>
      </c>
      <c r="AI17" s="379">
        <v>0</v>
      </c>
      <c r="AJ17" s="378"/>
      <c r="AK17" s="378"/>
      <c r="AL17" s="376" t="s">
        <v>181</v>
      </c>
      <c r="AM17" s="378"/>
      <c r="AN17" s="378"/>
      <c r="AO17" s="379">
        <v>0</v>
      </c>
      <c r="AP17" s="384">
        <v>0</v>
      </c>
      <c r="AQ17" s="384">
        <v>0</v>
      </c>
      <c r="AR17" s="383"/>
      <c r="AS17" s="386">
        <f t="shared" si="27"/>
        <v>0</v>
      </c>
      <c r="AT17">
        <f t="shared" si="28"/>
        <v>0</v>
      </c>
      <c r="AU17" s="386" t="str">
        <f>IF(AT17=0,"",IF(AND(AT17=1,M17="F",SUMIF(C2:C48,C17,AS2:AS48)&lt;=1),SUMIF(C2:C48,C17,AS2:AS48),IF(AND(AT17=1,M17="F",SUMIF(C2:C48,C17,AS2:AS48)&gt;1),1,"")))</f>
        <v/>
      </c>
      <c r="AV17" s="386" t="str">
        <f>IF(AT17=0,"",IF(AND(AT17=3,M17="F",SUMIF(C2:C48,C17,AS2:AS48)&lt;=1),SUMIF(C2:C48,C17,AS2:AS48),IF(AND(AT17=3,M17="F",SUMIF(C2:C48,C17,AS2:AS48)&gt;1),1,"")))</f>
        <v/>
      </c>
      <c r="AW17" s="386">
        <f>SUMIF(C2:C48,C17,O2:O48)</f>
        <v>0</v>
      </c>
      <c r="AX17" s="386">
        <f>IF(AND(M17="F",AS17&lt;&gt;0),SUMIF(C2:C48,C17,W2:W48),0)</f>
        <v>0</v>
      </c>
      <c r="AY17" s="386" t="str">
        <f t="shared" si="29"/>
        <v/>
      </c>
      <c r="AZ17" s="386" t="str">
        <f t="shared" si="30"/>
        <v/>
      </c>
      <c r="BA17" s="386">
        <f t="shared" si="31"/>
        <v>0</v>
      </c>
      <c r="BB17" s="386">
        <f t="shared" si="0"/>
        <v>0</v>
      </c>
      <c r="BC17" s="386">
        <f t="shared" si="1"/>
        <v>0</v>
      </c>
      <c r="BD17" s="386">
        <f t="shared" si="2"/>
        <v>0</v>
      </c>
      <c r="BE17" s="386">
        <f t="shared" si="3"/>
        <v>0</v>
      </c>
      <c r="BF17" s="386">
        <f t="shared" si="4"/>
        <v>0</v>
      </c>
      <c r="BG17" s="386">
        <f t="shared" si="5"/>
        <v>0</v>
      </c>
      <c r="BH17" s="386">
        <f t="shared" si="6"/>
        <v>0</v>
      </c>
      <c r="BI17" s="386">
        <f t="shared" si="7"/>
        <v>0</v>
      </c>
      <c r="BJ17" s="386">
        <f t="shared" si="8"/>
        <v>0</v>
      </c>
      <c r="BK17" s="386">
        <f t="shared" si="9"/>
        <v>0</v>
      </c>
      <c r="BL17" s="386">
        <f t="shared" si="32"/>
        <v>0</v>
      </c>
      <c r="BM17" s="386">
        <f t="shared" si="33"/>
        <v>0</v>
      </c>
      <c r="BN17" s="386">
        <f t="shared" si="10"/>
        <v>0</v>
      </c>
      <c r="BO17" s="386">
        <f t="shared" si="11"/>
        <v>0</v>
      </c>
      <c r="BP17" s="386">
        <f t="shared" si="12"/>
        <v>0</v>
      </c>
      <c r="BQ17" s="386">
        <f t="shared" si="13"/>
        <v>0</v>
      </c>
      <c r="BR17" s="386">
        <f t="shared" si="14"/>
        <v>0</v>
      </c>
      <c r="BS17" s="386">
        <f t="shared" si="15"/>
        <v>0</v>
      </c>
      <c r="BT17" s="386">
        <f t="shared" si="16"/>
        <v>0</v>
      </c>
      <c r="BU17" s="386">
        <f t="shared" si="17"/>
        <v>0</v>
      </c>
      <c r="BV17" s="386">
        <f t="shared" si="18"/>
        <v>0</v>
      </c>
      <c r="BW17" s="386">
        <f t="shared" si="19"/>
        <v>0</v>
      </c>
      <c r="BX17" s="386">
        <f t="shared" si="34"/>
        <v>0</v>
      </c>
      <c r="BY17" s="386">
        <f t="shared" si="35"/>
        <v>0</v>
      </c>
      <c r="BZ17" s="386">
        <f t="shared" si="36"/>
        <v>0</v>
      </c>
      <c r="CA17" s="386">
        <f t="shared" si="37"/>
        <v>0</v>
      </c>
      <c r="CB17" s="386">
        <f t="shared" si="38"/>
        <v>0</v>
      </c>
      <c r="CC17" s="386">
        <f t="shared" si="20"/>
        <v>0</v>
      </c>
      <c r="CD17" s="386">
        <f t="shared" si="21"/>
        <v>0</v>
      </c>
      <c r="CE17" s="386">
        <f t="shared" si="22"/>
        <v>0</v>
      </c>
      <c r="CF17" s="386">
        <f t="shared" si="23"/>
        <v>0</v>
      </c>
      <c r="CG17" s="386">
        <f t="shared" si="24"/>
        <v>0</v>
      </c>
      <c r="CH17" s="386">
        <f t="shared" si="25"/>
        <v>0</v>
      </c>
      <c r="CI17" s="386">
        <f t="shared" si="26"/>
        <v>0</v>
      </c>
      <c r="CJ17" s="386">
        <f t="shared" si="39"/>
        <v>0</v>
      </c>
      <c r="CK17" s="386" t="str">
        <f t="shared" si="40"/>
        <v/>
      </c>
      <c r="CL17" s="386" t="str">
        <f t="shared" si="41"/>
        <v/>
      </c>
      <c r="CM17" s="386" t="str">
        <f t="shared" si="42"/>
        <v/>
      </c>
      <c r="CN17" s="386" t="str">
        <f t="shared" si="43"/>
        <v>0229-15</v>
      </c>
    </row>
    <row r="18" spans="1:92" ht="15.75" thickBot="1" x14ac:dyDescent="0.3">
      <c r="A18" s="376" t="s">
        <v>161</v>
      </c>
      <c r="B18" s="376" t="s">
        <v>162</v>
      </c>
      <c r="C18" s="376" t="s">
        <v>247</v>
      </c>
      <c r="D18" s="376" t="s">
        <v>164</v>
      </c>
      <c r="E18" s="376" t="s">
        <v>165</v>
      </c>
      <c r="F18" s="377" t="s">
        <v>166</v>
      </c>
      <c r="G18" s="376" t="s">
        <v>167</v>
      </c>
      <c r="H18" s="378"/>
      <c r="I18" s="378"/>
      <c r="J18" s="376" t="s">
        <v>168</v>
      </c>
      <c r="K18" s="376" t="s">
        <v>169</v>
      </c>
      <c r="L18" s="376" t="s">
        <v>170</v>
      </c>
      <c r="M18" s="376" t="s">
        <v>171</v>
      </c>
      <c r="N18" s="376" t="s">
        <v>172</v>
      </c>
      <c r="O18" s="379">
        <v>1</v>
      </c>
      <c r="P18" s="384">
        <v>1</v>
      </c>
      <c r="Q18" s="384">
        <v>1</v>
      </c>
      <c r="R18" s="380">
        <v>80</v>
      </c>
      <c r="S18" s="384">
        <v>1</v>
      </c>
      <c r="T18" s="380">
        <v>43441.2</v>
      </c>
      <c r="U18" s="380">
        <v>163.19999999999999</v>
      </c>
      <c r="V18" s="380">
        <v>21510.69</v>
      </c>
      <c r="W18" s="380">
        <v>44345.599999999999</v>
      </c>
      <c r="X18" s="380">
        <v>22459.21</v>
      </c>
      <c r="Y18" s="380">
        <v>44345.599999999999</v>
      </c>
      <c r="Z18" s="380">
        <v>22290.7</v>
      </c>
      <c r="AA18" s="376" t="s">
        <v>248</v>
      </c>
      <c r="AB18" s="376" t="s">
        <v>249</v>
      </c>
      <c r="AC18" s="376" t="s">
        <v>250</v>
      </c>
      <c r="AD18" s="376" t="s">
        <v>251</v>
      </c>
      <c r="AE18" s="376" t="s">
        <v>169</v>
      </c>
      <c r="AF18" s="376" t="s">
        <v>177</v>
      </c>
      <c r="AG18" s="376" t="s">
        <v>178</v>
      </c>
      <c r="AH18" s="381">
        <v>21.32</v>
      </c>
      <c r="AI18" s="381">
        <v>50639.5</v>
      </c>
      <c r="AJ18" s="376" t="s">
        <v>179</v>
      </c>
      <c r="AK18" s="376" t="s">
        <v>180</v>
      </c>
      <c r="AL18" s="376" t="s">
        <v>181</v>
      </c>
      <c r="AM18" s="376" t="s">
        <v>182</v>
      </c>
      <c r="AN18" s="376" t="s">
        <v>70</v>
      </c>
      <c r="AO18" s="379">
        <v>80</v>
      </c>
      <c r="AP18" s="384">
        <v>1</v>
      </c>
      <c r="AQ18" s="384">
        <v>1</v>
      </c>
      <c r="AR18" s="382" t="s">
        <v>183</v>
      </c>
      <c r="AS18" s="386">
        <f t="shared" si="27"/>
        <v>1</v>
      </c>
      <c r="AT18">
        <f t="shared" si="28"/>
        <v>1</v>
      </c>
      <c r="AU18" s="386">
        <f>IF(AT18=0,"",IF(AND(AT18=1,M18="F",SUMIF(C2:C48,C18,AS2:AS48)&lt;=1),SUMIF(C2:C48,C18,AS2:AS48),IF(AND(AT18=1,M18="F",SUMIF(C2:C48,C18,AS2:AS48)&gt;1),1,"")))</f>
        <v>1</v>
      </c>
      <c r="AV18" s="386" t="str">
        <f>IF(AT18=0,"",IF(AND(AT18=3,M18="F",SUMIF(C2:C48,C18,AS2:AS48)&lt;=1),SUMIF(C2:C48,C18,AS2:AS48),IF(AND(AT18=3,M18="F",SUMIF(C2:C48,C18,AS2:AS48)&gt;1),1,"")))</f>
        <v/>
      </c>
      <c r="AW18" s="386">
        <f>SUMIF(C2:C48,C18,O2:O48)</f>
        <v>1</v>
      </c>
      <c r="AX18" s="386">
        <f>IF(AND(M18="F",AS18&lt;&gt;0),SUMIF(C2:C48,C18,W2:W48),0)</f>
        <v>44345.599999999999</v>
      </c>
      <c r="AY18" s="386">
        <f t="shared" si="29"/>
        <v>44345.599999999999</v>
      </c>
      <c r="AZ18" s="386" t="str">
        <f t="shared" si="30"/>
        <v/>
      </c>
      <c r="BA18" s="386">
        <f t="shared" si="31"/>
        <v>0</v>
      </c>
      <c r="BB18" s="386">
        <f t="shared" si="0"/>
        <v>11650</v>
      </c>
      <c r="BC18" s="386">
        <f t="shared" si="1"/>
        <v>0</v>
      </c>
      <c r="BD18" s="386">
        <f t="shared" si="2"/>
        <v>2749.4272000000001</v>
      </c>
      <c r="BE18" s="386">
        <f t="shared" si="3"/>
        <v>643.01120000000003</v>
      </c>
      <c r="BF18" s="386">
        <f t="shared" si="4"/>
        <v>5445.6396800000002</v>
      </c>
      <c r="BG18" s="386">
        <f t="shared" si="5"/>
        <v>319.73177600000002</v>
      </c>
      <c r="BH18" s="386">
        <f t="shared" si="6"/>
        <v>217.29343999999998</v>
      </c>
      <c r="BI18" s="386">
        <f t="shared" si="7"/>
        <v>245.45289599999998</v>
      </c>
      <c r="BJ18" s="386">
        <f t="shared" si="8"/>
        <v>1188.46208</v>
      </c>
      <c r="BK18" s="386">
        <f t="shared" si="9"/>
        <v>0</v>
      </c>
      <c r="BL18" s="386">
        <f t="shared" si="32"/>
        <v>10809.018271999999</v>
      </c>
      <c r="BM18" s="386">
        <f t="shared" si="33"/>
        <v>0</v>
      </c>
      <c r="BN18" s="386">
        <f t="shared" si="10"/>
        <v>11650</v>
      </c>
      <c r="BO18" s="386">
        <f t="shared" si="11"/>
        <v>0</v>
      </c>
      <c r="BP18" s="386">
        <f t="shared" si="12"/>
        <v>2749.4272000000001</v>
      </c>
      <c r="BQ18" s="386">
        <f t="shared" si="13"/>
        <v>643.01120000000003</v>
      </c>
      <c r="BR18" s="386">
        <f t="shared" si="14"/>
        <v>5445.6396800000002</v>
      </c>
      <c r="BS18" s="386">
        <f t="shared" si="15"/>
        <v>319.73177600000002</v>
      </c>
      <c r="BT18" s="386">
        <f t="shared" si="16"/>
        <v>0</v>
      </c>
      <c r="BU18" s="386">
        <f t="shared" si="17"/>
        <v>245.45289599999998</v>
      </c>
      <c r="BV18" s="386">
        <f t="shared" si="18"/>
        <v>1237.24224</v>
      </c>
      <c r="BW18" s="386">
        <f t="shared" si="19"/>
        <v>0</v>
      </c>
      <c r="BX18" s="386">
        <f t="shared" si="34"/>
        <v>10640.504992</v>
      </c>
      <c r="BY18" s="386">
        <f t="shared" si="35"/>
        <v>0</v>
      </c>
      <c r="BZ18" s="386">
        <f t="shared" si="36"/>
        <v>0</v>
      </c>
      <c r="CA18" s="386">
        <f t="shared" si="37"/>
        <v>0</v>
      </c>
      <c r="CB18" s="386">
        <f t="shared" si="38"/>
        <v>0</v>
      </c>
      <c r="CC18" s="386">
        <f t="shared" si="20"/>
        <v>0</v>
      </c>
      <c r="CD18" s="386">
        <f t="shared" si="21"/>
        <v>0</v>
      </c>
      <c r="CE18" s="386">
        <f t="shared" si="22"/>
        <v>0</v>
      </c>
      <c r="CF18" s="386">
        <f t="shared" si="23"/>
        <v>-217.29343999999998</v>
      </c>
      <c r="CG18" s="386">
        <f t="shared" si="24"/>
        <v>0</v>
      </c>
      <c r="CH18" s="386">
        <f t="shared" si="25"/>
        <v>48.780160000000009</v>
      </c>
      <c r="CI18" s="386">
        <f t="shared" si="26"/>
        <v>0</v>
      </c>
      <c r="CJ18" s="386">
        <f t="shared" si="39"/>
        <v>-168.51327999999995</v>
      </c>
      <c r="CK18" s="386" t="str">
        <f t="shared" si="40"/>
        <v/>
      </c>
      <c r="CL18" s="386" t="str">
        <f t="shared" si="41"/>
        <v/>
      </c>
      <c r="CM18" s="386" t="str">
        <f t="shared" si="42"/>
        <v/>
      </c>
      <c r="CN18" s="386" t="str">
        <f t="shared" si="43"/>
        <v>0229-15</v>
      </c>
    </row>
    <row r="19" spans="1:92" ht="15.75" thickBot="1" x14ac:dyDescent="0.3">
      <c r="A19" s="376" t="s">
        <v>161</v>
      </c>
      <c r="B19" s="376" t="s">
        <v>162</v>
      </c>
      <c r="C19" s="376" t="s">
        <v>252</v>
      </c>
      <c r="D19" s="376" t="s">
        <v>164</v>
      </c>
      <c r="E19" s="376" t="s">
        <v>165</v>
      </c>
      <c r="F19" s="377" t="s">
        <v>166</v>
      </c>
      <c r="G19" s="376" t="s">
        <v>167</v>
      </c>
      <c r="H19" s="378"/>
      <c r="I19" s="378"/>
      <c r="J19" s="376" t="s">
        <v>168</v>
      </c>
      <c r="K19" s="376" t="s">
        <v>169</v>
      </c>
      <c r="L19" s="376" t="s">
        <v>170</v>
      </c>
      <c r="M19" s="376" t="s">
        <v>209</v>
      </c>
      <c r="N19" s="376" t="s">
        <v>172</v>
      </c>
      <c r="O19" s="379">
        <v>0</v>
      </c>
      <c r="P19" s="384">
        <v>1</v>
      </c>
      <c r="Q19" s="384">
        <v>1</v>
      </c>
      <c r="R19" s="380">
        <v>80</v>
      </c>
      <c r="S19" s="384">
        <v>1</v>
      </c>
      <c r="T19" s="380">
        <v>42549.440000000002</v>
      </c>
      <c r="U19" s="380">
        <v>1318.02</v>
      </c>
      <c r="V19" s="380">
        <v>21888.7</v>
      </c>
      <c r="W19" s="380">
        <v>37502.400000000001</v>
      </c>
      <c r="X19" s="380">
        <v>16426.05</v>
      </c>
      <c r="Y19" s="380">
        <v>37502.400000000001</v>
      </c>
      <c r="Z19" s="380">
        <v>16238.53</v>
      </c>
      <c r="AA19" s="378"/>
      <c r="AB19" s="376" t="s">
        <v>45</v>
      </c>
      <c r="AC19" s="376" t="s">
        <v>45</v>
      </c>
      <c r="AD19" s="378"/>
      <c r="AE19" s="378"/>
      <c r="AF19" s="378"/>
      <c r="AG19" s="378"/>
      <c r="AH19" s="379">
        <v>0</v>
      </c>
      <c r="AI19" s="379">
        <v>0</v>
      </c>
      <c r="AJ19" s="378"/>
      <c r="AK19" s="378"/>
      <c r="AL19" s="376" t="s">
        <v>181</v>
      </c>
      <c r="AM19" s="378"/>
      <c r="AN19" s="378"/>
      <c r="AO19" s="379">
        <v>0</v>
      </c>
      <c r="AP19" s="384">
        <v>0</v>
      </c>
      <c r="AQ19" s="384">
        <v>0</v>
      </c>
      <c r="AR19" s="383"/>
      <c r="AS19" s="386">
        <f t="shared" si="27"/>
        <v>0</v>
      </c>
      <c r="AT19">
        <f t="shared" si="28"/>
        <v>0</v>
      </c>
      <c r="AU19" s="386" t="str">
        <f>IF(AT19=0,"",IF(AND(AT19=1,M19="F",SUMIF(C2:C48,C19,AS2:AS48)&lt;=1),SUMIF(C2:C48,C19,AS2:AS48),IF(AND(AT19=1,M19="F",SUMIF(C2:C48,C19,AS2:AS48)&gt;1),1,"")))</f>
        <v/>
      </c>
      <c r="AV19" s="386" t="str">
        <f>IF(AT19=0,"",IF(AND(AT19=3,M19="F",SUMIF(C2:C48,C19,AS2:AS48)&lt;=1),SUMIF(C2:C48,C19,AS2:AS48),IF(AND(AT19=3,M19="F",SUMIF(C2:C48,C19,AS2:AS48)&gt;1),1,"")))</f>
        <v/>
      </c>
      <c r="AW19" s="386">
        <f>SUMIF(C2:C48,C19,O2:O48)</f>
        <v>0</v>
      </c>
      <c r="AX19" s="386">
        <f>IF(AND(M19="F",AS19&lt;&gt;0),SUMIF(C2:C48,C19,W2:W48),0)</f>
        <v>0</v>
      </c>
      <c r="AY19" s="386" t="str">
        <f t="shared" si="29"/>
        <v/>
      </c>
      <c r="AZ19" s="386" t="str">
        <f t="shared" si="30"/>
        <v/>
      </c>
      <c r="BA19" s="386">
        <f t="shared" si="31"/>
        <v>0</v>
      </c>
      <c r="BB19" s="386">
        <f t="shared" si="0"/>
        <v>0</v>
      </c>
      <c r="BC19" s="386">
        <f t="shared" si="1"/>
        <v>0</v>
      </c>
      <c r="BD19" s="386">
        <f t="shared" si="2"/>
        <v>0</v>
      </c>
      <c r="BE19" s="386">
        <f t="shared" si="3"/>
        <v>0</v>
      </c>
      <c r="BF19" s="386">
        <f t="shared" si="4"/>
        <v>0</v>
      </c>
      <c r="BG19" s="386">
        <f t="shared" si="5"/>
        <v>0</v>
      </c>
      <c r="BH19" s="386">
        <f t="shared" si="6"/>
        <v>0</v>
      </c>
      <c r="BI19" s="386">
        <f t="shared" si="7"/>
        <v>0</v>
      </c>
      <c r="BJ19" s="386">
        <f t="shared" si="8"/>
        <v>0</v>
      </c>
      <c r="BK19" s="386">
        <f t="shared" si="9"/>
        <v>0</v>
      </c>
      <c r="BL19" s="386">
        <f t="shared" si="32"/>
        <v>0</v>
      </c>
      <c r="BM19" s="386">
        <f t="shared" si="33"/>
        <v>0</v>
      </c>
      <c r="BN19" s="386">
        <f t="shared" si="10"/>
        <v>0</v>
      </c>
      <c r="BO19" s="386">
        <f t="shared" si="11"/>
        <v>0</v>
      </c>
      <c r="BP19" s="386">
        <f t="shared" si="12"/>
        <v>0</v>
      </c>
      <c r="BQ19" s="386">
        <f t="shared" si="13"/>
        <v>0</v>
      </c>
      <c r="BR19" s="386">
        <f t="shared" si="14"/>
        <v>0</v>
      </c>
      <c r="BS19" s="386">
        <f t="shared" si="15"/>
        <v>0</v>
      </c>
      <c r="BT19" s="386">
        <f t="shared" si="16"/>
        <v>0</v>
      </c>
      <c r="BU19" s="386">
        <f t="shared" si="17"/>
        <v>0</v>
      </c>
      <c r="BV19" s="386">
        <f t="shared" si="18"/>
        <v>0</v>
      </c>
      <c r="BW19" s="386">
        <f t="shared" si="19"/>
        <v>0</v>
      </c>
      <c r="BX19" s="386">
        <f t="shared" si="34"/>
        <v>0</v>
      </c>
      <c r="BY19" s="386">
        <f t="shared" si="35"/>
        <v>0</v>
      </c>
      <c r="BZ19" s="386">
        <f t="shared" si="36"/>
        <v>0</v>
      </c>
      <c r="CA19" s="386">
        <f t="shared" si="37"/>
        <v>0</v>
      </c>
      <c r="CB19" s="386">
        <f t="shared" si="38"/>
        <v>0</v>
      </c>
      <c r="CC19" s="386">
        <f t="shared" si="20"/>
        <v>0</v>
      </c>
      <c r="CD19" s="386">
        <f t="shared" si="21"/>
        <v>0</v>
      </c>
      <c r="CE19" s="386">
        <f t="shared" si="22"/>
        <v>0</v>
      </c>
      <c r="CF19" s="386">
        <f t="shared" si="23"/>
        <v>0</v>
      </c>
      <c r="CG19" s="386">
        <f t="shared" si="24"/>
        <v>0</v>
      </c>
      <c r="CH19" s="386">
        <f t="shared" si="25"/>
        <v>0</v>
      </c>
      <c r="CI19" s="386">
        <f t="shared" si="26"/>
        <v>0</v>
      </c>
      <c r="CJ19" s="386">
        <f t="shared" si="39"/>
        <v>0</v>
      </c>
      <c r="CK19" s="386" t="str">
        <f t="shared" si="40"/>
        <v/>
      </c>
      <c r="CL19" s="386" t="str">
        <f t="shared" si="41"/>
        <v/>
      </c>
      <c r="CM19" s="386" t="str">
        <f t="shared" si="42"/>
        <v/>
      </c>
      <c r="CN19" s="386" t="str">
        <f t="shared" si="43"/>
        <v>0229-15</v>
      </c>
    </row>
    <row r="20" spans="1:92" ht="15.75" thickBot="1" x14ac:dyDescent="0.3">
      <c r="A20" s="376" t="s">
        <v>161</v>
      </c>
      <c r="B20" s="376" t="s">
        <v>162</v>
      </c>
      <c r="C20" s="376" t="s">
        <v>253</v>
      </c>
      <c r="D20" s="376" t="s">
        <v>199</v>
      </c>
      <c r="E20" s="376" t="s">
        <v>165</v>
      </c>
      <c r="F20" s="377" t="s">
        <v>166</v>
      </c>
      <c r="G20" s="376" t="s">
        <v>167</v>
      </c>
      <c r="H20" s="378"/>
      <c r="I20" s="378"/>
      <c r="J20" s="376" t="s">
        <v>168</v>
      </c>
      <c r="K20" s="376" t="s">
        <v>200</v>
      </c>
      <c r="L20" s="376" t="s">
        <v>201</v>
      </c>
      <c r="M20" s="376" t="s">
        <v>171</v>
      </c>
      <c r="N20" s="376" t="s">
        <v>202</v>
      </c>
      <c r="O20" s="379">
        <v>2</v>
      </c>
      <c r="P20" s="384">
        <v>1</v>
      </c>
      <c r="Q20" s="384">
        <v>1</v>
      </c>
      <c r="R20" s="380">
        <v>80</v>
      </c>
      <c r="S20" s="384">
        <v>1</v>
      </c>
      <c r="T20" s="380">
        <v>54491.91</v>
      </c>
      <c r="U20" s="380">
        <v>0</v>
      </c>
      <c r="V20" s="380">
        <v>23911.5</v>
      </c>
      <c r="W20" s="380">
        <v>47840</v>
      </c>
      <c r="X20" s="380">
        <v>23045.95</v>
      </c>
      <c r="Y20" s="380">
        <v>47840</v>
      </c>
      <c r="Z20" s="380">
        <v>22864.16</v>
      </c>
      <c r="AA20" s="376" t="s">
        <v>254</v>
      </c>
      <c r="AB20" s="376" t="s">
        <v>255</v>
      </c>
      <c r="AC20" s="376" t="s">
        <v>256</v>
      </c>
      <c r="AD20" s="376" t="s">
        <v>257</v>
      </c>
      <c r="AE20" s="376" t="s">
        <v>200</v>
      </c>
      <c r="AF20" s="376" t="s">
        <v>207</v>
      </c>
      <c r="AG20" s="376" t="s">
        <v>178</v>
      </c>
      <c r="AH20" s="379">
        <v>23</v>
      </c>
      <c r="AI20" s="381">
        <v>48802.5</v>
      </c>
      <c r="AJ20" s="376" t="s">
        <v>179</v>
      </c>
      <c r="AK20" s="376" t="s">
        <v>180</v>
      </c>
      <c r="AL20" s="376" t="s">
        <v>181</v>
      </c>
      <c r="AM20" s="376" t="s">
        <v>182</v>
      </c>
      <c r="AN20" s="376" t="s">
        <v>70</v>
      </c>
      <c r="AO20" s="379">
        <v>80</v>
      </c>
      <c r="AP20" s="384">
        <v>1</v>
      </c>
      <c r="AQ20" s="384">
        <v>1</v>
      </c>
      <c r="AR20" s="382">
        <v>6</v>
      </c>
      <c r="AS20" s="386">
        <f t="shared" si="27"/>
        <v>1</v>
      </c>
      <c r="AT20">
        <f t="shared" si="28"/>
        <v>0</v>
      </c>
      <c r="AU20" s="386" t="str">
        <f>IF(AT20=0,"",IF(AND(AT20=1,M20="F",SUMIF(C2:C48,C20,AS2:AS48)&lt;=1),SUMIF(C2:C48,C20,AS2:AS48),IF(AND(AT20=1,M20="F",SUMIF(C2:C48,C20,AS2:AS48)&gt;1),1,"")))</f>
        <v/>
      </c>
      <c r="AV20" s="386" t="str">
        <f>IF(AT20=0,"",IF(AND(AT20=3,M20="F",SUMIF(C2:C48,C20,AS2:AS48)&lt;=1),SUMIF(C2:C48,C20,AS2:AS48),IF(AND(AT20=3,M20="F",SUMIF(C2:C48,C20,AS2:AS48)&gt;1),1,"")))</f>
        <v/>
      </c>
      <c r="AW20" s="386">
        <f>SUMIF(C2:C48,C20,O2:O48)</f>
        <v>4</v>
      </c>
      <c r="AX20" s="386">
        <f>IF(AND(M20="F",AS20&lt;&gt;0),SUMIF(C2:C48,C20,W2:W48),0)</f>
        <v>95680</v>
      </c>
      <c r="AY20" s="386" t="str">
        <f t="shared" si="29"/>
        <v/>
      </c>
      <c r="AZ20" s="386" t="str">
        <f t="shared" si="30"/>
        <v/>
      </c>
      <c r="BA20" s="386">
        <f t="shared" si="31"/>
        <v>0</v>
      </c>
      <c r="BB20" s="386">
        <f t="shared" si="0"/>
        <v>0</v>
      </c>
      <c r="BC20" s="386">
        <f t="shared" si="1"/>
        <v>0</v>
      </c>
      <c r="BD20" s="386">
        <f t="shared" si="2"/>
        <v>0</v>
      </c>
      <c r="BE20" s="386">
        <f t="shared" si="3"/>
        <v>0</v>
      </c>
      <c r="BF20" s="386">
        <f t="shared" si="4"/>
        <v>0</v>
      </c>
      <c r="BG20" s="386">
        <f t="shared" si="5"/>
        <v>0</v>
      </c>
      <c r="BH20" s="386">
        <f t="shared" si="6"/>
        <v>0</v>
      </c>
      <c r="BI20" s="386">
        <f t="shared" si="7"/>
        <v>0</v>
      </c>
      <c r="BJ20" s="386">
        <f t="shared" si="8"/>
        <v>0</v>
      </c>
      <c r="BK20" s="386">
        <f t="shared" si="9"/>
        <v>0</v>
      </c>
      <c r="BL20" s="386">
        <f t="shared" si="32"/>
        <v>0</v>
      </c>
      <c r="BM20" s="386">
        <f t="shared" si="33"/>
        <v>0</v>
      </c>
      <c r="BN20" s="386">
        <f t="shared" si="10"/>
        <v>0</v>
      </c>
      <c r="BO20" s="386">
        <f t="shared" si="11"/>
        <v>0</v>
      </c>
      <c r="BP20" s="386">
        <f t="shared" si="12"/>
        <v>0</v>
      </c>
      <c r="BQ20" s="386">
        <f t="shared" si="13"/>
        <v>0</v>
      </c>
      <c r="BR20" s="386">
        <f t="shared" si="14"/>
        <v>0</v>
      </c>
      <c r="BS20" s="386">
        <f t="shared" si="15"/>
        <v>0</v>
      </c>
      <c r="BT20" s="386">
        <f t="shared" si="16"/>
        <v>0</v>
      </c>
      <c r="BU20" s="386">
        <f t="shared" si="17"/>
        <v>0</v>
      </c>
      <c r="BV20" s="386">
        <f t="shared" si="18"/>
        <v>0</v>
      </c>
      <c r="BW20" s="386">
        <f t="shared" si="19"/>
        <v>0</v>
      </c>
      <c r="BX20" s="386">
        <f t="shared" si="34"/>
        <v>0</v>
      </c>
      <c r="BY20" s="386">
        <f t="shared" si="35"/>
        <v>0</v>
      </c>
      <c r="BZ20" s="386">
        <f t="shared" si="36"/>
        <v>0</v>
      </c>
      <c r="CA20" s="386">
        <f t="shared" si="37"/>
        <v>0</v>
      </c>
      <c r="CB20" s="386">
        <f t="shared" si="38"/>
        <v>0</v>
      </c>
      <c r="CC20" s="386">
        <f t="shared" si="20"/>
        <v>0</v>
      </c>
      <c r="CD20" s="386">
        <f t="shared" si="21"/>
        <v>0</v>
      </c>
      <c r="CE20" s="386">
        <f t="shared" si="22"/>
        <v>0</v>
      </c>
      <c r="CF20" s="386">
        <f t="shared" si="23"/>
        <v>0</v>
      </c>
      <c r="CG20" s="386">
        <f t="shared" si="24"/>
        <v>0</v>
      </c>
      <c r="CH20" s="386">
        <f t="shared" si="25"/>
        <v>0</v>
      </c>
      <c r="CI20" s="386">
        <f t="shared" si="26"/>
        <v>0</v>
      </c>
      <c r="CJ20" s="386">
        <f t="shared" si="39"/>
        <v>0</v>
      </c>
      <c r="CK20" s="386" t="str">
        <f t="shared" si="40"/>
        <v/>
      </c>
      <c r="CL20" s="386" t="str">
        <f t="shared" si="41"/>
        <v/>
      </c>
      <c r="CM20" s="386" t="str">
        <f t="shared" si="42"/>
        <v/>
      </c>
      <c r="CN20" s="386" t="str">
        <f t="shared" si="43"/>
        <v>0229-15</v>
      </c>
    </row>
    <row r="21" spans="1:92" ht="15.75" thickBot="1" x14ac:dyDescent="0.3">
      <c r="A21" s="376" t="s">
        <v>161</v>
      </c>
      <c r="B21" s="376" t="s">
        <v>162</v>
      </c>
      <c r="C21" s="376" t="s">
        <v>258</v>
      </c>
      <c r="D21" s="376" t="s">
        <v>259</v>
      </c>
      <c r="E21" s="376" t="s">
        <v>165</v>
      </c>
      <c r="F21" s="377" t="s">
        <v>166</v>
      </c>
      <c r="G21" s="376" t="s">
        <v>167</v>
      </c>
      <c r="H21" s="378"/>
      <c r="I21" s="378"/>
      <c r="J21" s="376" t="s">
        <v>168</v>
      </c>
      <c r="K21" s="376" t="s">
        <v>260</v>
      </c>
      <c r="L21" s="376" t="s">
        <v>178</v>
      </c>
      <c r="M21" s="376" t="s">
        <v>209</v>
      </c>
      <c r="N21" s="376" t="s">
        <v>172</v>
      </c>
      <c r="O21" s="379">
        <v>0</v>
      </c>
      <c r="P21" s="384">
        <v>1</v>
      </c>
      <c r="Q21" s="384">
        <v>1</v>
      </c>
      <c r="R21" s="380">
        <v>80</v>
      </c>
      <c r="S21" s="384">
        <v>1</v>
      </c>
      <c r="T21" s="380">
        <v>0</v>
      </c>
      <c r="U21" s="380">
        <v>0</v>
      </c>
      <c r="V21" s="380">
        <v>0</v>
      </c>
      <c r="W21" s="380">
        <v>32094.400000000001</v>
      </c>
      <c r="X21" s="380">
        <v>14057.34</v>
      </c>
      <c r="Y21" s="380">
        <v>32094.400000000001</v>
      </c>
      <c r="Z21" s="380">
        <v>13896.87</v>
      </c>
      <c r="AA21" s="378"/>
      <c r="AB21" s="376" t="s">
        <v>45</v>
      </c>
      <c r="AC21" s="376" t="s">
        <v>45</v>
      </c>
      <c r="AD21" s="378"/>
      <c r="AE21" s="378"/>
      <c r="AF21" s="378"/>
      <c r="AG21" s="378"/>
      <c r="AH21" s="379">
        <v>0</v>
      </c>
      <c r="AI21" s="379">
        <v>0</v>
      </c>
      <c r="AJ21" s="378"/>
      <c r="AK21" s="378"/>
      <c r="AL21" s="376" t="s">
        <v>181</v>
      </c>
      <c r="AM21" s="378"/>
      <c r="AN21" s="378"/>
      <c r="AO21" s="379">
        <v>0</v>
      </c>
      <c r="AP21" s="384">
        <v>0</v>
      </c>
      <c r="AQ21" s="384">
        <v>0</v>
      </c>
      <c r="AR21" s="383"/>
      <c r="AS21" s="386">
        <f t="shared" si="27"/>
        <v>0</v>
      </c>
      <c r="AT21">
        <f t="shared" si="28"/>
        <v>0</v>
      </c>
      <c r="AU21" s="386" t="str">
        <f>IF(AT21=0,"",IF(AND(AT21=1,M21="F",SUMIF(C2:C48,C21,AS2:AS48)&lt;=1),SUMIF(C2:C48,C21,AS2:AS48),IF(AND(AT21=1,M21="F",SUMIF(C2:C48,C21,AS2:AS48)&gt;1),1,"")))</f>
        <v/>
      </c>
      <c r="AV21" s="386" t="str">
        <f>IF(AT21=0,"",IF(AND(AT21=3,M21="F",SUMIF(C2:C48,C21,AS2:AS48)&lt;=1),SUMIF(C2:C48,C21,AS2:AS48),IF(AND(AT21=3,M21="F",SUMIF(C2:C48,C21,AS2:AS48)&gt;1),1,"")))</f>
        <v/>
      </c>
      <c r="AW21" s="386">
        <f>SUMIF(C2:C48,C21,O2:O48)</f>
        <v>0</v>
      </c>
      <c r="AX21" s="386">
        <f>IF(AND(M21="F",AS21&lt;&gt;0),SUMIF(C2:C48,C21,W2:W48),0)</f>
        <v>0</v>
      </c>
      <c r="AY21" s="386" t="str">
        <f t="shared" si="29"/>
        <v/>
      </c>
      <c r="AZ21" s="386" t="str">
        <f t="shared" si="30"/>
        <v/>
      </c>
      <c r="BA21" s="386">
        <f t="shared" si="31"/>
        <v>0</v>
      </c>
      <c r="BB21" s="386">
        <f t="shared" si="0"/>
        <v>0</v>
      </c>
      <c r="BC21" s="386">
        <f t="shared" si="1"/>
        <v>0</v>
      </c>
      <c r="BD21" s="386">
        <f t="shared" si="2"/>
        <v>0</v>
      </c>
      <c r="BE21" s="386">
        <f t="shared" si="3"/>
        <v>0</v>
      </c>
      <c r="BF21" s="386">
        <f t="shared" si="4"/>
        <v>0</v>
      </c>
      <c r="BG21" s="386">
        <f t="shared" si="5"/>
        <v>0</v>
      </c>
      <c r="BH21" s="386">
        <f t="shared" si="6"/>
        <v>0</v>
      </c>
      <c r="BI21" s="386">
        <f t="shared" si="7"/>
        <v>0</v>
      </c>
      <c r="BJ21" s="386">
        <f t="shared" si="8"/>
        <v>0</v>
      </c>
      <c r="BK21" s="386">
        <f t="shared" si="9"/>
        <v>0</v>
      </c>
      <c r="BL21" s="386">
        <f t="shared" si="32"/>
        <v>0</v>
      </c>
      <c r="BM21" s="386">
        <f t="shared" si="33"/>
        <v>0</v>
      </c>
      <c r="BN21" s="386">
        <f t="shared" si="10"/>
        <v>0</v>
      </c>
      <c r="BO21" s="386">
        <f t="shared" si="11"/>
        <v>0</v>
      </c>
      <c r="BP21" s="386">
        <f t="shared" si="12"/>
        <v>0</v>
      </c>
      <c r="BQ21" s="386">
        <f t="shared" si="13"/>
        <v>0</v>
      </c>
      <c r="BR21" s="386">
        <f t="shared" si="14"/>
        <v>0</v>
      </c>
      <c r="BS21" s="386">
        <f t="shared" si="15"/>
        <v>0</v>
      </c>
      <c r="BT21" s="386">
        <f t="shared" si="16"/>
        <v>0</v>
      </c>
      <c r="BU21" s="386">
        <f t="shared" si="17"/>
        <v>0</v>
      </c>
      <c r="BV21" s="386">
        <f t="shared" si="18"/>
        <v>0</v>
      </c>
      <c r="BW21" s="386">
        <f t="shared" si="19"/>
        <v>0</v>
      </c>
      <c r="BX21" s="386">
        <f t="shared" si="34"/>
        <v>0</v>
      </c>
      <c r="BY21" s="386">
        <f t="shared" si="35"/>
        <v>0</v>
      </c>
      <c r="BZ21" s="386">
        <f t="shared" si="36"/>
        <v>0</v>
      </c>
      <c r="CA21" s="386">
        <f t="shared" si="37"/>
        <v>0</v>
      </c>
      <c r="CB21" s="386">
        <f t="shared" si="38"/>
        <v>0</v>
      </c>
      <c r="CC21" s="386">
        <f t="shared" si="20"/>
        <v>0</v>
      </c>
      <c r="CD21" s="386">
        <f t="shared" si="21"/>
        <v>0</v>
      </c>
      <c r="CE21" s="386">
        <f t="shared" si="22"/>
        <v>0</v>
      </c>
      <c r="CF21" s="386">
        <f t="shared" si="23"/>
        <v>0</v>
      </c>
      <c r="CG21" s="386">
        <f t="shared" si="24"/>
        <v>0</v>
      </c>
      <c r="CH21" s="386">
        <f t="shared" si="25"/>
        <v>0</v>
      </c>
      <c r="CI21" s="386">
        <f t="shared" si="26"/>
        <v>0</v>
      </c>
      <c r="CJ21" s="386">
        <f t="shared" si="39"/>
        <v>0</v>
      </c>
      <c r="CK21" s="386" t="str">
        <f t="shared" si="40"/>
        <v/>
      </c>
      <c r="CL21" s="386" t="str">
        <f t="shared" si="41"/>
        <v/>
      </c>
      <c r="CM21" s="386" t="str">
        <f t="shared" si="42"/>
        <v/>
      </c>
      <c r="CN21" s="386" t="str">
        <f t="shared" si="43"/>
        <v>0229-15</v>
      </c>
    </row>
    <row r="22" spans="1:92" ht="15.75" thickBot="1" x14ac:dyDescent="0.3">
      <c r="A22" s="376" t="s">
        <v>161</v>
      </c>
      <c r="B22" s="376" t="s">
        <v>162</v>
      </c>
      <c r="C22" s="376" t="s">
        <v>253</v>
      </c>
      <c r="D22" s="376" t="s">
        <v>199</v>
      </c>
      <c r="E22" s="376" t="s">
        <v>165</v>
      </c>
      <c r="F22" s="377" t="s">
        <v>166</v>
      </c>
      <c r="G22" s="376" t="s">
        <v>167</v>
      </c>
      <c r="H22" s="378"/>
      <c r="I22" s="378"/>
      <c r="J22" s="376" t="s">
        <v>168</v>
      </c>
      <c r="K22" s="376" t="s">
        <v>200</v>
      </c>
      <c r="L22" s="376" t="s">
        <v>201</v>
      </c>
      <c r="M22" s="376" t="s">
        <v>171</v>
      </c>
      <c r="N22" s="376" t="s">
        <v>202</v>
      </c>
      <c r="O22" s="379">
        <v>2</v>
      </c>
      <c r="P22" s="384">
        <v>1</v>
      </c>
      <c r="Q22" s="384">
        <v>1</v>
      </c>
      <c r="R22" s="380">
        <v>80</v>
      </c>
      <c r="S22" s="384">
        <v>1</v>
      </c>
      <c r="T22" s="380">
        <v>54491.91</v>
      </c>
      <c r="U22" s="380">
        <v>0</v>
      </c>
      <c r="V22" s="380">
        <v>23911.5</v>
      </c>
      <c r="W22" s="380">
        <v>47840</v>
      </c>
      <c r="X22" s="380">
        <v>23045.95</v>
      </c>
      <c r="Y22" s="380">
        <v>47840</v>
      </c>
      <c r="Z22" s="380">
        <v>22864.16</v>
      </c>
      <c r="AA22" s="376" t="s">
        <v>261</v>
      </c>
      <c r="AB22" s="376" t="s">
        <v>262</v>
      </c>
      <c r="AC22" s="376" t="s">
        <v>263</v>
      </c>
      <c r="AD22" s="376" t="s">
        <v>245</v>
      </c>
      <c r="AE22" s="376" t="s">
        <v>200</v>
      </c>
      <c r="AF22" s="376" t="s">
        <v>207</v>
      </c>
      <c r="AG22" s="376" t="s">
        <v>178</v>
      </c>
      <c r="AH22" s="381">
        <v>26.73</v>
      </c>
      <c r="AI22" s="381">
        <v>79347.399999999994</v>
      </c>
      <c r="AJ22" s="376" t="s">
        <v>179</v>
      </c>
      <c r="AK22" s="376" t="s">
        <v>180</v>
      </c>
      <c r="AL22" s="376" t="s">
        <v>181</v>
      </c>
      <c r="AM22" s="376" t="s">
        <v>182</v>
      </c>
      <c r="AN22" s="376" t="s">
        <v>70</v>
      </c>
      <c r="AO22" s="379">
        <v>80</v>
      </c>
      <c r="AP22" s="384">
        <v>1</v>
      </c>
      <c r="AQ22" s="384">
        <v>1</v>
      </c>
      <c r="AR22" s="382" t="s">
        <v>183</v>
      </c>
      <c r="AS22" s="386">
        <f t="shared" si="27"/>
        <v>1</v>
      </c>
      <c r="AT22">
        <f t="shared" si="28"/>
        <v>1</v>
      </c>
      <c r="AU22" s="386">
        <f>IF(AT22=0,"",IF(AND(AT22=1,M22="F",SUMIF(C2:C48,C22,AS2:AS48)&lt;=1),SUMIF(C2:C48,C22,AS2:AS48),IF(AND(AT22=1,M22="F",SUMIF(C2:C48,C22,AS2:AS48)&gt;1),1,"")))</f>
        <v>1</v>
      </c>
      <c r="AV22" s="386" t="str">
        <f>IF(AT22=0,"",IF(AND(AT22=3,M22="F",SUMIF(C2:C48,C22,AS2:AS48)&lt;=1),SUMIF(C2:C48,C22,AS2:AS48),IF(AND(AT22=3,M22="F",SUMIF(C2:C48,C22,AS2:AS48)&gt;1),1,"")))</f>
        <v/>
      </c>
      <c r="AW22" s="386">
        <f>SUMIF(C2:C48,C22,O2:O48)</f>
        <v>4</v>
      </c>
      <c r="AX22" s="386">
        <f>IF(AND(M22="F",AS22&lt;&gt;0),SUMIF(C2:C48,C22,W2:W48),0)</f>
        <v>95680</v>
      </c>
      <c r="AY22" s="386">
        <f t="shared" si="29"/>
        <v>47840</v>
      </c>
      <c r="AZ22" s="386" t="str">
        <f t="shared" si="30"/>
        <v/>
      </c>
      <c r="BA22" s="386">
        <f t="shared" si="31"/>
        <v>0</v>
      </c>
      <c r="BB22" s="386">
        <f t="shared" si="0"/>
        <v>11650</v>
      </c>
      <c r="BC22" s="386">
        <f t="shared" si="1"/>
        <v>0</v>
      </c>
      <c r="BD22" s="386">
        <f t="shared" si="2"/>
        <v>2966.08</v>
      </c>
      <c r="BE22" s="386">
        <f t="shared" si="3"/>
        <v>693.68000000000006</v>
      </c>
      <c r="BF22" s="386">
        <f t="shared" si="4"/>
        <v>5874.7520000000004</v>
      </c>
      <c r="BG22" s="386">
        <f t="shared" si="5"/>
        <v>344.9264</v>
      </c>
      <c r="BH22" s="386">
        <f t="shared" si="6"/>
        <v>234.416</v>
      </c>
      <c r="BI22" s="386">
        <f t="shared" si="7"/>
        <v>0</v>
      </c>
      <c r="BJ22" s="386">
        <f t="shared" si="8"/>
        <v>1282.1120000000001</v>
      </c>
      <c r="BK22" s="386">
        <f t="shared" si="9"/>
        <v>0</v>
      </c>
      <c r="BL22" s="386">
        <f t="shared" si="32"/>
        <v>11395.966400000001</v>
      </c>
      <c r="BM22" s="386">
        <f t="shared" si="33"/>
        <v>0</v>
      </c>
      <c r="BN22" s="386">
        <f t="shared" si="10"/>
        <v>11650</v>
      </c>
      <c r="BO22" s="386">
        <f t="shared" si="11"/>
        <v>0</v>
      </c>
      <c r="BP22" s="386">
        <f t="shared" si="12"/>
        <v>2966.08</v>
      </c>
      <c r="BQ22" s="386">
        <f t="shared" si="13"/>
        <v>693.68000000000006</v>
      </c>
      <c r="BR22" s="386">
        <f t="shared" si="14"/>
        <v>5874.7520000000004</v>
      </c>
      <c r="BS22" s="386">
        <f t="shared" si="15"/>
        <v>344.9264</v>
      </c>
      <c r="BT22" s="386">
        <f t="shared" si="16"/>
        <v>0</v>
      </c>
      <c r="BU22" s="386">
        <f t="shared" si="17"/>
        <v>0</v>
      </c>
      <c r="BV22" s="386">
        <f t="shared" si="18"/>
        <v>1334.7360000000001</v>
      </c>
      <c r="BW22" s="386">
        <f t="shared" si="19"/>
        <v>0</v>
      </c>
      <c r="BX22" s="386">
        <f t="shared" si="34"/>
        <v>11214.174400000002</v>
      </c>
      <c r="BY22" s="386">
        <f t="shared" si="35"/>
        <v>0</v>
      </c>
      <c r="BZ22" s="386">
        <f t="shared" si="36"/>
        <v>0</v>
      </c>
      <c r="CA22" s="386">
        <f t="shared" si="37"/>
        <v>0</v>
      </c>
      <c r="CB22" s="386">
        <f t="shared" si="38"/>
        <v>0</v>
      </c>
      <c r="CC22" s="386">
        <f t="shared" si="20"/>
        <v>0</v>
      </c>
      <c r="CD22" s="386">
        <f t="shared" si="21"/>
        <v>0</v>
      </c>
      <c r="CE22" s="386">
        <f t="shared" si="22"/>
        <v>0</v>
      </c>
      <c r="CF22" s="386">
        <f t="shared" si="23"/>
        <v>-234.416</v>
      </c>
      <c r="CG22" s="386">
        <f t="shared" si="24"/>
        <v>0</v>
      </c>
      <c r="CH22" s="386">
        <f t="shared" si="25"/>
        <v>52.624000000000017</v>
      </c>
      <c r="CI22" s="386">
        <f t="shared" si="26"/>
        <v>0</v>
      </c>
      <c r="CJ22" s="386">
        <f t="shared" si="39"/>
        <v>-181.79199999999997</v>
      </c>
      <c r="CK22" s="386" t="str">
        <f t="shared" si="40"/>
        <v/>
      </c>
      <c r="CL22" s="386" t="str">
        <f t="shared" si="41"/>
        <v/>
      </c>
      <c r="CM22" s="386" t="str">
        <f t="shared" si="42"/>
        <v/>
      </c>
      <c r="CN22" s="386" t="str">
        <f t="shared" si="43"/>
        <v>0229-15</v>
      </c>
    </row>
    <row r="23" spans="1:92" ht="15.75" thickBot="1" x14ac:dyDescent="0.3">
      <c r="A23" s="376" t="s">
        <v>161</v>
      </c>
      <c r="B23" s="376" t="s">
        <v>162</v>
      </c>
      <c r="C23" s="376" t="s">
        <v>264</v>
      </c>
      <c r="D23" s="376" t="s">
        <v>265</v>
      </c>
      <c r="E23" s="376" t="s">
        <v>165</v>
      </c>
      <c r="F23" s="377" t="s">
        <v>166</v>
      </c>
      <c r="G23" s="376" t="s">
        <v>167</v>
      </c>
      <c r="H23" s="378"/>
      <c r="I23" s="378"/>
      <c r="J23" s="376" t="s">
        <v>168</v>
      </c>
      <c r="K23" s="376" t="s">
        <v>266</v>
      </c>
      <c r="L23" s="376" t="s">
        <v>170</v>
      </c>
      <c r="M23" s="376" t="s">
        <v>209</v>
      </c>
      <c r="N23" s="376" t="s">
        <v>172</v>
      </c>
      <c r="O23" s="379">
        <v>0</v>
      </c>
      <c r="P23" s="384">
        <v>1</v>
      </c>
      <c r="Q23" s="384">
        <v>1</v>
      </c>
      <c r="R23" s="380">
        <v>80</v>
      </c>
      <c r="S23" s="384">
        <v>1</v>
      </c>
      <c r="T23" s="380">
        <v>40668.6</v>
      </c>
      <c r="U23" s="380">
        <v>672.34</v>
      </c>
      <c r="V23" s="380">
        <v>20102.73</v>
      </c>
      <c r="W23" s="380">
        <v>37502.400000000001</v>
      </c>
      <c r="X23" s="380">
        <v>16426.05</v>
      </c>
      <c r="Y23" s="380">
        <v>37502.400000000001</v>
      </c>
      <c r="Z23" s="380">
        <v>16238.53</v>
      </c>
      <c r="AA23" s="378"/>
      <c r="AB23" s="376" t="s">
        <v>45</v>
      </c>
      <c r="AC23" s="376" t="s">
        <v>45</v>
      </c>
      <c r="AD23" s="378"/>
      <c r="AE23" s="378"/>
      <c r="AF23" s="378"/>
      <c r="AG23" s="378"/>
      <c r="AH23" s="379">
        <v>0</v>
      </c>
      <c r="AI23" s="379">
        <v>0</v>
      </c>
      <c r="AJ23" s="378"/>
      <c r="AK23" s="378"/>
      <c r="AL23" s="376" t="s">
        <v>181</v>
      </c>
      <c r="AM23" s="378"/>
      <c r="AN23" s="378"/>
      <c r="AO23" s="379">
        <v>0</v>
      </c>
      <c r="AP23" s="384">
        <v>0</v>
      </c>
      <c r="AQ23" s="384">
        <v>0</v>
      </c>
      <c r="AR23" s="383"/>
      <c r="AS23" s="386">
        <f t="shared" si="27"/>
        <v>0</v>
      </c>
      <c r="AT23">
        <f t="shared" si="28"/>
        <v>0</v>
      </c>
      <c r="AU23" s="386" t="str">
        <f>IF(AT23=0,"",IF(AND(AT23=1,M23="F",SUMIF(C2:C48,C23,AS2:AS48)&lt;=1),SUMIF(C2:C48,C23,AS2:AS48),IF(AND(AT23=1,M23="F",SUMIF(C2:C48,C23,AS2:AS48)&gt;1),1,"")))</f>
        <v/>
      </c>
      <c r="AV23" s="386" t="str">
        <f>IF(AT23=0,"",IF(AND(AT23=3,M23="F",SUMIF(C2:C48,C23,AS2:AS48)&lt;=1),SUMIF(C2:C48,C23,AS2:AS48),IF(AND(AT23=3,M23="F",SUMIF(C2:C48,C23,AS2:AS48)&gt;1),1,"")))</f>
        <v/>
      </c>
      <c r="AW23" s="386">
        <f>SUMIF(C2:C48,C23,O2:O48)</f>
        <v>0</v>
      </c>
      <c r="AX23" s="386">
        <f>IF(AND(M23="F",AS23&lt;&gt;0),SUMIF(C2:C48,C23,W2:W48),0)</f>
        <v>0</v>
      </c>
      <c r="AY23" s="386" t="str">
        <f t="shared" si="29"/>
        <v/>
      </c>
      <c r="AZ23" s="386" t="str">
        <f t="shared" si="30"/>
        <v/>
      </c>
      <c r="BA23" s="386">
        <f t="shared" si="31"/>
        <v>0</v>
      </c>
      <c r="BB23" s="386">
        <f t="shared" si="0"/>
        <v>0</v>
      </c>
      <c r="BC23" s="386">
        <f t="shared" si="1"/>
        <v>0</v>
      </c>
      <c r="BD23" s="386">
        <f t="shared" si="2"/>
        <v>0</v>
      </c>
      <c r="BE23" s="386">
        <f t="shared" si="3"/>
        <v>0</v>
      </c>
      <c r="BF23" s="386">
        <f t="shared" si="4"/>
        <v>0</v>
      </c>
      <c r="BG23" s="386">
        <f t="shared" si="5"/>
        <v>0</v>
      </c>
      <c r="BH23" s="386">
        <f t="shared" si="6"/>
        <v>0</v>
      </c>
      <c r="BI23" s="386">
        <f t="shared" si="7"/>
        <v>0</v>
      </c>
      <c r="BJ23" s="386">
        <f t="shared" si="8"/>
        <v>0</v>
      </c>
      <c r="BK23" s="386">
        <f t="shared" si="9"/>
        <v>0</v>
      </c>
      <c r="BL23" s="386">
        <f t="shared" si="32"/>
        <v>0</v>
      </c>
      <c r="BM23" s="386">
        <f t="shared" si="33"/>
        <v>0</v>
      </c>
      <c r="BN23" s="386">
        <f t="shared" si="10"/>
        <v>0</v>
      </c>
      <c r="BO23" s="386">
        <f t="shared" si="11"/>
        <v>0</v>
      </c>
      <c r="BP23" s="386">
        <f t="shared" si="12"/>
        <v>0</v>
      </c>
      <c r="BQ23" s="386">
        <f t="shared" si="13"/>
        <v>0</v>
      </c>
      <c r="BR23" s="386">
        <f t="shared" si="14"/>
        <v>0</v>
      </c>
      <c r="BS23" s="386">
        <f t="shared" si="15"/>
        <v>0</v>
      </c>
      <c r="BT23" s="386">
        <f t="shared" si="16"/>
        <v>0</v>
      </c>
      <c r="BU23" s="386">
        <f t="shared" si="17"/>
        <v>0</v>
      </c>
      <c r="BV23" s="386">
        <f t="shared" si="18"/>
        <v>0</v>
      </c>
      <c r="BW23" s="386">
        <f t="shared" si="19"/>
        <v>0</v>
      </c>
      <c r="BX23" s="386">
        <f t="shared" si="34"/>
        <v>0</v>
      </c>
      <c r="BY23" s="386">
        <f t="shared" si="35"/>
        <v>0</v>
      </c>
      <c r="BZ23" s="386">
        <f t="shared" si="36"/>
        <v>0</v>
      </c>
      <c r="CA23" s="386">
        <f t="shared" si="37"/>
        <v>0</v>
      </c>
      <c r="CB23" s="386">
        <f t="shared" si="38"/>
        <v>0</v>
      </c>
      <c r="CC23" s="386">
        <f t="shared" si="20"/>
        <v>0</v>
      </c>
      <c r="CD23" s="386">
        <f t="shared" si="21"/>
        <v>0</v>
      </c>
      <c r="CE23" s="386">
        <f t="shared" si="22"/>
        <v>0</v>
      </c>
      <c r="CF23" s="386">
        <f t="shared" si="23"/>
        <v>0</v>
      </c>
      <c r="CG23" s="386">
        <f t="shared" si="24"/>
        <v>0</v>
      </c>
      <c r="CH23" s="386">
        <f t="shared" si="25"/>
        <v>0</v>
      </c>
      <c r="CI23" s="386">
        <f t="shared" si="26"/>
        <v>0</v>
      </c>
      <c r="CJ23" s="386">
        <f t="shared" si="39"/>
        <v>0</v>
      </c>
      <c r="CK23" s="386" t="str">
        <f t="shared" si="40"/>
        <v/>
      </c>
      <c r="CL23" s="386" t="str">
        <f t="shared" si="41"/>
        <v/>
      </c>
      <c r="CM23" s="386" t="str">
        <f t="shared" si="42"/>
        <v/>
      </c>
      <c r="CN23" s="386" t="str">
        <f t="shared" si="43"/>
        <v>0229-15</v>
      </c>
    </row>
    <row r="24" spans="1:92" ht="15.75" thickBot="1" x14ac:dyDescent="0.3">
      <c r="A24" s="376" t="s">
        <v>161</v>
      </c>
      <c r="B24" s="376" t="s">
        <v>162</v>
      </c>
      <c r="C24" s="376" t="s">
        <v>267</v>
      </c>
      <c r="D24" s="376" t="s">
        <v>164</v>
      </c>
      <c r="E24" s="376" t="s">
        <v>165</v>
      </c>
      <c r="F24" s="377" t="s">
        <v>166</v>
      </c>
      <c r="G24" s="376" t="s">
        <v>167</v>
      </c>
      <c r="H24" s="378"/>
      <c r="I24" s="378"/>
      <c r="J24" s="376" t="s">
        <v>168</v>
      </c>
      <c r="K24" s="376" t="s">
        <v>169</v>
      </c>
      <c r="L24" s="376" t="s">
        <v>170</v>
      </c>
      <c r="M24" s="376" t="s">
        <v>171</v>
      </c>
      <c r="N24" s="376" t="s">
        <v>172</v>
      </c>
      <c r="O24" s="379">
        <v>1</v>
      </c>
      <c r="P24" s="384">
        <v>1</v>
      </c>
      <c r="Q24" s="384">
        <v>1</v>
      </c>
      <c r="R24" s="380">
        <v>80</v>
      </c>
      <c r="S24" s="384">
        <v>1</v>
      </c>
      <c r="T24" s="380">
        <v>40498.199999999997</v>
      </c>
      <c r="U24" s="380">
        <v>0</v>
      </c>
      <c r="V24" s="380">
        <v>20772.78</v>
      </c>
      <c r="W24" s="380">
        <v>41537.599999999999</v>
      </c>
      <c r="X24" s="380">
        <v>21774.75</v>
      </c>
      <c r="Y24" s="380">
        <v>41537.599999999999</v>
      </c>
      <c r="Z24" s="380">
        <v>21616.91</v>
      </c>
      <c r="AA24" s="376" t="s">
        <v>268</v>
      </c>
      <c r="AB24" s="376" t="s">
        <v>269</v>
      </c>
      <c r="AC24" s="376" t="s">
        <v>270</v>
      </c>
      <c r="AD24" s="376" t="s">
        <v>251</v>
      </c>
      <c r="AE24" s="376" t="s">
        <v>169</v>
      </c>
      <c r="AF24" s="376" t="s">
        <v>177</v>
      </c>
      <c r="AG24" s="376" t="s">
        <v>178</v>
      </c>
      <c r="AH24" s="381">
        <v>19.97</v>
      </c>
      <c r="AI24" s="379">
        <v>31391</v>
      </c>
      <c r="AJ24" s="376" t="s">
        <v>179</v>
      </c>
      <c r="AK24" s="376" t="s">
        <v>180</v>
      </c>
      <c r="AL24" s="376" t="s">
        <v>181</v>
      </c>
      <c r="AM24" s="376" t="s">
        <v>182</v>
      </c>
      <c r="AN24" s="376" t="s">
        <v>70</v>
      </c>
      <c r="AO24" s="379">
        <v>80</v>
      </c>
      <c r="AP24" s="384">
        <v>1</v>
      </c>
      <c r="AQ24" s="384">
        <v>1</v>
      </c>
      <c r="AR24" s="382" t="s">
        <v>183</v>
      </c>
      <c r="AS24" s="386">
        <f t="shared" si="27"/>
        <v>1</v>
      </c>
      <c r="AT24">
        <f t="shared" si="28"/>
        <v>1</v>
      </c>
      <c r="AU24" s="386">
        <f>IF(AT24=0,"",IF(AND(AT24=1,M24="F",SUMIF(C2:C48,C24,AS2:AS48)&lt;=1),SUMIF(C2:C48,C24,AS2:AS48),IF(AND(AT24=1,M24="F",SUMIF(C2:C48,C24,AS2:AS48)&gt;1),1,"")))</f>
        <v>1</v>
      </c>
      <c r="AV24" s="386" t="str">
        <f>IF(AT24=0,"",IF(AND(AT24=3,M24="F",SUMIF(C2:C48,C24,AS2:AS48)&lt;=1),SUMIF(C2:C48,C24,AS2:AS48),IF(AND(AT24=3,M24="F",SUMIF(C2:C48,C24,AS2:AS48)&gt;1),1,"")))</f>
        <v/>
      </c>
      <c r="AW24" s="386">
        <f>SUMIF(C2:C48,C24,O2:O48)</f>
        <v>1</v>
      </c>
      <c r="AX24" s="386">
        <f>IF(AND(M24="F",AS24&lt;&gt;0),SUMIF(C2:C48,C24,W2:W48),0)</f>
        <v>41537.599999999999</v>
      </c>
      <c r="AY24" s="386">
        <f t="shared" si="29"/>
        <v>41537.599999999999</v>
      </c>
      <c r="AZ24" s="386" t="str">
        <f t="shared" si="30"/>
        <v/>
      </c>
      <c r="BA24" s="386">
        <f t="shared" si="31"/>
        <v>0</v>
      </c>
      <c r="BB24" s="386">
        <f t="shared" si="0"/>
        <v>11650</v>
      </c>
      <c r="BC24" s="386">
        <f t="shared" si="1"/>
        <v>0</v>
      </c>
      <c r="BD24" s="386">
        <f t="shared" si="2"/>
        <v>2575.3312000000001</v>
      </c>
      <c r="BE24" s="386">
        <f t="shared" si="3"/>
        <v>602.29520000000002</v>
      </c>
      <c r="BF24" s="386">
        <f t="shared" si="4"/>
        <v>5100.8172800000002</v>
      </c>
      <c r="BG24" s="386">
        <f t="shared" si="5"/>
        <v>299.48609599999997</v>
      </c>
      <c r="BH24" s="386">
        <f t="shared" si="6"/>
        <v>203.53423999999998</v>
      </c>
      <c r="BI24" s="386">
        <f t="shared" si="7"/>
        <v>229.910616</v>
      </c>
      <c r="BJ24" s="386">
        <f t="shared" si="8"/>
        <v>1113.20768</v>
      </c>
      <c r="BK24" s="386">
        <f t="shared" si="9"/>
        <v>0</v>
      </c>
      <c r="BL24" s="386">
        <f t="shared" si="32"/>
        <v>10124.582312</v>
      </c>
      <c r="BM24" s="386">
        <f t="shared" si="33"/>
        <v>0</v>
      </c>
      <c r="BN24" s="386">
        <f t="shared" si="10"/>
        <v>11650</v>
      </c>
      <c r="BO24" s="386">
        <f t="shared" si="11"/>
        <v>0</v>
      </c>
      <c r="BP24" s="386">
        <f t="shared" si="12"/>
        <v>2575.3312000000001</v>
      </c>
      <c r="BQ24" s="386">
        <f t="shared" si="13"/>
        <v>602.29520000000002</v>
      </c>
      <c r="BR24" s="386">
        <f t="shared" si="14"/>
        <v>5100.8172800000002</v>
      </c>
      <c r="BS24" s="386">
        <f t="shared" si="15"/>
        <v>299.48609599999997</v>
      </c>
      <c r="BT24" s="386">
        <f t="shared" si="16"/>
        <v>0</v>
      </c>
      <c r="BU24" s="386">
        <f t="shared" si="17"/>
        <v>229.910616</v>
      </c>
      <c r="BV24" s="386">
        <f t="shared" si="18"/>
        <v>1158.89904</v>
      </c>
      <c r="BW24" s="386">
        <f t="shared" si="19"/>
        <v>0</v>
      </c>
      <c r="BX24" s="386">
        <f t="shared" si="34"/>
        <v>9966.7394320000003</v>
      </c>
      <c r="BY24" s="386">
        <f t="shared" si="35"/>
        <v>0</v>
      </c>
      <c r="BZ24" s="386">
        <f t="shared" si="36"/>
        <v>0</v>
      </c>
      <c r="CA24" s="386">
        <f t="shared" si="37"/>
        <v>0</v>
      </c>
      <c r="CB24" s="386">
        <f t="shared" si="38"/>
        <v>0</v>
      </c>
      <c r="CC24" s="386">
        <f t="shared" si="20"/>
        <v>0</v>
      </c>
      <c r="CD24" s="386">
        <f t="shared" si="21"/>
        <v>0</v>
      </c>
      <c r="CE24" s="386">
        <f t="shared" si="22"/>
        <v>0</v>
      </c>
      <c r="CF24" s="386">
        <f t="shared" si="23"/>
        <v>-203.53423999999998</v>
      </c>
      <c r="CG24" s="386">
        <f t="shared" si="24"/>
        <v>0</v>
      </c>
      <c r="CH24" s="386">
        <f t="shared" si="25"/>
        <v>45.69136000000001</v>
      </c>
      <c r="CI24" s="386">
        <f t="shared" si="26"/>
        <v>0</v>
      </c>
      <c r="CJ24" s="386">
        <f t="shared" si="39"/>
        <v>-157.84287999999998</v>
      </c>
      <c r="CK24" s="386" t="str">
        <f t="shared" si="40"/>
        <v/>
      </c>
      <c r="CL24" s="386" t="str">
        <f t="shared" si="41"/>
        <v/>
      </c>
      <c r="CM24" s="386" t="str">
        <f t="shared" si="42"/>
        <v/>
      </c>
      <c r="CN24" s="386" t="str">
        <f t="shared" si="43"/>
        <v>0229-15</v>
      </c>
    </row>
    <row r="25" spans="1:92" ht="15.75" thickBot="1" x14ac:dyDescent="0.3">
      <c r="A25" s="376" t="s">
        <v>161</v>
      </c>
      <c r="B25" s="376" t="s">
        <v>162</v>
      </c>
      <c r="C25" s="376" t="s">
        <v>271</v>
      </c>
      <c r="D25" s="376" t="s">
        <v>164</v>
      </c>
      <c r="E25" s="376" t="s">
        <v>165</v>
      </c>
      <c r="F25" s="377" t="s">
        <v>166</v>
      </c>
      <c r="G25" s="376" t="s">
        <v>167</v>
      </c>
      <c r="H25" s="378"/>
      <c r="I25" s="378"/>
      <c r="J25" s="376" t="s">
        <v>168</v>
      </c>
      <c r="K25" s="376" t="s">
        <v>169</v>
      </c>
      <c r="L25" s="376" t="s">
        <v>170</v>
      </c>
      <c r="M25" s="376" t="s">
        <v>171</v>
      </c>
      <c r="N25" s="376" t="s">
        <v>172</v>
      </c>
      <c r="O25" s="379">
        <v>1</v>
      </c>
      <c r="P25" s="384">
        <v>1</v>
      </c>
      <c r="Q25" s="384">
        <v>1</v>
      </c>
      <c r="R25" s="380">
        <v>80</v>
      </c>
      <c r="S25" s="384">
        <v>1</v>
      </c>
      <c r="T25" s="380">
        <v>26733.57</v>
      </c>
      <c r="U25" s="380">
        <v>0</v>
      </c>
      <c r="V25" s="380">
        <v>15748.88</v>
      </c>
      <c r="W25" s="380">
        <v>33404.800000000003</v>
      </c>
      <c r="X25" s="380">
        <v>19792.37</v>
      </c>
      <c r="Y25" s="380">
        <v>33404.800000000003</v>
      </c>
      <c r="Z25" s="380">
        <v>19665.439999999999</v>
      </c>
      <c r="AA25" s="376" t="s">
        <v>272</v>
      </c>
      <c r="AB25" s="376" t="s">
        <v>273</v>
      </c>
      <c r="AC25" s="376" t="s">
        <v>274</v>
      </c>
      <c r="AD25" s="376" t="s">
        <v>240</v>
      </c>
      <c r="AE25" s="376" t="s">
        <v>169</v>
      </c>
      <c r="AF25" s="376" t="s">
        <v>177</v>
      </c>
      <c r="AG25" s="376" t="s">
        <v>178</v>
      </c>
      <c r="AH25" s="381">
        <v>16.059999999999999</v>
      </c>
      <c r="AI25" s="379">
        <v>1477</v>
      </c>
      <c r="AJ25" s="376" t="s">
        <v>179</v>
      </c>
      <c r="AK25" s="376" t="s">
        <v>180</v>
      </c>
      <c r="AL25" s="376" t="s">
        <v>181</v>
      </c>
      <c r="AM25" s="376" t="s">
        <v>182</v>
      </c>
      <c r="AN25" s="376" t="s">
        <v>70</v>
      </c>
      <c r="AO25" s="379">
        <v>80</v>
      </c>
      <c r="AP25" s="384">
        <v>1</v>
      </c>
      <c r="AQ25" s="384">
        <v>1</v>
      </c>
      <c r="AR25" s="382" t="s">
        <v>183</v>
      </c>
      <c r="AS25" s="386">
        <f t="shared" si="27"/>
        <v>1</v>
      </c>
      <c r="AT25">
        <f t="shared" si="28"/>
        <v>1</v>
      </c>
      <c r="AU25" s="386">
        <f>IF(AT25=0,"",IF(AND(AT25=1,M25="F",SUMIF(C2:C48,C25,AS2:AS48)&lt;=1),SUMIF(C2:C48,C25,AS2:AS48),IF(AND(AT25=1,M25="F",SUMIF(C2:C48,C25,AS2:AS48)&gt;1),1,"")))</f>
        <v>1</v>
      </c>
      <c r="AV25" s="386" t="str">
        <f>IF(AT25=0,"",IF(AND(AT25=3,M25="F",SUMIF(C2:C48,C25,AS2:AS48)&lt;=1),SUMIF(C2:C48,C25,AS2:AS48),IF(AND(AT25=3,M25="F",SUMIF(C2:C48,C25,AS2:AS48)&gt;1),1,"")))</f>
        <v/>
      </c>
      <c r="AW25" s="386">
        <f>SUMIF(C2:C48,C25,O2:O48)</f>
        <v>1</v>
      </c>
      <c r="AX25" s="386">
        <f>IF(AND(M25="F",AS25&lt;&gt;0),SUMIF(C2:C48,C25,W2:W48),0)</f>
        <v>33404.800000000003</v>
      </c>
      <c r="AY25" s="386">
        <f t="shared" si="29"/>
        <v>33404.800000000003</v>
      </c>
      <c r="AZ25" s="386" t="str">
        <f t="shared" si="30"/>
        <v/>
      </c>
      <c r="BA25" s="386">
        <f t="shared" si="31"/>
        <v>0</v>
      </c>
      <c r="BB25" s="386">
        <f t="shared" si="0"/>
        <v>11650</v>
      </c>
      <c r="BC25" s="386">
        <f t="shared" si="1"/>
        <v>0</v>
      </c>
      <c r="BD25" s="386">
        <f t="shared" si="2"/>
        <v>2071.0976000000001</v>
      </c>
      <c r="BE25" s="386">
        <f t="shared" si="3"/>
        <v>484.36960000000005</v>
      </c>
      <c r="BF25" s="386">
        <f t="shared" si="4"/>
        <v>4102.1094400000002</v>
      </c>
      <c r="BG25" s="386">
        <f t="shared" si="5"/>
        <v>240.84860800000004</v>
      </c>
      <c r="BH25" s="386">
        <f t="shared" si="6"/>
        <v>163.68352000000002</v>
      </c>
      <c r="BI25" s="386">
        <f t="shared" si="7"/>
        <v>184.89556800000003</v>
      </c>
      <c r="BJ25" s="386">
        <f t="shared" si="8"/>
        <v>895.24864000000014</v>
      </c>
      <c r="BK25" s="386">
        <f t="shared" si="9"/>
        <v>0</v>
      </c>
      <c r="BL25" s="386">
        <f t="shared" si="32"/>
        <v>8142.2529759999998</v>
      </c>
      <c r="BM25" s="386">
        <f t="shared" si="33"/>
        <v>0</v>
      </c>
      <c r="BN25" s="386">
        <f t="shared" si="10"/>
        <v>11650</v>
      </c>
      <c r="BO25" s="386">
        <f t="shared" si="11"/>
        <v>0</v>
      </c>
      <c r="BP25" s="386">
        <f t="shared" si="12"/>
        <v>2071.0976000000001</v>
      </c>
      <c r="BQ25" s="386">
        <f t="shared" si="13"/>
        <v>484.36960000000005</v>
      </c>
      <c r="BR25" s="386">
        <f t="shared" si="14"/>
        <v>4102.1094400000002</v>
      </c>
      <c r="BS25" s="386">
        <f t="shared" si="15"/>
        <v>240.84860800000004</v>
      </c>
      <c r="BT25" s="386">
        <f t="shared" si="16"/>
        <v>0</v>
      </c>
      <c r="BU25" s="386">
        <f t="shared" si="17"/>
        <v>184.89556800000003</v>
      </c>
      <c r="BV25" s="386">
        <f t="shared" si="18"/>
        <v>931.99392000000012</v>
      </c>
      <c r="BW25" s="386">
        <f t="shared" si="19"/>
        <v>0</v>
      </c>
      <c r="BX25" s="386">
        <f t="shared" si="34"/>
        <v>8015.3147360000003</v>
      </c>
      <c r="BY25" s="386">
        <f t="shared" si="35"/>
        <v>0</v>
      </c>
      <c r="BZ25" s="386">
        <f t="shared" si="36"/>
        <v>0</v>
      </c>
      <c r="CA25" s="386">
        <f t="shared" si="37"/>
        <v>0</v>
      </c>
      <c r="CB25" s="386">
        <f t="shared" si="38"/>
        <v>0</v>
      </c>
      <c r="CC25" s="386">
        <f t="shared" si="20"/>
        <v>0</v>
      </c>
      <c r="CD25" s="386">
        <f t="shared" si="21"/>
        <v>0</v>
      </c>
      <c r="CE25" s="386">
        <f t="shared" si="22"/>
        <v>0</v>
      </c>
      <c r="CF25" s="386">
        <f t="shared" si="23"/>
        <v>-163.68352000000002</v>
      </c>
      <c r="CG25" s="386">
        <f t="shared" si="24"/>
        <v>0</v>
      </c>
      <c r="CH25" s="386">
        <f t="shared" si="25"/>
        <v>36.745280000000015</v>
      </c>
      <c r="CI25" s="386">
        <f t="shared" si="26"/>
        <v>0</v>
      </c>
      <c r="CJ25" s="386">
        <f t="shared" si="39"/>
        <v>-126.93824000000001</v>
      </c>
      <c r="CK25" s="386" t="str">
        <f t="shared" si="40"/>
        <v/>
      </c>
      <c r="CL25" s="386" t="str">
        <f t="shared" si="41"/>
        <v/>
      </c>
      <c r="CM25" s="386" t="str">
        <f t="shared" si="42"/>
        <v/>
      </c>
      <c r="CN25" s="386" t="str">
        <f t="shared" si="43"/>
        <v>0229-15</v>
      </c>
    </row>
    <row r="26" spans="1:92" ht="15.75" thickBot="1" x14ac:dyDescent="0.3">
      <c r="A26" s="376" t="s">
        <v>161</v>
      </c>
      <c r="B26" s="376" t="s">
        <v>162</v>
      </c>
      <c r="C26" s="376" t="s">
        <v>275</v>
      </c>
      <c r="D26" s="376" t="s">
        <v>164</v>
      </c>
      <c r="E26" s="376" t="s">
        <v>165</v>
      </c>
      <c r="F26" s="377" t="s">
        <v>166</v>
      </c>
      <c r="G26" s="376" t="s">
        <v>167</v>
      </c>
      <c r="H26" s="378"/>
      <c r="I26" s="378"/>
      <c r="J26" s="376" t="s">
        <v>168</v>
      </c>
      <c r="K26" s="376" t="s">
        <v>169</v>
      </c>
      <c r="L26" s="376" t="s">
        <v>170</v>
      </c>
      <c r="M26" s="376" t="s">
        <v>171</v>
      </c>
      <c r="N26" s="376" t="s">
        <v>172</v>
      </c>
      <c r="O26" s="379">
        <v>1</v>
      </c>
      <c r="P26" s="384">
        <v>1</v>
      </c>
      <c r="Q26" s="384">
        <v>1</v>
      </c>
      <c r="R26" s="380">
        <v>80</v>
      </c>
      <c r="S26" s="384">
        <v>1</v>
      </c>
      <c r="T26" s="380">
        <v>34383.07</v>
      </c>
      <c r="U26" s="380">
        <v>730.88</v>
      </c>
      <c r="V26" s="380">
        <v>20205.77</v>
      </c>
      <c r="W26" s="380">
        <v>33404.800000000003</v>
      </c>
      <c r="X26" s="380">
        <v>19792.37</v>
      </c>
      <c r="Y26" s="380">
        <v>33404.800000000003</v>
      </c>
      <c r="Z26" s="380">
        <v>19665.439999999999</v>
      </c>
      <c r="AA26" s="376" t="s">
        <v>276</v>
      </c>
      <c r="AB26" s="376" t="s">
        <v>277</v>
      </c>
      <c r="AC26" s="376" t="s">
        <v>278</v>
      </c>
      <c r="AD26" s="376" t="s">
        <v>178</v>
      </c>
      <c r="AE26" s="376" t="s">
        <v>169</v>
      </c>
      <c r="AF26" s="376" t="s">
        <v>177</v>
      </c>
      <c r="AG26" s="376" t="s">
        <v>178</v>
      </c>
      <c r="AH26" s="381">
        <v>16.059999999999999</v>
      </c>
      <c r="AI26" s="379">
        <v>1076</v>
      </c>
      <c r="AJ26" s="376" t="s">
        <v>179</v>
      </c>
      <c r="AK26" s="376" t="s">
        <v>180</v>
      </c>
      <c r="AL26" s="376" t="s">
        <v>181</v>
      </c>
      <c r="AM26" s="376" t="s">
        <v>182</v>
      </c>
      <c r="AN26" s="376" t="s">
        <v>70</v>
      </c>
      <c r="AO26" s="379">
        <v>80</v>
      </c>
      <c r="AP26" s="384">
        <v>1</v>
      </c>
      <c r="AQ26" s="384">
        <v>1</v>
      </c>
      <c r="AR26" s="382" t="s">
        <v>183</v>
      </c>
      <c r="AS26" s="386">
        <f t="shared" si="27"/>
        <v>1</v>
      </c>
      <c r="AT26">
        <f t="shared" si="28"/>
        <v>1</v>
      </c>
      <c r="AU26" s="386">
        <f>IF(AT26=0,"",IF(AND(AT26=1,M26="F",SUMIF(C2:C48,C26,AS2:AS48)&lt;=1),SUMIF(C2:C48,C26,AS2:AS48),IF(AND(AT26=1,M26="F",SUMIF(C2:C48,C26,AS2:AS48)&gt;1),1,"")))</f>
        <v>1</v>
      </c>
      <c r="AV26" s="386" t="str">
        <f>IF(AT26=0,"",IF(AND(AT26=3,M26="F",SUMIF(C2:C48,C26,AS2:AS48)&lt;=1),SUMIF(C2:C48,C26,AS2:AS48),IF(AND(AT26=3,M26="F",SUMIF(C2:C48,C26,AS2:AS48)&gt;1),1,"")))</f>
        <v/>
      </c>
      <c r="AW26" s="386">
        <f>SUMIF(C2:C48,C26,O2:O48)</f>
        <v>1</v>
      </c>
      <c r="AX26" s="386">
        <f>IF(AND(M26="F",AS26&lt;&gt;0),SUMIF(C2:C48,C26,W2:W48),0)</f>
        <v>33404.800000000003</v>
      </c>
      <c r="AY26" s="386">
        <f t="shared" si="29"/>
        <v>33404.800000000003</v>
      </c>
      <c r="AZ26" s="386" t="str">
        <f t="shared" si="30"/>
        <v/>
      </c>
      <c r="BA26" s="386">
        <f t="shared" si="31"/>
        <v>0</v>
      </c>
      <c r="BB26" s="386">
        <f t="shared" si="0"/>
        <v>11650</v>
      </c>
      <c r="BC26" s="386">
        <f t="shared" si="1"/>
        <v>0</v>
      </c>
      <c r="BD26" s="386">
        <f t="shared" si="2"/>
        <v>2071.0976000000001</v>
      </c>
      <c r="BE26" s="386">
        <f t="shared" si="3"/>
        <v>484.36960000000005</v>
      </c>
      <c r="BF26" s="386">
        <f t="shared" si="4"/>
        <v>4102.1094400000002</v>
      </c>
      <c r="BG26" s="386">
        <f t="shared" si="5"/>
        <v>240.84860800000004</v>
      </c>
      <c r="BH26" s="386">
        <f t="shared" si="6"/>
        <v>163.68352000000002</v>
      </c>
      <c r="BI26" s="386">
        <f t="shared" si="7"/>
        <v>184.89556800000003</v>
      </c>
      <c r="BJ26" s="386">
        <f t="shared" si="8"/>
        <v>895.24864000000014</v>
      </c>
      <c r="BK26" s="386">
        <f t="shared" si="9"/>
        <v>0</v>
      </c>
      <c r="BL26" s="386">
        <f t="shared" si="32"/>
        <v>8142.2529759999998</v>
      </c>
      <c r="BM26" s="386">
        <f t="shared" si="33"/>
        <v>0</v>
      </c>
      <c r="BN26" s="386">
        <f t="shared" si="10"/>
        <v>11650</v>
      </c>
      <c r="BO26" s="386">
        <f t="shared" si="11"/>
        <v>0</v>
      </c>
      <c r="BP26" s="386">
        <f t="shared" si="12"/>
        <v>2071.0976000000001</v>
      </c>
      <c r="BQ26" s="386">
        <f t="shared" si="13"/>
        <v>484.36960000000005</v>
      </c>
      <c r="BR26" s="386">
        <f t="shared" si="14"/>
        <v>4102.1094400000002</v>
      </c>
      <c r="BS26" s="386">
        <f t="shared" si="15"/>
        <v>240.84860800000004</v>
      </c>
      <c r="BT26" s="386">
        <f t="shared" si="16"/>
        <v>0</v>
      </c>
      <c r="BU26" s="386">
        <f t="shared" si="17"/>
        <v>184.89556800000003</v>
      </c>
      <c r="BV26" s="386">
        <f t="shared" si="18"/>
        <v>931.99392000000012</v>
      </c>
      <c r="BW26" s="386">
        <f t="shared" si="19"/>
        <v>0</v>
      </c>
      <c r="BX26" s="386">
        <f t="shared" si="34"/>
        <v>8015.3147360000003</v>
      </c>
      <c r="BY26" s="386">
        <f t="shared" si="35"/>
        <v>0</v>
      </c>
      <c r="BZ26" s="386">
        <f t="shared" si="36"/>
        <v>0</v>
      </c>
      <c r="CA26" s="386">
        <f t="shared" si="37"/>
        <v>0</v>
      </c>
      <c r="CB26" s="386">
        <f t="shared" si="38"/>
        <v>0</v>
      </c>
      <c r="CC26" s="386">
        <f t="shared" si="20"/>
        <v>0</v>
      </c>
      <c r="CD26" s="386">
        <f t="shared" si="21"/>
        <v>0</v>
      </c>
      <c r="CE26" s="386">
        <f t="shared" si="22"/>
        <v>0</v>
      </c>
      <c r="CF26" s="386">
        <f t="shared" si="23"/>
        <v>-163.68352000000002</v>
      </c>
      <c r="CG26" s="386">
        <f t="shared" si="24"/>
        <v>0</v>
      </c>
      <c r="CH26" s="386">
        <f t="shared" si="25"/>
        <v>36.745280000000015</v>
      </c>
      <c r="CI26" s="386">
        <f t="shared" si="26"/>
        <v>0</v>
      </c>
      <c r="CJ26" s="386">
        <f t="shared" si="39"/>
        <v>-126.93824000000001</v>
      </c>
      <c r="CK26" s="386" t="str">
        <f t="shared" si="40"/>
        <v/>
      </c>
      <c r="CL26" s="386" t="str">
        <f t="shared" si="41"/>
        <v/>
      </c>
      <c r="CM26" s="386" t="str">
        <f t="shared" si="42"/>
        <v/>
      </c>
      <c r="CN26" s="386" t="str">
        <f t="shared" si="43"/>
        <v>0229-15</v>
      </c>
    </row>
    <row r="27" spans="1:92" ht="15.75" thickBot="1" x14ac:dyDescent="0.3">
      <c r="A27" s="376" t="s">
        <v>161</v>
      </c>
      <c r="B27" s="376" t="s">
        <v>162</v>
      </c>
      <c r="C27" s="376" t="s">
        <v>279</v>
      </c>
      <c r="D27" s="376" t="s">
        <v>164</v>
      </c>
      <c r="E27" s="376" t="s">
        <v>165</v>
      </c>
      <c r="F27" s="377" t="s">
        <v>166</v>
      </c>
      <c r="G27" s="376" t="s">
        <v>167</v>
      </c>
      <c r="H27" s="378"/>
      <c r="I27" s="378"/>
      <c r="J27" s="376" t="s">
        <v>168</v>
      </c>
      <c r="K27" s="376" t="s">
        <v>169</v>
      </c>
      <c r="L27" s="376" t="s">
        <v>170</v>
      </c>
      <c r="M27" s="376" t="s">
        <v>171</v>
      </c>
      <c r="N27" s="376" t="s">
        <v>172</v>
      </c>
      <c r="O27" s="379">
        <v>1</v>
      </c>
      <c r="P27" s="384">
        <v>1</v>
      </c>
      <c r="Q27" s="384">
        <v>1</v>
      </c>
      <c r="R27" s="380">
        <v>80</v>
      </c>
      <c r="S27" s="384">
        <v>1</v>
      </c>
      <c r="T27" s="380">
        <v>32945.24</v>
      </c>
      <c r="U27" s="380">
        <v>0</v>
      </c>
      <c r="V27" s="380">
        <v>19238.95</v>
      </c>
      <c r="W27" s="380">
        <v>33571.199999999997</v>
      </c>
      <c r="X27" s="380">
        <v>19832.939999999999</v>
      </c>
      <c r="Y27" s="380">
        <v>33571.199999999997</v>
      </c>
      <c r="Z27" s="380">
        <v>19705.38</v>
      </c>
      <c r="AA27" s="376" t="s">
        <v>280</v>
      </c>
      <c r="AB27" s="376" t="s">
        <v>281</v>
      </c>
      <c r="AC27" s="376" t="s">
        <v>282</v>
      </c>
      <c r="AD27" s="376" t="s">
        <v>188</v>
      </c>
      <c r="AE27" s="376" t="s">
        <v>169</v>
      </c>
      <c r="AF27" s="376" t="s">
        <v>177</v>
      </c>
      <c r="AG27" s="376" t="s">
        <v>178</v>
      </c>
      <c r="AH27" s="381">
        <v>16.14</v>
      </c>
      <c r="AI27" s="379">
        <v>5573</v>
      </c>
      <c r="AJ27" s="376" t="s">
        <v>179</v>
      </c>
      <c r="AK27" s="376" t="s">
        <v>180</v>
      </c>
      <c r="AL27" s="376" t="s">
        <v>181</v>
      </c>
      <c r="AM27" s="376" t="s">
        <v>182</v>
      </c>
      <c r="AN27" s="376" t="s">
        <v>70</v>
      </c>
      <c r="AO27" s="379">
        <v>80</v>
      </c>
      <c r="AP27" s="384">
        <v>1</v>
      </c>
      <c r="AQ27" s="384">
        <v>1</v>
      </c>
      <c r="AR27" s="382" t="s">
        <v>183</v>
      </c>
      <c r="AS27" s="386">
        <f t="shared" si="27"/>
        <v>1</v>
      </c>
      <c r="AT27">
        <f t="shared" si="28"/>
        <v>1</v>
      </c>
      <c r="AU27" s="386">
        <f>IF(AT27=0,"",IF(AND(AT27=1,M27="F",SUMIF(C2:C48,C27,AS2:AS48)&lt;=1),SUMIF(C2:C48,C27,AS2:AS48),IF(AND(AT27=1,M27="F",SUMIF(C2:C48,C27,AS2:AS48)&gt;1),1,"")))</f>
        <v>1</v>
      </c>
      <c r="AV27" s="386" t="str">
        <f>IF(AT27=0,"",IF(AND(AT27=3,M27="F",SUMIF(C2:C48,C27,AS2:AS48)&lt;=1),SUMIF(C2:C48,C27,AS2:AS48),IF(AND(AT27=3,M27="F",SUMIF(C2:C48,C27,AS2:AS48)&gt;1),1,"")))</f>
        <v/>
      </c>
      <c r="AW27" s="386">
        <f>SUMIF(C2:C48,C27,O2:O48)</f>
        <v>1</v>
      </c>
      <c r="AX27" s="386">
        <f>IF(AND(M27="F",AS27&lt;&gt;0),SUMIF(C2:C48,C27,W2:W48),0)</f>
        <v>33571.199999999997</v>
      </c>
      <c r="AY27" s="386">
        <f t="shared" si="29"/>
        <v>33571.199999999997</v>
      </c>
      <c r="AZ27" s="386" t="str">
        <f t="shared" si="30"/>
        <v/>
      </c>
      <c r="BA27" s="386">
        <f t="shared" si="31"/>
        <v>0</v>
      </c>
      <c r="BB27" s="386">
        <f t="shared" si="0"/>
        <v>11650</v>
      </c>
      <c r="BC27" s="386">
        <f t="shared" si="1"/>
        <v>0</v>
      </c>
      <c r="BD27" s="386">
        <f t="shared" si="2"/>
        <v>2081.4143999999997</v>
      </c>
      <c r="BE27" s="386">
        <f t="shared" si="3"/>
        <v>486.7824</v>
      </c>
      <c r="BF27" s="386">
        <f t="shared" si="4"/>
        <v>4122.5433599999997</v>
      </c>
      <c r="BG27" s="386">
        <f t="shared" si="5"/>
        <v>242.04835199999999</v>
      </c>
      <c r="BH27" s="386">
        <f t="shared" si="6"/>
        <v>164.49887999999999</v>
      </c>
      <c r="BI27" s="386">
        <f t="shared" si="7"/>
        <v>185.81659199999999</v>
      </c>
      <c r="BJ27" s="386">
        <f t="shared" si="8"/>
        <v>899.70815999999991</v>
      </c>
      <c r="BK27" s="386">
        <f t="shared" si="9"/>
        <v>0</v>
      </c>
      <c r="BL27" s="386">
        <f t="shared" si="32"/>
        <v>8182.8121439999995</v>
      </c>
      <c r="BM27" s="386">
        <f t="shared" si="33"/>
        <v>0</v>
      </c>
      <c r="BN27" s="386">
        <f t="shared" si="10"/>
        <v>11650</v>
      </c>
      <c r="BO27" s="386">
        <f t="shared" si="11"/>
        <v>0</v>
      </c>
      <c r="BP27" s="386">
        <f t="shared" si="12"/>
        <v>2081.4143999999997</v>
      </c>
      <c r="BQ27" s="386">
        <f t="shared" si="13"/>
        <v>486.7824</v>
      </c>
      <c r="BR27" s="386">
        <f t="shared" si="14"/>
        <v>4122.5433599999997</v>
      </c>
      <c r="BS27" s="386">
        <f t="shared" si="15"/>
        <v>242.04835199999999</v>
      </c>
      <c r="BT27" s="386">
        <f t="shared" si="16"/>
        <v>0</v>
      </c>
      <c r="BU27" s="386">
        <f t="shared" si="17"/>
        <v>185.81659199999999</v>
      </c>
      <c r="BV27" s="386">
        <f t="shared" si="18"/>
        <v>936.63648000000001</v>
      </c>
      <c r="BW27" s="386">
        <f t="shared" si="19"/>
        <v>0</v>
      </c>
      <c r="BX27" s="386">
        <f t="shared" si="34"/>
        <v>8055.2415839999994</v>
      </c>
      <c r="BY27" s="386">
        <f t="shared" si="35"/>
        <v>0</v>
      </c>
      <c r="BZ27" s="386">
        <f t="shared" si="36"/>
        <v>0</v>
      </c>
      <c r="CA27" s="386">
        <f t="shared" si="37"/>
        <v>0</v>
      </c>
      <c r="CB27" s="386">
        <f t="shared" si="38"/>
        <v>0</v>
      </c>
      <c r="CC27" s="386">
        <f t="shared" si="20"/>
        <v>0</v>
      </c>
      <c r="CD27" s="386">
        <f t="shared" si="21"/>
        <v>0</v>
      </c>
      <c r="CE27" s="386">
        <f t="shared" si="22"/>
        <v>0</v>
      </c>
      <c r="CF27" s="386">
        <f t="shared" si="23"/>
        <v>-164.49887999999999</v>
      </c>
      <c r="CG27" s="386">
        <f t="shared" si="24"/>
        <v>0</v>
      </c>
      <c r="CH27" s="386">
        <f t="shared" si="25"/>
        <v>36.928320000000006</v>
      </c>
      <c r="CI27" s="386">
        <f t="shared" si="26"/>
        <v>0</v>
      </c>
      <c r="CJ27" s="386">
        <f t="shared" si="39"/>
        <v>-127.57055999999997</v>
      </c>
      <c r="CK27" s="386" t="str">
        <f t="shared" si="40"/>
        <v/>
      </c>
      <c r="CL27" s="386" t="str">
        <f t="shared" si="41"/>
        <v/>
      </c>
      <c r="CM27" s="386" t="str">
        <f t="shared" si="42"/>
        <v/>
      </c>
      <c r="CN27" s="386" t="str">
        <f t="shared" si="43"/>
        <v>0229-15</v>
      </c>
    </row>
    <row r="28" spans="1:92" ht="15.75" thickBot="1" x14ac:dyDescent="0.3">
      <c r="A28" s="376" t="s">
        <v>161</v>
      </c>
      <c r="B28" s="376" t="s">
        <v>162</v>
      </c>
      <c r="C28" s="376" t="s">
        <v>283</v>
      </c>
      <c r="D28" s="376" t="s">
        <v>164</v>
      </c>
      <c r="E28" s="376" t="s">
        <v>165</v>
      </c>
      <c r="F28" s="377" t="s">
        <v>166</v>
      </c>
      <c r="G28" s="376" t="s">
        <v>167</v>
      </c>
      <c r="H28" s="378"/>
      <c r="I28" s="378"/>
      <c r="J28" s="376" t="s">
        <v>168</v>
      </c>
      <c r="K28" s="376" t="s">
        <v>169</v>
      </c>
      <c r="L28" s="376" t="s">
        <v>170</v>
      </c>
      <c r="M28" s="376" t="s">
        <v>171</v>
      </c>
      <c r="N28" s="376" t="s">
        <v>172</v>
      </c>
      <c r="O28" s="379">
        <v>1</v>
      </c>
      <c r="P28" s="384">
        <v>1</v>
      </c>
      <c r="Q28" s="384">
        <v>1</v>
      </c>
      <c r="R28" s="380">
        <v>80</v>
      </c>
      <c r="S28" s="384">
        <v>1</v>
      </c>
      <c r="T28" s="380">
        <v>33780.370000000003</v>
      </c>
      <c r="U28" s="380">
        <v>0</v>
      </c>
      <c r="V28" s="380">
        <v>19574.2</v>
      </c>
      <c r="W28" s="380">
        <v>34299.199999999997</v>
      </c>
      <c r="X28" s="380">
        <v>20010.39</v>
      </c>
      <c r="Y28" s="380">
        <v>34299.199999999997</v>
      </c>
      <c r="Z28" s="380">
        <v>19880.060000000001</v>
      </c>
      <c r="AA28" s="376" t="s">
        <v>284</v>
      </c>
      <c r="AB28" s="376" t="s">
        <v>285</v>
      </c>
      <c r="AC28" s="376" t="s">
        <v>286</v>
      </c>
      <c r="AD28" s="376" t="s">
        <v>240</v>
      </c>
      <c r="AE28" s="376" t="s">
        <v>169</v>
      </c>
      <c r="AF28" s="376" t="s">
        <v>177</v>
      </c>
      <c r="AG28" s="376" t="s">
        <v>178</v>
      </c>
      <c r="AH28" s="381">
        <v>16.489999999999998</v>
      </c>
      <c r="AI28" s="379">
        <v>8312</v>
      </c>
      <c r="AJ28" s="376" t="s">
        <v>179</v>
      </c>
      <c r="AK28" s="376" t="s">
        <v>180</v>
      </c>
      <c r="AL28" s="376" t="s">
        <v>181</v>
      </c>
      <c r="AM28" s="376" t="s">
        <v>182</v>
      </c>
      <c r="AN28" s="376" t="s">
        <v>70</v>
      </c>
      <c r="AO28" s="379">
        <v>80</v>
      </c>
      <c r="AP28" s="384">
        <v>1</v>
      </c>
      <c r="AQ28" s="384">
        <v>1</v>
      </c>
      <c r="AR28" s="382" t="s">
        <v>183</v>
      </c>
      <c r="AS28" s="386">
        <f t="shared" si="27"/>
        <v>1</v>
      </c>
      <c r="AT28">
        <f t="shared" si="28"/>
        <v>1</v>
      </c>
      <c r="AU28" s="386">
        <f>IF(AT28=0,"",IF(AND(AT28=1,M28="F",SUMIF(C2:C48,C28,AS2:AS48)&lt;=1),SUMIF(C2:C48,C28,AS2:AS48),IF(AND(AT28=1,M28="F",SUMIF(C2:C48,C28,AS2:AS48)&gt;1),1,"")))</f>
        <v>1</v>
      </c>
      <c r="AV28" s="386" t="str">
        <f>IF(AT28=0,"",IF(AND(AT28=3,M28="F",SUMIF(C2:C48,C28,AS2:AS48)&lt;=1),SUMIF(C2:C48,C28,AS2:AS48),IF(AND(AT28=3,M28="F",SUMIF(C2:C48,C28,AS2:AS48)&gt;1),1,"")))</f>
        <v/>
      </c>
      <c r="AW28" s="386">
        <f>SUMIF(C2:C48,C28,O2:O48)</f>
        <v>1</v>
      </c>
      <c r="AX28" s="386">
        <f>IF(AND(M28="F",AS28&lt;&gt;0),SUMIF(C2:C48,C28,W2:W48),0)</f>
        <v>34299.199999999997</v>
      </c>
      <c r="AY28" s="386">
        <f t="shared" si="29"/>
        <v>34299.199999999997</v>
      </c>
      <c r="AZ28" s="386" t="str">
        <f t="shared" si="30"/>
        <v/>
      </c>
      <c r="BA28" s="386">
        <f t="shared" si="31"/>
        <v>0</v>
      </c>
      <c r="BB28" s="386">
        <f t="shared" si="0"/>
        <v>11650</v>
      </c>
      <c r="BC28" s="386">
        <f t="shared" si="1"/>
        <v>0</v>
      </c>
      <c r="BD28" s="386">
        <f t="shared" si="2"/>
        <v>2126.5503999999996</v>
      </c>
      <c r="BE28" s="386">
        <f t="shared" si="3"/>
        <v>497.33839999999998</v>
      </c>
      <c r="BF28" s="386">
        <f t="shared" si="4"/>
        <v>4211.9417599999997</v>
      </c>
      <c r="BG28" s="386">
        <f t="shared" si="5"/>
        <v>247.29723199999998</v>
      </c>
      <c r="BH28" s="386">
        <f t="shared" si="6"/>
        <v>168.06607999999997</v>
      </c>
      <c r="BI28" s="386">
        <f t="shared" si="7"/>
        <v>189.84607199999999</v>
      </c>
      <c r="BJ28" s="386">
        <f t="shared" si="8"/>
        <v>919.21855999999991</v>
      </c>
      <c r="BK28" s="386">
        <f t="shared" si="9"/>
        <v>0</v>
      </c>
      <c r="BL28" s="386">
        <f t="shared" si="32"/>
        <v>8360.2585039999994</v>
      </c>
      <c r="BM28" s="386">
        <f t="shared" si="33"/>
        <v>0</v>
      </c>
      <c r="BN28" s="386">
        <f t="shared" si="10"/>
        <v>11650</v>
      </c>
      <c r="BO28" s="386">
        <f t="shared" si="11"/>
        <v>0</v>
      </c>
      <c r="BP28" s="386">
        <f t="shared" si="12"/>
        <v>2126.5503999999996</v>
      </c>
      <c r="BQ28" s="386">
        <f t="shared" si="13"/>
        <v>497.33839999999998</v>
      </c>
      <c r="BR28" s="386">
        <f t="shared" si="14"/>
        <v>4211.9417599999997</v>
      </c>
      <c r="BS28" s="386">
        <f t="shared" si="15"/>
        <v>247.29723199999998</v>
      </c>
      <c r="BT28" s="386">
        <f t="shared" si="16"/>
        <v>0</v>
      </c>
      <c r="BU28" s="386">
        <f t="shared" si="17"/>
        <v>189.84607199999999</v>
      </c>
      <c r="BV28" s="386">
        <f t="shared" si="18"/>
        <v>956.94767999999999</v>
      </c>
      <c r="BW28" s="386">
        <f t="shared" si="19"/>
        <v>0</v>
      </c>
      <c r="BX28" s="386">
        <f t="shared" si="34"/>
        <v>8229.9215439999989</v>
      </c>
      <c r="BY28" s="386">
        <f t="shared" si="35"/>
        <v>0</v>
      </c>
      <c r="BZ28" s="386">
        <f t="shared" si="36"/>
        <v>0</v>
      </c>
      <c r="CA28" s="386">
        <f t="shared" si="37"/>
        <v>0</v>
      </c>
      <c r="CB28" s="386">
        <f t="shared" si="38"/>
        <v>0</v>
      </c>
      <c r="CC28" s="386">
        <f t="shared" si="20"/>
        <v>0</v>
      </c>
      <c r="CD28" s="386">
        <f t="shared" si="21"/>
        <v>0</v>
      </c>
      <c r="CE28" s="386">
        <f t="shared" si="22"/>
        <v>0</v>
      </c>
      <c r="CF28" s="386">
        <f t="shared" si="23"/>
        <v>-168.06607999999997</v>
      </c>
      <c r="CG28" s="386">
        <f t="shared" si="24"/>
        <v>0</v>
      </c>
      <c r="CH28" s="386">
        <f t="shared" si="25"/>
        <v>37.729120000000009</v>
      </c>
      <c r="CI28" s="386">
        <f t="shared" si="26"/>
        <v>0</v>
      </c>
      <c r="CJ28" s="386">
        <f t="shared" si="39"/>
        <v>-130.33695999999998</v>
      </c>
      <c r="CK28" s="386" t="str">
        <f t="shared" si="40"/>
        <v/>
      </c>
      <c r="CL28" s="386" t="str">
        <f t="shared" si="41"/>
        <v/>
      </c>
      <c r="CM28" s="386" t="str">
        <f t="shared" si="42"/>
        <v/>
      </c>
      <c r="CN28" s="386" t="str">
        <f t="shared" si="43"/>
        <v>0229-15</v>
      </c>
    </row>
    <row r="29" spans="1:92" ht="15.75" thickBot="1" x14ac:dyDescent="0.3">
      <c r="A29" s="376" t="s">
        <v>161</v>
      </c>
      <c r="B29" s="376" t="s">
        <v>162</v>
      </c>
      <c r="C29" s="376" t="s">
        <v>287</v>
      </c>
      <c r="D29" s="376" t="s">
        <v>164</v>
      </c>
      <c r="E29" s="376" t="s">
        <v>165</v>
      </c>
      <c r="F29" s="377" t="s">
        <v>166</v>
      </c>
      <c r="G29" s="376" t="s">
        <v>167</v>
      </c>
      <c r="H29" s="378"/>
      <c r="I29" s="378"/>
      <c r="J29" s="376" t="s">
        <v>168</v>
      </c>
      <c r="K29" s="376" t="s">
        <v>169</v>
      </c>
      <c r="L29" s="376" t="s">
        <v>170</v>
      </c>
      <c r="M29" s="376" t="s">
        <v>171</v>
      </c>
      <c r="N29" s="376" t="s">
        <v>172</v>
      </c>
      <c r="O29" s="379">
        <v>1</v>
      </c>
      <c r="P29" s="384">
        <v>1</v>
      </c>
      <c r="Q29" s="384">
        <v>1</v>
      </c>
      <c r="R29" s="380">
        <v>80</v>
      </c>
      <c r="S29" s="384">
        <v>1</v>
      </c>
      <c r="T29" s="380">
        <v>25725.23</v>
      </c>
      <c r="U29" s="380">
        <v>268.98</v>
      </c>
      <c r="V29" s="380">
        <v>14618.04</v>
      </c>
      <c r="W29" s="380">
        <v>32614.400000000001</v>
      </c>
      <c r="X29" s="380">
        <v>19599.72</v>
      </c>
      <c r="Y29" s="380">
        <v>32614.400000000001</v>
      </c>
      <c r="Z29" s="380">
        <v>19475.79</v>
      </c>
      <c r="AA29" s="376" t="s">
        <v>288</v>
      </c>
      <c r="AB29" s="376" t="s">
        <v>289</v>
      </c>
      <c r="AC29" s="376" t="s">
        <v>290</v>
      </c>
      <c r="AD29" s="376" t="s">
        <v>197</v>
      </c>
      <c r="AE29" s="376" t="s">
        <v>169</v>
      </c>
      <c r="AF29" s="376" t="s">
        <v>177</v>
      </c>
      <c r="AG29" s="376" t="s">
        <v>178</v>
      </c>
      <c r="AH29" s="381">
        <v>15.68</v>
      </c>
      <c r="AI29" s="379">
        <v>0</v>
      </c>
      <c r="AJ29" s="376" t="s">
        <v>179</v>
      </c>
      <c r="AK29" s="376" t="s">
        <v>180</v>
      </c>
      <c r="AL29" s="376" t="s">
        <v>181</v>
      </c>
      <c r="AM29" s="376" t="s">
        <v>182</v>
      </c>
      <c r="AN29" s="376" t="s">
        <v>70</v>
      </c>
      <c r="AO29" s="379">
        <v>80</v>
      </c>
      <c r="AP29" s="384">
        <v>1</v>
      </c>
      <c r="AQ29" s="384">
        <v>1</v>
      </c>
      <c r="AR29" s="382" t="s">
        <v>183</v>
      </c>
      <c r="AS29" s="386">
        <f t="shared" si="27"/>
        <v>1</v>
      </c>
      <c r="AT29">
        <f t="shared" si="28"/>
        <v>1</v>
      </c>
      <c r="AU29" s="386">
        <f>IF(AT29=0,"",IF(AND(AT29=1,M29="F",SUMIF(C2:C48,C29,AS2:AS48)&lt;=1),SUMIF(C2:C48,C29,AS2:AS48),IF(AND(AT29=1,M29="F",SUMIF(C2:C48,C29,AS2:AS48)&gt;1),1,"")))</f>
        <v>1</v>
      </c>
      <c r="AV29" s="386" t="str">
        <f>IF(AT29=0,"",IF(AND(AT29=3,M29="F",SUMIF(C2:C48,C29,AS2:AS48)&lt;=1),SUMIF(C2:C48,C29,AS2:AS48),IF(AND(AT29=3,M29="F",SUMIF(C2:C48,C29,AS2:AS48)&gt;1),1,"")))</f>
        <v/>
      </c>
      <c r="AW29" s="386">
        <f>SUMIF(C2:C48,C29,O2:O48)</f>
        <v>1</v>
      </c>
      <c r="AX29" s="386">
        <f>IF(AND(M29="F",AS29&lt;&gt;0),SUMIF(C2:C48,C29,W2:W48),0)</f>
        <v>32614.400000000001</v>
      </c>
      <c r="AY29" s="386">
        <f t="shared" si="29"/>
        <v>32614.400000000001</v>
      </c>
      <c r="AZ29" s="386" t="str">
        <f t="shared" si="30"/>
        <v/>
      </c>
      <c r="BA29" s="386">
        <f t="shared" si="31"/>
        <v>0</v>
      </c>
      <c r="BB29" s="386">
        <f t="shared" si="0"/>
        <v>11650</v>
      </c>
      <c r="BC29" s="386">
        <f t="shared" si="1"/>
        <v>0</v>
      </c>
      <c r="BD29" s="386">
        <f t="shared" si="2"/>
        <v>2022.0928000000001</v>
      </c>
      <c r="BE29" s="386">
        <f t="shared" si="3"/>
        <v>472.90880000000004</v>
      </c>
      <c r="BF29" s="386">
        <f t="shared" si="4"/>
        <v>4005.0483200000003</v>
      </c>
      <c r="BG29" s="386">
        <f t="shared" si="5"/>
        <v>235.14982400000002</v>
      </c>
      <c r="BH29" s="386">
        <f t="shared" si="6"/>
        <v>159.81056000000001</v>
      </c>
      <c r="BI29" s="386">
        <f t="shared" si="7"/>
        <v>180.52070399999999</v>
      </c>
      <c r="BJ29" s="386">
        <f t="shared" si="8"/>
        <v>874.06592000000012</v>
      </c>
      <c r="BK29" s="386">
        <f t="shared" si="9"/>
        <v>0</v>
      </c>
      <c r="BL29" s="386">
        <f t="shared" si="32"/>
        <v>7949.5969279999999</v>
      </c>
      <c r="BM29" s="386">
        <f t="shared" si="33"/>
        <v>0</v>
      </c>
      <c r="BN29" s="386">
        <f t="shared" si="10"/>
        <v>11650</v>
      </c>
      <c r="BO29" s="386">
        <f t="shared" si="11"/>
        <v>0</v>
      </c>
      <c r="BP29" s="386">
        <f t="shared" si="12"/>
        <v>2022.0928000000001</v>
      </c>
      <c r="BQ29" s="386">
        <f t="shared" si="13"/>
        <v>472.90880000000004</v>
      </c>
      <c r="BR29" s="386">
        <f t="shared" si="14"/>
        <v>4005.0483200000003</v>
      </c>
      <c r="BS29" s="386">
        <f t="shared" si="15"/>
        <v>235.14982400000002</v>
      </c>
      <c r="BT29" s="386">
        <f t="shared" si="16"/>
        <v>0</v>
      </c>
      <c r="BU29" s="386">
        <f t="shared" si="17"/>
        <v>180.52070399999999</v>
      </c>
      <c r="BV29" s="386">
        <f t="shared" si="18"/>
        <v>909.94176000000004</v>
      </c>
      <c r="BW29" s="386">
        <f t="shared" si="19"/>
        <v>0</v>
      </c>
      <c r="BX29" s="386">
        <f t="shared" si="34"/>
        <v>7825.6622079999997</v>
      </c>
      <c r="BY29" s="386">
        <f t="shared" si="35"/>
        <v>0</v>
      </c>
      <c r="BZ29" s="386">
        <f t="shared" si="36"/>
        <v>0</v>
      </c>
      <c r="CA29" s="386">
        <f t="shared" si="37"/>
        <v>0</v>
      </c>
      <c r="CB29" s="386">
        <f t="shared" si="38"/>
        <v>0</v>
      </c>
      <c r="CC29" s="386">
        <f t="shared" si="20"/>
        <v>0</v>
      </c>
      <c r="CD29" s="386">
        <f t="shared" si="21"/>
        <v>0</v>
      </c>
      <c r="CE29" s="386">
        <f t="shared" si="22"/>
        <v>0</v>
      </c>
      <c r="CF29" s="386">
        <f t="shared" si="23"/>
        <v>-159.81056000000001</v>
      </c>
      <c r="CG29" s="386">
        <f t="shared" si="24"/>
        <v>0</v>
      </c>
      <c r="CH29" s="386">
        <f t="shared" si="25"/>
        <v>35.875840000000011</v>
      </c>
      <c r="CI29" s="386">
        <f t="shared" si="26"/>
        <v>0</v>
      </c>
      <c r="CJ29" s="386">
        <f t="shared" si="39"/>
        <v>-123.93472</v>
      </c>
      <c r="CK29" s="386" t="str">
        <f t="shared" si="40"/>
        <v/>
      </c>
      <c r="CL29" s="386" t="str">
        <f t="shared" si="41"/>
        <v/>
      </c>
      <c r="CM29" s="386" t="str">
        <f t="shared" si="42"/>
        <v/>
      </c>
      <c r="CN29" s="386" t="str">
        <f t="shared" si="43"/>
        <v>0229-15</v>
      </c>
    </row>
    <row r="30" spans="1:92" ht="15.75" thickBot="1" x14ac:dyDescent="0.3">
      <c r="A30" s="376" t="s">
        <v>161</v>
      </c>
      <c r="B30" s="376" t="s">
        <v>162</v>
      </c>
      <c r="C30" s="376" t="s">
        <v>291</v>
      </c>
      <c r="D30" s="376" t="s">
        <v>164</v>
      </c>
      <c r="E30" s="376" t="s">
        <v>165</v>
      </c>
      <c r="F30" s="377" t="s">
        <v>166</v>
      </c>
      <c r="G30" s="376" t="s">
        <v>167</v>
      </c>
      <c r="H30" s="378"/>
      <c r="I30" s="378"/>
      <c r="J30" s="376" t="s">
        <v>168</v>
      </c>
      <c r="K30" s="376" t="s">
        <v>169</v>
      </c>
      <c r="L30" s="376" t="s">
        <v>170</v>
      </c>
      <c r="M30" s="376" t="s">
        <v>171</v>
      </c>
      <c r="N30" s="376" t="s">
        <v>172</v>
      </c>
      <c r="O30" s="379">
        <v>1</v>
      </c>
      <c r="P30" s="384">
        <v>1</v>
      </c>
      <c r="Q30" s="384">
        <v>1</v>
      </c>
      <c r="R30" s="380">
        <v>80</v>
      </c>
      <c r="S30" s="384">
        <v>1</v>
      </c>
      <c r="T30" s="380">
        <v>37426.93</v>
      </c>
      <c r="U30" s="380">
        <v>402.73</v>
      </c>
      <c r="V30" s="380">
        <v>20313.91</v>
      </c>
      <c r="W30" s="380">
        <v>38251.199999999997</v>
      </c>
      <c r="X30" s="380">
        <v>20973.71</v>
      </c>
      <c r="Y30" s="380">
        <v>38251.199999999997</v>
      </c>
      <c r="Z30" s="380">
        <v>20828.349999999999</v>
      </c>
      <c r="AA30" s="376" t="s">
        <v>292</v>
      </c>
      <c r="AB30" s="376" t="s">
        <v>293</v>
      </c>
      <c r="AC30" s="376" t="s">
        <v>294</v>
      </c>
      <c r="AD30" s="376" t="s">
        <v>193</v>
      </c>
      <c r="AE30" s="376" t="s">
        <v>169</v>
      </c>
      <c r="AF30" s="376" t="s">
        <v>177</v>
      </c>
      <c r="AG30" s="376" t="s">
        <v>178</v>
      </c>
      <c r="AH30" s="381">
        <v>18.39</v>
      </c>
      <c r="AI30" s="379">
        <v>12521</v>
      </c>
      <c r="AJ30" s="376" t="s">
        <v>179</v>
      </c>
      <c r="AK30" s="376" t="s">
        <v>180</v>
      </c>
      <c r="AL30" s="376" t="s">
        <v>181</v>
      </c>
      <c r="AM30" s="376" t="s">
        <v>182</v>
      </c>
      <c r="AN30" s="376" t="s">
        <v>70</v>
      </c>
      <c r="AO30" s="379">
        <v>80</v>
      </c>
      <c r="AP30" s="384">
        <v>1</v>
      </c>
      <c r="AQ30" s="384">
        <v>1</v>
      </c>
      <c r="AR30" s="382" t="s">
        <v>183</v>
      </c>
      <c r="AS30" s="386">
        <f t="shared" si="27"/>
        <v>1</v>
      </c>
      <c r="AT30">
        <f t="shared" si="28"/>
        <v>1</v>
      </c>
      <c r="AU30" s="386">
        <f>IF(AT30=0,"",IF(AND(AT30=1,M30="F",SUMIF(C2:C48,C30,AS2:AS48)&lt;=1),SUMIF(C2:C48,C30,AS2:AS48),IF(AND(AT30=1,M30="F",SUMIF(C2:C48,C30,AS2:AS48)&gt;1),1,"")))</f>
        <v>1</v>
      </c>
      <c r="AV30" s="386" t="str">
        <f>IF(AT30=0,"",IF(AND(AT30=3,M30="F",SUMIF(C2:C48,C30,AS2:AS48)&lt;=1),SUMIF(C2:C48,C30,AS2:AS48),IF(AND(AT30=3,M30="F",SUMIF(C2:C48,C30,AS2:AS48)&gt;1),1,"")))</f>
        <v/>
      </c>
      <c r="AW30" s="386">
        <f>SUMIF(C2:C48,C30,O2:O48)</f>
        <v>1</v>
      </c>
      <c r="AX30" s="386">
        <f>IF(AND(M30="F",AS30&lt;&gt;0),SUMIF(C2:C48,C30,W2:W48),0)</f>
        <v>38251.199999999997</v>
      </c>
      <c r="AY30" s="386">
        <f t="shared" si="29"/>
        <v>38251.199999999997</v>
      </c>
      <c r="AZ30" s="386" t="str">
        <f t="shared" si="30"/>
        <v/>
      </c>
      <c r="BA30" s="386">
        <f t="shared" si="31"/>
        <v>0</v>
      </c>
      <c r="BB30" s="386">
        <f t="shared" si="0"/>
        <v>11650</v>
      </c>
      <c r="BC30" s="386">
        <f t="shared" si="1"/>
        <v>0</v>
      </c>
      <c r="BD30" s="386">
        <f t="shared" si="2"/>
        <v>2371.5744</v>
      </c>
      <c r="BE30" s="386">
        <f t="shared" si="3"/>
        <v>554.64239999999995</v>
      </c>
      <c r="BF30" s="386">
        <f t="shared" si="4"/>
        <v>4697.2473600000003</v>
      </c>
      <c r="BG30" s="386">
        <f t="shared" si="5"/>
        <v>275.79115200000001</v>
      </c>
      <c r="BH30" s="386">
        <f t="shared" si="6"/>
        <v>187.43087999999997</v>
      </c>
      <c r="BI30" s="386">
        <f t="shared" si="7"/>
        <v>211.72039199999998</v>
      </c>
      <c r="BJ30" s="386">
        <f t="shared" si="8"/>
        <v>1025.1321599999999</v>
      </c>
      <c r="BK30" s="386">
        <f t="shared" si="9"/>
        <v>0</v>
      </c>
      <c r="BL30" s="386">
        <f t="shared" si="32"/>
        <v>9323.5387439999995</v>
      </c>
      <c r="BM30" s="386">
        <f t="shared" si="33"/>
        <v>0</v>
      </c>
      <c r="BN30" s="386">
        <f t="shared" si="10"/>
        <v>11650</v>
      </c>
      <c r="BO30" s="386">
        <f t="shared" si="11"/>
        <v>0</v>
      </c>
      <c r="BP30" s="386">
        <f t="shared" si="12"/>
        <v>2371.5744</v>
      </c>
      <c r="BQ30" s="386">
        <f t="shared" si="13"/>
        <v>554.64239999999995</v>
      </c>
      <c r="BR30" s="386">
        <f t="shared" si="14"/>
        <v>4697.2473600000003</v>
      </c>
      <c r="BS30" s="386">
        <f t="shared" si="15"/>
        <v>275.79115200000001</v>
      </c>
      <c r="BT30" s="386">
        <f t="shared" si="16"/>
        <v>0</v>
      </c>
      <c r="BU30" s="386">
        <f t="shared" si="17"/>
        <v>211.72039199999998</v>
      </c>
      <c r="BV30" s="386">
        <f t="shared" si="18"/>
        <v>1067.20848</v>
      </c>
      <c r="BW30" s="386">
        <f t="shared" si="19"/>
        <v>0</v>
      </c>
      <c r="BX30" s="386">
        <f t="shared" si="34"/>
        <v>9178.1841839999997</v>
      </c>
      <c r="BY30" s="386">
        <f t="shared" si="35"/>
        <v>0</v>
      </c>
      <c r="BZ30" s="386">
        <f t="shared" si="36"/>
        <v>0</v>
      </c>
      <c r="CA30" s="386">
        <f t="shared" si="37"/>
        <v>0</v>
      </c>
      <c r="CB30" s="386">
        <f t="shared" si="38"/>
        <v>0</v>
      </c>
      <c r="CC30" s="386">
        <f t="shared" si="20"/>
        <v>0</v>
      </c>
      <c r="CD30" s="386">
        <f t="shared" si="21"/>
        <v>0</v>
      </c>
      <c r="CE30" s="386">
        <f t="shared" si="22"/>
        <v>0</v>
      </c>
      <c r="CF30" s="386">
        <f t="shared" si="23"/>
        <v>-187.43087999999997</v>
      </c>
      <c r="CG30" s="386">
        <f t="shared" si="24"/>
        <v>0</v>
      </c>
      <c r="CH30" s="386">
        <f t="shared" si="25"/>
        <v>42.07632000000001</v>
      </c>
      <c r="CI30" s="386">
        <f t="shared" si="26"/>
        <v>0</v>
      </c>
      <c r="CJ30" s="386">
        <f t="shared" si="39"/>
        <v>-145.35455999999996</v>
      </c>
      <c r="CK30" s="386" t="str">
        <f t="shared" si="40"/>
        <v/>
      </c>
      <c r="CL30" s="386" t="str">
        <f t="shared" si="41"/>
        <v/>
      </c>
      <c r="CM30" s="386" t="str">
        <f t="shared" si="42"/>
        <v/>
      </c>
      <c r="CN30" s="386" t="str">
        <f t="shared" si="43"/>
        <v>0229-15</v>
      </c>
    </row>
    <row r="31" spans="1:92" ht="15.75" thickBot="1" x14ac:dyDescent="0.3">
      <c r="A31" s="376" t="s">
        <v>161</v>
      </c>
      <c r="B31" s="376" t="s">
        <v>162</v>
      </c>
      <c r="C31" s="376" t="s">
        <v>295</v>
      </c>
      <c r="D31" s="376" t="s">
        <v>164</v>
      </c>
      <c r="E31" s="376" t="s">
        <v>165</v>
      </c>
      <c r="F31" s="377" t="s">
        <v>166</v>
      </c>
      <c r="G31" s="376" t="s">
        <v>167</v>
      </c>
      <c r="H31" s="378"/>
      <c r="I31" s="378"/>
      <c r="J31" s="376" t="s">
        <v>168</v>
      </c>
      <c r="K31" s="376" t="s">
        <v>169</v>
      </c>
      <c r="L31" s="376" t="s">
        <v>170</v>
      </c>
      <c r="M31" s="376" t="s">
        <v>171</v>
      </c>
      <c r="N31" s="376" t="s">
        <v>172</v>
      </c>
      <c r="O31" s="379">
        <v>1</v>
      </c>
      <c r="P31" s="384">
        <v>1</v>
      </c>
      <c r="Q31" s="384">
        <v>1</v>
      </c>
      <c r="R31" s="380">
        <v>80</v>
      </c>
      <c r="S31" s="384">
        <v>1</v>
      </c>
      <c r="T31" s="380">
        <v>35114.61</v>
      </c>
      <c r="U31" s="380">
        <v>1760.85</v>
      </c>
      <c r="V31" s="380">
        <v>20094.650000000001</v>
      </c>
      <c r="W31" s="380">
        <v>35776</v>
      </c>
      <c r="X31" s="380">
        <v>20370.37</v>
      </c>
      <c r="Y31" s="380">
        <v>35776</v>
      </c>
      <c r="Z31" s="380">
        <v>20234.43</v>
      </c>
      <c r="AA31" s="376" t="s">
        <v>296</v>
      </c>
      <c r="AB31" s="376" t="s">
        <v>297</v>
      </c>
      <c r="AC31" s="376" t="s">
        <v>298</v>
      </c>
      <c r="AD31" s="376" t="s">
        <v>299</v>
      </c>
      <c r="AE31" s="376" t="s">
        <v>169</v>
      </c>
      <c r="AF31" s="376" t="s">
        <v>177</v>
      </c>
      <c r="AG31" s="376" t="s">
        <v>178</v>
      </c>
      <c r="AH31" s="381">
        <v>17.2</v>
      </c>
      <c r="AI31" s="381">
        <v>9871.1</v>
      </c>
      <c r="AJ31" s="376" t="s">
        <v>179</v>
      </c>
      <c r="AK31" s="376" t="s">
        <v>180</v>
      </c>
      <c r="AL31" s="376" t="s">
        <v>181</v>
      </c>
      <c r="AM31" s="376" t="s">
        <v>182</v>
      </c>
      <c r="AN31" s="376" t="s">
        <v>70</v>
      </c>
      <c r="AO31" s="379">
        <v>80</v>
      </c>
      <c r="AP31" s="384">
        <v>1</v>
      </c>
      <c r="AQ31" s="384">
        <v>1</v>
      </c>
      <c r="AR31" s="382" t="s">
        <v>183</v>
      </c>
      <c r="AS31" s="386">
        <f t="shared" si="27"/>
        <v>1</v>
      </c>
      <c r="AT31">
        <f t="shared" si="28"/>
        <v>1</v>
      </c>
      <c r="AU31" s="386">
        <f>IF(AT31=0,"",IF(AND(AT31=1,M31="F",SUMIF(C2:C48,C31,AS2:AS48)&lt;=1),SUMIF(C2:C48,C31,AS2:AS48),IF(AND(AT31=1,M31="F",SUMIF(C2:C48,C31,AS2:AS48)&gt;1),1,"")))</f>
        <v>1</v>
      </c>
      <c r="AV31" s="386" t="str">
        <f>IF(AT31=0,"",IF(AND(AT31=3,M31="F",SUMIF(C2:C48,C31,AS2:AS48)&lt;=1),SUMIF(C2:C48,C31,AS2:AS48),IF(AND(AT31=3,M31="F",SUMIF(C2:C48,C31,AS2:AS48)&gt;1),1,"")))</f>
        <v/>
      </c>
      <c r="AW31" s="386">
        <f>SUMIF(C2:C48,C31,O2:O48)</f>
        <v>1</v>
      </c>
      <c r="AX31" s="386">
        <f>IF(AND(M31="F",AS31&lt;&gt;0),SUMIF(C2:C48,C31,W2:W48),0)</f>
        <v>35776</v>
      </c>
      <c r="AY31" s="386">
        <f t="shared" si="29"/>
        <v>35776</v>
      </c>
      <c r="AZ31" s="386" t="str">
        <f t="shared" si="30"/>
        <v/>
      </c>
      <c r="BA31" s="386">
        <f t="shared" si="31"/>
        <v>0</v>
      </c>
      <c r="BB31" s="386">
        <f t="shared" si="0"/>
        <v>11650</v>
      </c>
      <c r="BC31" s="386">
        <f t="shared" si="1"/>
        <v>0</v>
      </c>
      <c r="BD31" s="386">
        <f t="shared" si="2"/>
        <v>2218.1120000000001</v>
      </c>
      <c r="BE31" s="386">
        <f t="shared" si="3"/>
        <v>518.75200000000007</v>
      </c>
      <c r="BF31" s="386">
        <f t="shared" si="4"/>
        <v>4393.2928000000002</v>
      </c>
      <c r="BG31" s="386">
        <f t="shared" si="5"/>
        <v>257.94496000000004</v>
      </c>
      <c r="BH31" s="386">
        <f t="shared" si="6"/>
        <v>175.30240000000001</v>
      </c>
      <c r="BI31" s="386">
        <f t="shared" si="7"/>
        <v>198.02016</v>
      </c>
      <c r="BJ31" s="386">
        <f t="shared" si="8"/>
        <v>958.79680000000008</v>
      </c>
      <c r="BK31" s="386">
        <f t="shared" si="9"/>
        <v>0</v>
      </c>
      <c r="BL31" s="386">
        <f t="shared" si="32"/>
        <v>8720.2211200000002</v>
      </c>
      <c r="BM31" s="386">
        <f t="shared" si="33"/>
        <v>0</v>
      </c>
      <c r="BN31" s="386">
        <f t="shared" si="10"/>
        <v>11650</v>
      </c>
      <c r="BO31" s="386">
        <f t="shared" si="11"/>
        <v>0</v>
      </c>
      <c r="BP31" s="386">
        <f t="shared" si="12"/>
        <v>2218.1120000000001</v>
      </c>
      <c r="BQ31" s="386">
        <f t="shared" si="13"/>
        <v>518.75200000000007</v>
      </c>
      <c r="BR31" s="386">
        <f t="shared" si="14"/>
        <v>4393.2928000000002</v>
      </c>
      <c r="BS31" s="386">
        <f t="shared" si="15"/>
        <v>257.94496000000004</v>
      </c>
      <c r="BT31" s="386">
        <f t="shared" si="16"/>
        <v>0</v>
      </c>
      <c r="BU31" s="386">
        <f t="shared" si="17"/>
        <v>198.02016</v>
      </c>
      <c r="BV31" s="386">
        <f t="shared" si="18"/>
        <v>998.15039999999999</v>
      </c>
      <c r="BW31" s="386">
        <f t="shared" si="19"/>
        <v>0</v>
      </c>
      <c r="BX31" s="386">
        <f t="shared" si="34"/>
        <v>8584.27232</v>
      </c>
      <c r="BY31" s="386">
        <f t="shared" si="35"/>
        <v>0</v>
      </c>
      <c r="BZ31" s="386">
        <f t="shared" si="36"/>
        <v>0</v>
      </c>
      <c r="CA31" s="386">
        <f t="shared" si="37"/>
        <v>0</v>
      </c>
      <c r="CB31" s="386">
        <f t="shared" si="38"/>
        <v>0</v>
      </c>
      <c r="CC31" s="386">
        <f t="shared" si="20"/>
        <v>0</v>
      </c>
      <c r="CD31" s="386">
        <f t="shared" si="21"/>
        <v>0</v>
      </c>
      <c r="CE31" s="386">
        <f t="shared" si="22"/>
        <v>0</v>
      </c>
      <c r="CF31" s="386">
        <f t="shared" si="23"/>
        <v>-175.30240000000001</v>
      </c>
      <c r="CG31" s="386">
        <f t="shared" si="24"/>
        <v>0</v>
      </c>
      <c r="CH31" s="386">
        <f t="shared" si="25"/>
        <v>39.353600000000007</v>
      </c>
      <c r="CI31" s="386">
        <f t="shared" si="26"/>
        <v>0</v>
      </c>
      <c r="CJ31" s="386">
        <f t="shared" si="39"/>
        <v>-135.94880000000001</v>
      </c>
      <c r="CK31" s="386" t="str">
        <f t="shared" si="40"/>
        <v/>
      </c>
      <c r="CL31" s="386" t="str">
        <f t="shared" si="41"/>
        <v/>
      </c>
      <c r="CM31" s="386" t="str">
        <f t="shared" si="42"/>
        <v/>
      </c>
      <c r="CN31" s="386" t="str">
        <f t="shared" si="43"/>
        <v>0229-15</v>
      </c>
    </row>
    <row r="32" spans="1:92" ht="15.75" thickBot="1" x14ac:dyDescent="0.3">
      <c r="A32" s="376" t="s">
        <v>161</v>
      </c>
      <c r="B32" s="376" t="s">
        <v>162</v>
      </c>
      <c r="C32" s="376" t="s">
        <v>300</v>
      </c>
      <c r="D32" s="376" t="s">
        <v>164</v>
      </c>
      <c r="E32" s="376" t="s">
        <v>165</v>
      </c>
      <c r="F32" s="377" t="s">
        <v>166</v>
      </c>
      <c r="G32" s="376" t="s">
        <v>167</v>
      </c>
      <c r="H32" s="378"/>
      <c r="I32" s="378"/>
      <c r="J32" s="376" t="s">
        <v>168</v>
      </c>
      <c r="K32" s="376" t="s">
        <v>169</v>
      </c>
      <c r="L32" s="376" t="s">
        <v>170</v>
      </c>
      <c r="M32" s="376" t="s">
        <v>171</v>
      </c>
      <c r="N32" s="376" t="s">
        <v>172</v>
      </c>
      <c r="O32" s="379">
        <v>1</v>
      </c>
      <c r="P32" s="384">
        <v>1</v>
      </c>
      <c r="Q32" s="384">
        <v>1</v>
      </c>
      <c r="R32" s="380">
        <v>80</v>
      </c>
      <c r="S32" s="384">
        <v>1</v>
      </c>
      <c r="T32" s="380">
        <v>40021.410000000003</v>
      </c>
      <c r="U32" s="380">
        <v>1068.92</v>
      </c>
      <c r="V32" s="380">
        <v>20449.77</v>
      </c>
      <c r="W32" s="380">
        <v>40892.800000000003</v>
      </c>
      <c r="X32" s="380">
        <v>21617.58</v>
      </c>
      <c r="Y32" s="380">
        <v>40892.800000000003</v>
      </c>
      <c r="Z32" s="380">
        <v>21462.19</v>
      </c>
      <c r="AA32" s="376" t="s">
        <v>301</v>
      </c>
      <c r="AB32" s="376" t="s">
        <v>302</v>
      </c>
      <c r="AC32" s="376" t="s">
        <v>303</v>
      </c>
      <c r="AD32" s="376" t="s">
        <v>206</v>
      </c>
      <c r="AE32" s="376" t="s">
        <v>169</v>
      </c>
      <c r="AF32" s="376" t="s">
        <v>177</v>
      </c>
      <c r="AG32" s="376" t="s">
        <v>178</v>
      </c>
      <c r="AH32" s="381">
        <v>19.66</v>
      </c>
      <c r="AI32" s="381">
        <v>33413.5</v>
      </c>
      <c r="AJ32" s="376" t="s">
        <v>179</v>
      </c>
      <c r="AK32" s="376" t="s">
        <v>180</v>
      </c>
      <c r="AL32" s="376" t="s">
        <v>181</v>
      </c>
      <c r="AM32" s="376" t="s">
        <v>182</v>
      </c>
      <c r="AN32" s="376" t="s">
        <v>70</v>
      </c>
      <c r="AO32" s="379">
        <v>80</v>
      </c>
      <c r="AP32" s="384">
        <v>1</v>
      </c>
      <c r="AQ32" s="384">
        <v>1</v>
      </c>
      <c r="AR32" s="382" t="s">
        <v>183</v>
      </c>
      <c r="AS32" s="386">
        <f t="shared" si="27"/>
        <v>1</v>
      </c>
      <c r="AT32">
        <f t="shared" si="28"/>
        <v>1</v>
      </c>
      <c r="AU32" s="386">
        <f>IF(AT32=0,"",IF(AND(AT32=1,M32="F",SUMIF(C2:C48,C32,AS2:AS48)&lt;=1),SUMIF(C2:C48,C32,AS2:AS48),IF(AND(AT32=1,M32="F",SUMIF(C2:C48,C32,AS2:AS48)&gt;1),1,"")))</f>
        <v>1</v>
      </c>
      <c r="AV32" s="386" t="str">
        <f>IF(AT32=0,"",IF(AND(AT32=3,M32="F",SUMIF(C2:C48,C32,AS2:AS48)&lt;=1),SUMIF(C2:C48,C32,AS2:AS48),IF(AND(AT32=3,M32="F",SUMIF(C2:C48,C32,AS2:AS48)&gt;1),1,"")))</f>
        <v/>
      </c>
      <c r="AW32" s="386">
        <f>SUMIF(C2:C48,C32,O2:O48)</f>
        <v>1</v>
      </c>
      <c r="AX32" s="386">
        <f>IF(AND(M32="F",AS32&lt;&gt;0),SUMIF(C2:C48,C32,W2:W48),0)</f>
        <v>40892.800000000003</v>
      </c>
      <c r="AY32" s="386">
        <f t="shared" si="29"/>
        <v>40892.800000000003</v>
      </c>
      <c r="AZ32" s="386" t="str">
        <f t="shared" si="30"/>
        <v/>
      </c>
      <c r="BA32" s="386">
        <f t="shared" si="31"/>
        <v>0</v>
      </c>
      <c r="BB32" s="386">
        <f t="shared" si="0"/>
        <v>11650</v>
      </c>
      <c r="BC32" s="386">
        <f t="shared" si="1"/>
        <v>0</v>
      </c>
      <c r="BD32" s="386">
        <f t="shared" si="2"/>
        <v>2535.3536000000004</v>
      </c>
      <c r="BE32" s="386">
        <f t="shared" si="3"/>
        <v>592.94560000000013</v>
      </c>
      <c r="BF32" s="386">
        <f t="shared" si="4"/>
        <v>5021.6358400000008</v>
      </c>
      <c r="BG32" s="386">
        <f t="shared" si="5"/>
        <v>294.83708800000005</v>
      </c>
      <c r="BH32" s="386">
        <f t="shared" si="6"/>
        <v>200.37472</v>
      </c>
      <c r="BI32" s="386">
        <f t="shared" si="7"/>
        <v>226.34164800000002</v>
      </c>
      <c r="BJ32" s="386">
        <f t="shared" si="8"/>
        <v>1095.92704</v>
      </c>
      <c r="BK32" s="386">
        <f t="shared" si="9"/>
        <v>0</v>
      </c>
      <c r="BL32" s="386">
        <f t="shared" si="32"/>
        <v>9967.4155360000004</v>
      </c>
      <c r="BM32" s="386">
        <f t="shared" si="33"/>
        <v>0</v>
      </c>
      <c r="BN32" s="386">
        <f t="shared" si="10"/>
        <v>11650</v>
      </c>
      <c r="BO32" s="386">
        <f t="shared" si="11"/>
        <v>0</v>
      </c>
      <c r="BP32" s="386">
        <f t="shared" si="12"/>
        <v>2535.3536000000004</v>
      </c>
      <c r="BQ32" s="386">
        <f t="shared" si="13"/>
        <v>592.94560000000013</v>
      </c>
      <c r="BR32" s="386">
        <f t="shared" si="14"/>
        <v>5021.6358400000008</v>
      </c>
      <c r="BS32" s="386">
        <f t="shared" si="15"/>
        <v>294.83708800000005</v>
      </c>
      <c r="BT32" s="386">
        <f t="shared" si="16"/>
        <v>0</v>
      </c>
      <c r="BU32" s="386">
        <f t="shared" si="17"/>
        <v>226.34164800000002</v>
      </c>
      <c r="BV32" s="386">
        <f t="shared" si="18"/>
        <v>1140.90912</v>
      </c>
      <c r="BW32" s="386">
        <f t="shared" si="19"/>
        <v>0</v>
      </c>
      <c r="BX32" s="386">
        <f t="shared" si="34"/>
        <v>9812.0228960000004</v>
      </c>
      <c r="BY32" s="386">
        <f t="shared" si="35"/>
        <v>0</v>
      </c>
      <c r="BZ32" s="386">
        <f t="shared" si="36"/>
        <v>0</v>
      </c>
      <c r="CA32" s="386">
        <f t="shared" si="37"/>
        <v>0</v>
      </c>
      <c r="CB32" s="386">
        <f t="shared" si="38"/>
        <v>0</v>
      </c>
      <c r="CC32" s="386">
        <f t="shared" si="20"/>
        <v>0</v>
      </c>
      <c r="CD32" s="386">
        <f t="shared" si="21"/>
        <v>0</v>
      </c>
      <c r="CE32" s="386">
        <f t="shared" si="22"/>
        <v>0</v>
      </c>
      <c r="CF32" s="386">
        <f t="shared" si="23"/>
        <v>-200.37472</v>
      </c>
      <c r="CG32" s="386">
        <f t="shared" si="24"/>
        <v>0</v>
      </c>
      <c r="CH32" s="386">
        <f t="shared" si="25"/>
        <v>44.982080000000018</v>
      </c>
      <c r="CI32" s="386">
        <f t="shared" si="26"/>
        <v>0</v>
      </c>
      <c r="CJ32" s="386">
        <f t="shared" si="39"/>
        <v>-155.39263999999997</v>
      </c>
      <c r="CK32" s="386" t="str">
        <f t="shared" si="40"/>
        <v/>
      </c>
      <c r="CL32" s="386" t="str">
        <f t="shared" si="41"/>
        <v/>
      </c>
      <c r="CM32" s="386" t="str">
        <f t="shared" si="42"/>
        <v/>
      </c>
      <c r="CN32" s="386" t="str">
        <f t="shared" si="43"/>
        <v>0229-15</v>
      </c>
    </row>
    <row r="33" spans="1:92" ht="15.75" thickBot="1" x14ac:dyDescent="0.3">
      <c r="A33" s="376" t="s">
        <v>161</v>
      </c>
      <c r="B33" s="376" t="s">
        <v>162</v>
      </c>
      <c r="C33" s="376" t="s">
        <v>304</v>
      </c>
      <c r="D33" s="376" t="s">
        <v>199</v>
      </c>
      <c r="E33" s="376" t="s">
        <v>165</v>
      </c>
      <c r="F33" s="377" t="s">
        <v>166</v>
      </c>
      <c r="G33" s="376" t="s">
        <v>167</v>
      </c>
      <c r="H33" s="378"/>
      <c r="I33" s="378"/>
      <c r="J33" s="376" t="s">
        <v>168</v>
      </c>
      <c r="K33" s="376" t="s">
        <v>200</v>
      </c>
      <c r="L33" s="376" t="s">
        <v>201</v>
      </c>
      <c r="M33" s="376" t="s">
        <v>171</v>
      </c>
      <c r="N33" s="376" t="s">
        <v>202</v>
      </c>
      <c r="O33" s="379">
        <v>1</v>
      </c>
      <c r="P33" s="384">
        <v>1</v>
      </c>
      <c r="Q33" s="384">
        <v>1</v>
      </c>
      <c r="R33" s="380">
        <v>80</v>
      </c>
      <c r="S33" s="384">
        <v>1</v>
      </c>
      <c r="T33" s="380">
        <v>59442.239999999998</v>
      </c>
      <c r="U33" s="380">
        <v>0</v>
      </c>
      <c r="V33" s="380">
        <v>24273.29</v>
      </c>
      <c r="W33" s="380">
        <v>46820.800000000003</v>
      </c>
      <c r="X33" s="380">
        <v>22803.15</v>
      </c>
      <c r="Y33" s="380">
        <v>46820.800000000003</v>
      </c>
      <c r="Z33" s="380">
        <v>22625.24</v>
      </c>
      <c r="AA33" s="376" t="s">
        <v>305</v>
      </c>
      <c r="AB33" s="376" t="s">
        <v>293</v>
      </c>
      <c r="AC33" s="376" t="s">
        <v>306</v>
      </c>
      <c r="AD33" s="376" t="s">
        <v>245</v>
      </c>
      <c r="AE33" s="376" t="s">
        <v>200</v>
      </c>
      <c r="AF33" s="376" t="s">
        <v>207</v>
      </c>
      <c r="AG33" s="376" t="s">
        <v>178</v>
      </c>
      <c r="AH33" s="381">
        <v>22.51</v>
      </c>
      <c r="AI33" s="379">
        <v>22790</v>
      </c>
      <c r="AJ33" s="376" t="s">
        <v>179</v>
      </c>
      <c r="AK33" s="376" t="s">
        <v>180</v>
      </c>
      <c r="AL33" s="376" t="s">
        <v>181</v>
      </c>
      <c r="AM33" s="376" t="s">
        <v>182</v>
      </c>
      <c r="AN33" s="376" t="s">
        <v>70</v>
      </c>
      <c r="AO33" s="379">
        <v>80</v>
      </c>
      <c r="AP33" s="384">
        <v>1</v>
      </c>
      <c r="AQ33" s="384">
        <v>1</v>
      </c>
      <c r="AR33" s="382" t="s">
        <v>183</v>
      </c>
      <c r="AS33" s="386">
        <f t="shared" si="27"/>
        <v>1</v>
      </c>
      <c r="AT33">
        <f t="shared" si="28"/>
        <v>1</v>
      </c>
      <c r="AU33" s="386">
        <f>IF(AT33=0,"",IF(AND(AT33=1,M33="F",SUMIF(C2:C48,C33,AS2:AS48)&lt;=1),SUMIF(C2:C48,C33,AS2:AS48),IF(AND(AT33=1,M33="F",SUMIF(C2:C48,C33,AS2:AS48)&gt;1),1,"")))</f>
        <v>1</v>
      </c>
      <c r="AV33" s="386" t="str">
        <f>IF(AT33=0,"",IF(AND(AT33=3,M33="F",SUMIF(C2:C48,C33,AS2:AS48)&lt;=1),SUMIF(C2:C48,C33,AS2:AS48),IF(AND(AT33=3,M33="F",SUMIF(C2:C48,C33,AS2:AS48)&gt;1),1,"")))</f>
        <v/>
      </c>
      <c r="AW33" s="386">
        <f>SUMIF(C2:C48,C33,O2:O48)</f>
        <v>1</v>
      </c>
      <c r="AX33" s="386">
        <f>IF(AND(M33="F",AS33&lt;&gt;0),SUMIF(C2:C48,C33,W2:W48),0)</f>
        <v>46820.800000000003</v>
      </c>
      <c r="AY33" s="386">
        <f t="shared" si="29"/>
        <v>46820.800000000003</v>
      </c>
      <c r="AZ33" s="386" t="str">
        <f t="shared" si="30"/>
        <v/>
      </c>
      <c r="BA33" s="386">
        <f t="shared" si="31"/>
        <v>0</v>
      </c>
      <c r="BB33" s="386">
        <f t="shared" si="0"/>
        <v>11650</v>
      </c>
      <c r="BC33" s="386">
        <f t="shared" si="1"/>
        <v>0</v>
      </c>
      <c r="BD33" s="386">
        <f t="shared" si="2"/>
        <v>2902.8896</v>
      </c>
      <c r="BE33" s="386">
        <f t="shared" si="3"/>
        <v>678.90160000000003</v>
      </c>
      <c r="BF33" s="386">
        <f t="shared" si="4"/>
        <v>5749.5942400000004</v>
      </c>
      <c r="BG33" s="386">
        <f t="shared" si="5"/>
        <v>337.57796800000006</v>
      </c>
      <c r="BH33" s="386">
        <f t="shared" si="6"/>
        <v>229.42192</v>
      </c>
      <c r="BI33" s="386">
        <f t="shared" si="7"/>
        <v>0</v>
      </c>
      <c r="BJ33" s="386">
        <f t="shared" si="8"/>
        <v>1254.7974400000001</v>
      </c>
      <c r="BK33" s="386">
        <f t="shared" si="9"/>
        <v>0</v>
      </c>
      <c r="BL33" s="386">
        <f t="shared" si="32"/>
        <v>11153.182768000001</v>
      </c>
      <c r="BM33" s="386">
        <f t="shared" si="33"/>
        <v>0</v>
      </c>
      <c r="BN33" s="386">
        <f t="shared" si="10"/>
        <v>11650</v>
      </c>
      <c r="BO33" s="386">
        <f t="shared" si="11"/>
        <v>0</v>
      </c>
      <c r="BP33" s="386">
        <f t="shared" si="12"/>
        <v>2902.8896</v>
      </c>
      <c r="BQ33" s="386">
        <f t="shared" si="13"/>
        <v>678.90160000000003</v>
      </c>
      <c r="BR33" s="386">
        <f t="shared" si="14"/>
        <v>5749.5942400000004</v>
      </c>
      <c r="BS33" s="386">
        <f t="shared" si="15"/>
        <v>337.57796800000006</v>
      </c>
      <c r="BT33" s="386">
        <f t="shared" si="16"/>
        <v>0</v>
      </c>
      <c r="BU33" s="386">
        <f t="shared" si="17"/>
        <v>0</v>
      </c>
      <c r="BV33" s="386">
        <f t="shared" si="18"/>
        <v>1306.3003200000001</v>
      </c>
      <c r="BW33" s="386">
        <f t="shared" si="19"/>
        <v>0</v>
      </c>
      <c r="BX33" s="386">
        <f t="shared" si="34"/>
        <v>10975.263728</v>
      </c>
      <c r="BY33" s="386">
        <f t="shared" si="35"/>
        <v>0</v>
      </c>
      <c r="BZ33" s="386">
        <f t="shared" si="36"/>
        <v>0</v>
      </c>
      <c r="CA33" s="386">
        <f t="shared" si="37"/>
        <v>0</v>
      </c>
      <c r="CB33" s="386">
        <f t="shared" si="38"/>
        <v>0</v>
      </c>
      <c r="CC33" s="386">
        <f t="shared" si="20"/>
        <v>0</v>
      </c>
      <c r="CD33" s="386">
        <f t="shared" si="21"/>
        <v>0</v>
      </c>
      <c r="CE33" s="386">
        <f t="shared" si="22"/>
        <v>0</v>
      </c>
      <c r="CF33" s="386">
        <f t="shared" si="23"/>
        <v>-229.42192</v>
      </c>
      <c r="CG33" s="386">
        <f t="shared" si="24"/>
        <v>0</v>
      </c>
      <c r="CH33" s="386">
        <f t="shared" si="25"/>
        <v>51.502880000000019</v>
      </c>
      <c r="CI33" s="386">
        <f t="shared" si="26"/>
        <v>0</v>
      </c>
      <c r="CJ33" s="386">
        <f t="shared" si="39"/>
        <v>-177.91904</v>
      </c>
      <c r="CK33" s="386" t="str">
        <f t="shared" si="40"/>
        <v/>
      </c>
      <c r="CL33" s="386" t="str">
        <f t="shared" si="41"/>
        <v/>
      </c>
      <c r="CM33" s="386" t="str">
        <f t="shared" si="42"/>
        <v/>
      </c>
      <c r="CN33" s="386" t="str">
        <f t="shared" si="43"/>
        <v>0229-15</v>
      </c>
    </row>
    <row r="34" spans="1:92" ht="15.75" thickBot="1" x14ac:dyDescent="0.3">
      <c r="A34" s="376" t="s">
        <v>161</v>
      </c>
      <c r="B34" s="376" t="s">
        <v>162</v>
      </c>
      <c r="C34" s="376" t="s">
        <v>307</v>
      </c>
      <c r="D34" s="376" t="s">
        <v>164</v>
      </c>
      <c r="E34" s="376" t="s">
        <v>165</v>
      </c>
      <c r="F34" s="377" t="s">
        <v>166</v>
      </c>
      <c r="G34" s="376" t="s">
        <v>167</v>
      </c>
      <c r="H34" s="378"/>
      <c r="I34" s="378"/>
      <c r="J34" s="376" t="s">
        <v>168</v>
      </c>
      <c r="K34" s="376" t="s">
        <v>169</v>
      </c>
      <c r="L34" s="376" t="s">
        <v>170</v>
      </c>
      <c r="M34" s="376" t="s">
        <v>171</v>
      </c>
      <c r="N34" s="376" t="s">
        <v>172</v>
      </c>
      <c r="O34" s="379">
        <v>1</v>
      </c>
      <c r="P34" s="384">
        <v>1</v>
      </c>
      <c r="Q34" s="384">
        <v>1</v>
      </c>
      <c r="R34" s="380">
        <v>80</v>
      </c>
      <c r="S34" s="384">
        <v>1</v>
      </c>
      <c r="T34" s="380">
        <v>31848.91</v>
      </c>
      <c r="U34" s="380">
        <v>66.09</v>
      </c>
      <c r="V34" s="380">
        <v>18808.599999999999</v>
      </c>
      <c r="W34" s="380">
        <v>33571.199999999997</v>
      </c>
      <c r="X34" s="380">
        <v>19832.939999999999</v>
      </c>
      <c r="Y34" s="380">
        <v>33571.199999999997</v>
      </c>
      <c r="Z34" s="380">
        <v>19705.38</v>
      </c>
      <c r="AA34" s="376" t="s">
        <v>308</v>
      </c>
      <c r="AB34" s="376" t="s">
        <v>309</v>
      </c>
      <c r="AC34" s="376" t="s">
        <v>310</v>
      </c>
      <c r="AD34" s="376" t="s">
        <v>197</v>
      </c>
      <c r="AE34" s="376" t="s">
        <v>169</v>
      </c>
      <c r="AF34" s="376" t="s">
        <v>177</v>
      </c>
      <c r="AG34" s="376" t="s">
        <v>178</v>
      </c>
      <c r="AH34" s="381">
        <v>16.14</v>
      </c>
      <c r="AI34" s="379">
        <v>4498</v>
      </c>
      <c r="AJ34" s="376" t="s">
        <v>179</v>
      </c>
      <c r="AK34" s="376" t="s">
        <v>180</v>
      </c>
      <c r="AL34" s="376" t="s">
        <v>181</v>
      </c>
      <c r="AM34" s="376" t="s">
        <v>182</v>
      </c>
      <c r="AN34" s="376" t="s">
        <v>70</v>
      </c>
      <c r="AO34" s="379">
        <v>80</v>
      </c>
      <c r="AP34" s="384">
        <v>1</v>
      </c>
      <c r="AQ34" s="384">
        <v>1</v>
      </c>
      <c r="AR34" s="382" t="s">
        <v>183</v>
      </c>
      <c r="AS34" s="386">
        <f t="shared" si="27"/>
        <v>1</v>
      </c>
      <c r="AT34">
        <f t="shared" si="28"/>
        <v>1</v>
      </c>
      <c r="AU34" s="386">
        <f>IF(AT34=0,"",IF(AND(AT34=1,M34="F",SUMIF(C2:C48,C34,AS2:AS48)&lt;=1),SUMIF(C2:C48,C34,AS2:AS48),IF(AND(AT34=1,M34="F",SUMIF(C2:C48,C34,AS2:AS48)&gt;1),1,"")))</f>
        <v>1</v>
      </c>
      <c r="AV34" s="386" t="str">
        <f>IF(AT34=0,"",IF(AND(AT34=3,M34="F",SUMIF(C2:C48,C34,AS2:AS48)&lt;=1),SUMIF(C2:C48,C34,AS2:AS48),IF(AND(AT34=3,M34="F",SUMIF(C2:C48,C34,AS2:AS48)&gt;1),1,"")))</f>
        <v/>
      </c>
      <c r="AW34" s="386">
        <f>SUMIF(C2:C48,C34,O2:O48)</f>
        <v>1</v>
      </c>
      <c r="AX34" s="386">
        <f>IF(AND(M34="F",AS34&lt;&gt;0),SUMIF(C2:C48,C34,W2:W48),0)</f>
        <v>33571.199999999997</v>
      </c>
      <c r="AY34" s="386">
        <f t="shared" si="29"/>
        <v>33571.199999999997</v>
      </c>
      <c r="AZ34" s="386" t="str">
        <f t="shared" si="30"/>
        <v/>
      </c>
      <c r="BA34" s="386">
        <f t="shared" si="31"/>
        <v>0</v>
      </c>
      <c r="BB34" s="386">
        <f t="shared" si="0"/>
        <v>11650</v>
      </c>
      <c r="BC34" s="386">
        <f t="shared" si="1"/>
        <v>0</v>
      </c>
      <c r="BD34" s="386">
        <f t="shared" si="2"/>
        <v>2081.4143999999997</v>
      </c>
      <c r="BE34" s="386">
        <f t="shared" si="3"/>
        <v>486.7824</v>
      </c>
      <c r="BF34" s="386">
        <f t="shared" si="4"/>
        <v>4122.5433599999997</v>
      </c>
      <c r="BG34" s="386">
        <f t="shared" si="5"/>
        <v>242.04835199999999</v>
      </c>
      <c r="BH34" s="386">
        <f t="shared" si="6"/>
        <v>164.49887999999999</v>
      </c>
      <c r="BI34" s="386">
        <f t="shared" si="7"/>
        <v>185.81659199999999</v>
      </c>
      <c r="BJ34" s="386">
        <f t="shared" si="8"/>
        <v>899.70815999999991</v>
      </c>
      <c r="BK34" s="386">
        <f t="shared" si="9"/>
        <v>0</v>
      </c>
      <c r="BL34" s="386">
        <f t="shared" si="32"/>
        <v>8182.8121439999995</v>
      </c>
      <c r="BM34" s="386">
        <f t="shared" si="33"/>
        <v>0</v>
      </c>
      <c r="BN34" s="386">
        <f t="shared" si="10"/>
        <v>11650</v>
      </c>
      <c r="BO34" s="386">
        <f t="shared" si="11"/>
        <v>0</v>
      </c>
      <c r="BP34" s="386">
        <f t="shared" si="12"/>
        <v>2081.4143999999997</v>
      </c>
      <c r="BQ34" s="386">
        <f t="shared" si="13"/>
        <v>486.7824</v>
      </c>
      <c r="BR34" s="386">
        <f t="shared" si="14"/>
        <v>4122.5433599999997</v>
      </c>
      <c r="BS34" s="386">
        <f t="shared" si="15"/>
        <v>242.04835199999999</v>
      </c>
      <c r="BT34" s="386">
        <f t="shared" si="16"/>
        <v>0</v>
      </c>
      <c r="BU34" s="386">
        <f t="shared" si="17"/>
        <v>185.81659199999999</v>
      </c>
      <c r="BV34" s="386">
        <f t="shared" si="18"/>
        <v>936.63648000000001</v>
      </c>
      <c r="BW34" s="386">
        <f t="shared" si="19"/>
        <v>0</v>
      </c>
      <c r="BX34" s="386">
        <f t="shared" si="34"/>
        <v>8055.2415839999994</v>
      </c>
      <c r="BY34" s="386">
        <f t="shared" si="35"/>
        <v>0</v>
      </c>
      <c r="BZ34" s="386">
        <f t="shared" si="36"/>
        <v>0</v>
      </c>
      <c r="CA34" s="386">
        <f t="shared" si="37"/>
        <v>0</v>
      </c>
      <c r="CB34" s="386">
        <f t="shared" si="38"/>
        <v>0</v>
      </c>
      <c r="CC34" s="386">
        <f t="shared" si="20"/>
        <v>0</v>
      </c>
      <c r="CD34" s="386">
        <f t="shared" si="21"/>
        <v>0</v>
      </c>
      <c r="CE34" s="386">
        <f t="shared" si="22"/>
        <v>0</v>
      </c>
      <c r="CF34" s="386">
        <f t="shared" si="23"/>
        <v>-164.49887999999999</v>
      </c>
      <c r="CG34" s="386">
        <f t="shared" si="24"/>
        <v>0</v>
      </c>
      <c r="CH34" s="386">
        <f t="shared" si="25"/>
        <v>36.928320000000006</v>
      </c>
      <c r="CI34" s="386">
        <f t="shared" si="26"/>
        <v>0</v>
      </c>
      <c r="CJ34" s="386">
        <f t="shared" si="39"/>
        <v>-127.57055999999997</v>
      </c>
      <c r="CK34" s="386" t="str">
        <f t="shared" si="40"/>
        <v/>
      </c>
      <c r="CL34" s="386" t="str">
        <f t="shared" si="41"/>
        <v/>
      </c>
      <c r="CM34" s="386" t="str">
        <f t="shared" si="42"/>
        <v/>
      </c>
      <c r="CN34" s="386" t="str">
        <f t="shared" si="43"/>
        <v>0229-15</v>
      </c>
    </row>
    <row r="35" spans="1:92" ht="15.75" thickBot="1" x14ac:dyDescent="0.3">
      <c r="A35" s="376" t="s">
        <v>161</v>
      </c>
      <c r="B35" s="376" t="s">
        <v>162</v>
      </c>
      <c r="C35" s="376" t="s">
        <v>311</v>
      </c>
      <c r="D35" s="376" t="s">
        <v>164</v>
      </c>
      <c r="E35" s="376" t="s">
        <v>165</v>
      </c>
      <c r="F35" s="377" t="s">
        <v>166</v>
      </c>
      <c r="G35" s="376" t="s">
        <v>167</v>
      </c>
      <c r="H35" s="378"/>
      <c r="I35" s="378"/>
      <c r="J35" s="376" t="s">
        <v>168</v>
      </c>
      <c r="K35" s="376" t="s">
        <v>169</v>
      </c>
      <c r="L35" s="376" t="s">
        <v>170</v>
      </c>
      <c r="M35" s="376" t="s">
        <v>171</v>
      </c>
      <c r="N35" s="376" t="s">
        <v>172</v>
      </c>
      <c r="O35" s="379">
        <v>1</v>
      </c>
      <c r="P35" s="384">
        <v>1</v>
      </c>
      <c r="Q35" s="384">
        <v>1</v>
      </c>
      <c r="R35" s="380">
        <v>80</v>
      </c>
      <c r="S35" s="384">
        <v>1</v>
      </c>
      <c r="T35" s="380">
        <v>36107.31</v>
      </c>
      <c r="U35" s="380">
        <v>490.1</v>
      </c>
      <c r="V35" s="380">
        <v>20121.849999999999</v>
      </c>
      <c r="W35" s="380">
        <v>36920</v>
      </c>
      <c r="X35" s="380">
        <v>20649.22</v>
      </c>
      <c r="Y35" s="380">
        <v>36920</v>
      </c>
      <c r="Z35" s="380">
        <v>20508.93</v>
      </c>
      <c r="AA35" s="376" t="s">
        <v>312</v>
      </c>
      <c r="AB35" s="376" t="s">
        <v>313</v>
      </c>
      <c r="AC35" s="376" t="s">
        <v>314</v>
      </c>
      <c r="AD35" s="376" t="s">
        <v>197</v>
      </c>
      <c r="AE35" s="376" t="s">
        <v>169</v>
      </c>
      <c r="AF35" s="376" t="s">
        <v>177</v>
      </c>
      <c r="AG35" s="376" t="s">
        <v>178</v>
      </c>
      <c r="AH35" s="381">
        <v>17.75</v>
      </c>
      <c r="AI35" s="381">
        <v>27172.5</v>
      </c>
      <c r="AJ35" s="376" t="s">
        <v>179</v>
      </c>
      <c r="AK35" s="376" t="s">
        <v>180</v>
      </c>
      <c r="AL35" s="376" t="s">
        <v>181</v>
      </c>
      <c r="AM35" s="376" t="s">
        <v>182</v>
      </c>
      <c r="AN35" s="376" t="s">
        <v>70</v>
      </c>
      <c r="AO35" s="379">
        <v>80</v>
      </c>
      <c r="AP35" s="384">
        <v>1</v>
      </c>
      <c r="AQ35" s="384">
        <v>1</v>
      </c>
      <c r="AR35" s="382" t="s">
        <v>183</v>
      </c>
      <c r="AS35" s="386">
        <f t="shared" si="27"/>
        <v>1</v>
      </c>
      <c r="AT35">
        <f t="shared" si="28"/>
        <v>1</v>
      </c>
      <c r="AU35" s="386">
        <f>IF(AT35=0,"",IF(AND(AT35=1,M35="F",SUMIF(C2:C48,C35,AS2:AS48)&lt;=1),SUMIF(C2:C48,C35,AS2:AS48),IF(AND(AT35=1,M35="F",SUMIF(C2:C48,C35,AS2:AS48)&gt;1),1,"")))</f>
        <v>1</v>
      </c>
      <c r="AV35" s="386" t="str">
        <f>IF(AT35=0,"",IF(AND(AT35=3,M35="F",SUMIF(C2:C48,C35,AS2:AS48)&lt;=1),SUMIF(C2:C48,C35,AS2:AS48),IF(AND(AT35=3,M35="F",SUMIF(C2:C48,C35,AS2:AS48)&gt;1),1,"")))</f>
        <v/>
      </c>
      <c r="AW35" s="386">
        <f>SUMIF(C2:C48,C35,O2:O48)</f>
        <v>1</v>
      </c>
      <c r="AX35" s="386">
        <f>IF(AND(M35="F",AS35&lt;&gt;0),SUMIF(C2:C48,C35,W2:W48),0)</f>
        <v>36920</v>
      </c>
      <c r="AY35" s="386">
        <f t="shared" si="29"/>
        <v>36920</v>
      </c>
      <c r="AZ35" s="386" t="str">
        <f t="shared" si="30"/>
        <v/>
      </c>
      <c r="BA35" s="386">
        <f t="shared" si="31"/>
        <v>0</v>
      </c>
      <c r="BB35" s="386">
        <f t="shared" si="0"/>
        <v>11650</v>
      </c>
      <c r="BC35" s="386">
        <f t="shared" si="1"/>
        <v>0</v>
      </c>
      <c r="BD35" s="386">
        <f t="shared" si="2"/>
        <v>2289.04</v>
      </c>
      <c r="BE35" s="386">
        <f t="shared" si="3"/>
        <v>535.34</v>
      </c>
      <c r="BF35" s="386">
        <f t="shared" si="4"/>
        <v>4533.7759999999998</v>
      </c>
      <c r="BG35" s="386">
        <f t="shared" si="5"/>
        <v>266.19319999999999</v>
      </c>
      <c r="BH35" s="386">
        <f t="shared" si="6"/>
        <v>180.90799999999999</v>
      </c>
      <c r="BI35" s="386">
        <f t="shared" si="7"/>
        <v>204.35220000000001</v>
      </c>
      <c r="BJ35" s="386">
        <f t="shared" si="8"/>
        <v>989.45600000000002</v>
      </c>
      <c r="BK35" s="386">
        <f t="shared" si="9"/>
        <v>0</v>
      </c>
      <c r="BL35" s="386">
        <f t="shared" si="32"/>
        <v>8999.0653999999995</v>
      </c>
      <c r="BM35" s="386">
        <f t="shared" si="33"/>
        <v>0</v>
      </c>
      <c r="BN35" s="386">
        <f t="shared" si="10"/>
        <v>11650</v>
      </c>
      <c r="BO35" s="386">
        <f t="shared" si="11"/>
        <v>0</v>
      </c>
      <c r="BP35" s="386">
        <f t="shared" si="12"/>
        <v>2289.04</v>
      </c>
      <c r="BQ35" s="386">
        <f t="shared" si="13"/>
        <v>535.34</v>
      </c>
      <c r="BR35" s="386">
        <f t="shared" si="14"/>
        <v>4533.7759999999998</v>
      </c>
      <c r="BS35" s="386">
        <f t="shared" si="15"/>
        <v>266.19319999999999</v>
      </c>
      <c r="BT35" s="386">
        <f t="shared" si="16"/>
        <v>0</v>
      </c>
      <c r="BU35" s="386">
        <f t="shared" si="17"/>
        <v>204.35220000000001</v>
      </c>
      <c r="BV35" s="386">
        <f t="shared" si="18"/>
        <v>1030.068</v>
      </c>
      <c r="BW35" s="386">
        <f t="shared" si="19"/>
        <v>0</v>
      </c>
      <c r="BX35" s="386">
        <f t="shared" si="34"/>
        <v>8858.7693999999992</v>
      </c>
      <c r="BY35" s="386">
        <f t="shared" si="35"/>
        <v>0</v>
      </c>
      <c r="BZ35" s="386">
        <f t="shared" si="36"/>
        <v>0</v>
      </c>
      <c r="CA35" s="386">
        <f t="shared" si="37"/>
        <v>0</v>
      </c>
      <c r="CB35" s="386">
        <f t="shared" si="38"/>
        <v>0</v>
      </c>
      <c r="CC35" s="386">
        <f t="shared" si="20"/>
        <v>0</v>
      </c>
      <c r="CD35" s="386">
        <f t="shared" si="21"/>
        <v>0</v>
      </c>
      <c r="CE35" s="386">
        <f t="shared" si="22"/>
        <v>0</v>
      </c>
      <c r="CF35" s="386">
        <f t="shared" si="23"/>
        <v>-180.90799999999999</v>
      </c>
      <c r="CG35" s="386">
        <f t="shared" si="24"/>
        <v>0</v>
      </c>
      <c r="CH35" s="386">
        <f t="shared" si="25"/>
        <v>40.612000000000009</v>
      </c>
      <c r="CI35" s="386">
        <f t="shared" si="26"/>
        <v>0</v>
      </c>
      <c r="CJ35" s="386">
        <f t="shared" si="39"/>
        <v>-140.29599999999999</v>
      </c>
      <c r="CK35" s="386" t="str">
        <f t="shared" si="40"/>
        <v/>
      </c>
      <c r="CL35" s="386" t="str">
        <f t="shared" si="41"/>
        <v/>
      </c>
      <c r="CM35" s="386" t="str">
        <f t="shared" si="42"/>
        <v/>
      </c>
      <c r="CN35" s="386" t="str">
        <f t="shared" si="43"/>
        <v>0229-15</v>
      </c>
    </row>
    <row r="36" spans="1:92" ht="15.75" thickBot="1" x14ac:dyDescent="0.3">
      <c r="A36" s="376" t="s">
        <v>161</v>
      </c>
      <c r="B36" s="376" t="s">
        <v>162</v>
      </c>
      <c r="C36" s="376" t="s">
        <v>315</v>
      </c>
      <c r="D36" s="376" t="s">
        <v>164</v>
      </c>
      <c r="E36" s="376" t="s">
        <v>165</v>
      </c>
      <c r="F36" s="377" t="s">
        <v>166</v>
      </c>
      <c r="G36" s="376" t="s">
        <v>167</v>
      </c>
      <c r="H36" s="378"/>
      <c r="I36" s="378"/>
      <c r="J36" s="376" t="s">
        <v>168</v>
      </c>
      <c r="K36" s="376" t="s">
        <v>169</v>
      </c>
      <c r="L36" s="376" t="s">
        <v>170</v>
      </c>
      <c r="M36" s="376" t="s">
        <v>171</v>
      </c>
      <c r="N36" s="376" t="s">
        <v>172</v>
      </c>
      <c r="O36" s="379">
        <v>1</v>
      </c>
      <c r="P36" s="384">
        <v>1</v>
      </c>
      <c r="Q36" s="384">
        <v>1</v>
      </c>
      <c r="R36" s="380">
        <v>80</v>
      </c>
      <c r="S36" s="384">
        <v>1</v>
      </c>
      <c r="T36" s="380">
        <v>33752.47</v>
      </c>
      <c r="U36" s="380">
        <v>126.24</v>
      </c>
      <c r="V36" s="380">
        <v>19480.03</v>
      </c>
      <c r="W36" s="380">
        <v>34465.599999999999</v>
      </c>
      <c r="X36" s="380">
        <v>20050.95</v>
      </c>
      <c r="Y36" s="380">
        <v>34465.599999999999</v>
      </c>
      <c r="Z36" s="380">
        <v>19919.990000000002</v>
      </c>
      <c r="AA36" s="376" t="s">
        <v>316</v>
      </c>
      <c r="AB36" s="376" t="s">
        <v>317</v>
      </c>
      <c r="AC36" s="376" t="s">
        <v>318</v>
      </c>
      <c r="AD36" s="376" t="s">
        <v>319</v>
      </c>
      <c r="AE36" s="376" t="s">
        <v>169</v>
      </c>
      <c r="AF36" s="376" t="s">
        <v>177</v>
      </c>
      <c r="AG36" s="376" t="s">
        <v>178</v>
      </c>
      <c r="AH36" s="381">
        <v>16.57</v>
      </c>
      <c r="AI36" s="379">
        <v>9130</v>
      </c>
      <c r="AJ36" s="376" t="s">
        <v>179</v>
      </c>
      <c r="AK36" s="376" t="s">
        <v>180</v>
      </c>
      <c r="AL36" s="376" t="s">
        <v>181</v>
      </c>
      <c r="AM36" s="376" t="s">
        <v>182</v>
      </c>
      <c r="AN36" s="376" t="s">
        <v>70</v>
      </c>
      <c r="AO36" s="379">
        <v>80</v>
      </c>
      <c r="AP36" s="384">
        <v>1</v>
      </c>
      <c r="AQ36" s="384">
        <v>1</v>
      </c>
      <c r="AR36" s="382" t="s">
        <v>183</v>
      </c>
      <c r="AS36" s="386">
        <f t="shared" si="27"/>
        <v>1</v>
      </c>
      <c r="AT36">
        <f t="shared" si="28"/>
        <v>1</v>
      </c>
      <c r="AU36" s="386">
        <f>IF(AT36=0,"",IF(AND(AT36=1,M36="F",SUMIF(C2:C48,C36,AS2:AS48)&lt;=1),SUMIF(C2:C48,C36,AS2:AS48),IF(AND(AT36=1,M36="F",SUMIF(C2:C48,C36,AS2:AS48)&gt;1),1,"")))</f>
        <v>1</v>
      </c>
      <c r="AV36" s="386" t="str">
        <f>IF(AT36=0,"",IF(AND(AT36=3,M36="F",SUMIF(C2:C48,C36,AS2:AS48)&lt;=1),SUMIF(C2:C48,C36,AS2:AS48),IF(AND(AT36=3,M36="F",SUMIF(C2:C48,C36,AS2:AS48)&gt;1),1,"")))</f>
        <v/>
      </c>
      <c r="AW36" s="386">
        <f>SUMIF(C2:C48,C36,O2:O48)</f>
        <v>1</v>
      </c>
      <c r="AX36" s="386">
        <f>IF(AND(M36="F",AS36&lt;&gt;0),SUMIF(C2:C48,C36,W2:W48),0)</f>
        <v>34465.599999999999</v>
      </c>
      <c r="AY36" s="386">
        <f t="shared" si="29"/>
        <v>34465.599999999999</v>
      </c>
      <c r="AZ36" s="386" t="str">
        <f t="shared" si="30"/>
        <v/>
      </c>
      <c r="BA36" s="386">
        <f t="shared" si="31"/>
        <v>0</v>
      </c>
      <c r="BB36" s="386">
        <f t="shared" si="0"/>
        <v>11650</v>
      </c>
      <c r="BC36" s="386">
        <f t="shared" si="1"/>
        <v>0</v>
      </c>
      <c r="BD36" s="386">
        <f t="shared" si="2"/>
        <v>2136.8671999999997</v>
      </c>
      <c r="BE36" s="386">
        <f t="shared" si="3"/>
        <v>499.75119999999998</v>
      </c>
      <c r="BF36" s="386">
        <f t="shared" si="4"/>
        <v>4232.3756800000001</v>
      </c>
      <c r="BG36" s="386">
        <f t="shared" si="5"/>
        <v>248.49697599999999</v>
      </c>
      <c r="BH36" s="386">
        <f t="shared" si="6"/>
        <v>168.88144</v>
      </c>
      <c r="BI36" s="386">
        <f t="shared" si="7"/>
        <v>190.76709599999998</v>
      </c>
      <c r="BJ36" s="386">
        <f t="shared" si="8"/>
        <v>923.67808000000002</v>
      </c>
      <c r="BK36" s="386">
        <f t="shared" si="9"/>
        <v>0</v>
      </c>
      <c r="BL36" s="386">
        <f t="shared" si="32"/>
        <v>8400.817672000001</v>
      </c>
      <c r="BM36" s="386">
        <f t="shared" si="33"/>
        <v>0</v>
      </c>
      <c r="BN36" s="386">
        <f t="shared" si="10"/>
        <v>11650</v>
      </c>
      <c r="BO36" s="386">
        <f t="shared" si="11"/>
        <v>0</v>
      </c>
      <c r="BP36" s="386">
        <f t="shared" si="12"/>
        <v>2136.8671999999997</v>
      </c>
      <c r="BQ36" s="386">
        <f t="shared" si="13"/>
        <v>499.75119999999998</v>
      </c>
      <c r="BR36" s="386">
        <f t="shared" si="14"/>
        <v>4232.3756800000001</v>
      </c>
      <c r="BS36" s="386">
        <f t="shared" si="15"/>
        <v>248.49697599999999</v>
      </c>
      <c r="BT36" s="386">
        <f t="shared" si="16"/>
        <v>0</v>
      </c>
      <c r="BU36" s="386">
        <f t="shared" si="17"/>
        <v>190.76709599999998</v>
      </c>
      <c r="BV36" s="386">
        <f t="shared" si="18"/>
        <v>961.59023999999999</v>
      </c>
      <c r="BW36" s="386">
        <f t="shared" si="19"/>
        <v>0</v>
      </c>
      <c r="BX36" s="386">
        <f t="shared" si="34"/>
        <v>8269.8483919999999</v>
      </c>
      <c r="BY36" s="386">
        <f t="shared" si="35"/>
        <v>0</v>
      </c>
      <c r="BZ36" s="386">
        <f t="shared" si="36"/>
        <v>0</v>
      </c>
      <c r="CA36" s="386">
        <f t="shared" si="37"/>
        <v>0</v>
      </c>
      <c r="CB36" s="386">
        <f t="shared" si="38"/>
        <v>0</v>
      </c>
      <c r="CC36" s="386">
        <f t="shared" si="20"/>
        <v>0</v>
      </c>
      <c r="CD36" s="386">
        <f t="shared" si="21"/>
        <v>0</v>
      </c>
      <c r="CE36" s="386">
        <f t="shared" si="22"/>
        <v>0</v>
      </c>
      <c r="CF36" s="386">
        <f t="shared" si="23"/>
        <v>-168.88144</v>
      </c>
      <c r="CG36" s="386">
        <f t="shared" si="24"/>
        <v>0</v>
      </c>
      <c r="CH36" s="386">
        <f t="shared" si="25"/>
        <v>37.912160000000007</v>
      </c>
      <c r="CI36" s="386">
        <f t="shared" si="26"/>
        <v>0</v>
      </c>
      <c r="CJ36" s="386">
        <f t="shared" si="39"/>
        <v>-130.96928</v>
      </c>
      <c r="CK36" s="386" t="str">
        <f t="shared" si="40"/>
        <v/>
      </c>
      <c r="CL36" s="386" t="str">
        <f t="shared" si="41"/>
        <v/>
      </c>
      <c r="CM36" s="386" t="str">
        <f t="shared" si="42"/>
        <v/>
      </c>
      <c r="CN36" s="386" t="str">
        <f t="shared" si="43"/>
        <v>0229-15</v>
      </c>
    </row>
    <row r="37" spans="1:92" ht="15.75" thickBot="1" x14ac:dyDescent="0.3">
      <c r="A37" s="376" t="s">
        <v>161</v>
      </c>
      <c r="B37" s="376" t="s">
        <v>162</v>
      </c>
      <c r="C37" s="376" t="s">
        <v>320</v>
      </c>
      <c r="D37" s="376" t="s">
        <v>164</v>
      </c>
      <c r="E37" s="376" t="s">
        <v>165</v>
      </c>
      <c r="F37" s="377" t="s">
        <v>166</v>
      </c>
      <c r="G37" s="376" t="s">
        <v>167</v>
      </c>
      <c r="H37" s="378"/>
      <c r="I37" s="378"/>
      <c r="J37" s="376" t="s">
        <v>168</v>
      </c>
      <c r="K37" s="376" t="s">
        <v>169</v>
      </c>
      <c r="L37" s="376" t="s">
        <v>170</v>
      </c>
      <c r="M37" s="376" t="s">
        <v>171</v>
      </c>
      <c r="N37" s="376" t="s">
        <v>172</v>
      </c>
      <c r="O37" s="379">
        <v>1</v>
      </c>
      <c r="P37" s="384">
        <v>1</v>
      </c>
      <c r="Q37" s="384">
        <v>1</v>
      </c>
      <c r="R37" s="380">
        <v>80</v>
      </c>
      <c r="S37" s="384">
        <v>1</v>
      </c>
      <c r="T37" s="380">
        <v>35264.89</v>
      </c>
      <c r="U37" s="380">
        <v>716.88</v>
      </c>
      <c r="V37" s="380">
        <v>19965.189999999999</v>
      </c>
      <c r="W37" s="380">
        <v>35984</v>
      </c>
      <c r="X37" s="380">
        <v>20421.07</v>
      </c>
      <c r="Y37" s="380">
        <v>35984</v>
      </c>
      <c r="Z37" s="380">
        <v>20284.330000000002</v>
      </c>
      <c r="AA37" s="376" t="s">
        <v>321</v>
      </c>
      <c r="AB37" s="376" t="s">
        <v>196</v>
      </c>
      <c r="AC37" s="376" t="s">
        <v>322</v>
      </c>
      <c r="AD37" s="376" t="s">
        <v>178</v>
      </c>
      <c r="AE37" s="376" t="s">
        <v>169</v>
      </c>
      <c r="AF37" s="376" t="s">
        <v>177</v>
      </c>
      <c r="AG37" s="376" t="s">
        <v>178</v>
      </c>
      <c r="AH37" s="381">
        <v>17.3</v>
      </c>
      <c r="AI37" s="379">
        <v>16781</v>
      </c>
      <c r="AJ37" s="376" t="s">
        <v>179</v>
      </c>
      <c r="AK37" s="376" t="s">
        <v>180</v>
      </c>
      <c r="AL37" s="376" t="s">
        <v>181</v>
      </c>
      <c r="AM37" s="376" t="s">
        <v>182</v>
      </c>
      <c r="AN37" s="376" t="s">
        <v>70</v>
      </c>
      <c r="AO37" s="379">
        <v>80</v>
      </c>
      <c r="AP37" s="384">
        <v>1</v>
      </c>
      <c r="AQ37" s="384">
        <v>1</v>
      </c>
      <c r="AR37" s="382" t="s">
        <v>183</v>
      </c>
      <c r="AS37" s="386">
        <f t="shared" si="27"/>
        <v>1</v>
      </c>
      <c r="AT37">
        <f t="shared" si="28"/>
        <v>1</v>
      </c>
      <c r="AU37" s="386">
        <f>IF(AT37=0,"",IF(AND(AT37=1,M37="F",SUMIF(C2:C48,C37,AS2:AS48)&lt;=1),SUMIF(C2:C48,C37,AS2:AS48),IF(AND(AT37=1,M37="F",SUMIF(C2:C48,C37,AS2:AS48)&gt;1),1,"")))</f>
        <v>1</v>
      </c>
      <c r="AV37" s="386" t="str">
        <f>IF(AT37=0,"",IF(AND(AT37=3,M37="F",SUMIF(C2:C48,C37,AS2:AS48)&lt;=1),SUMIF(C2:C48,C37,AS2:AS48),IF(AND(AT37=3,M37="F",SUMIF(C2:C48,C37,AS2:AS48)&gt;1),1,"")))</f>
        <v/>
      </c>
      <c r="AW37" s="386">
        <f>SUMIF(C2:C48,C37,O2:O48)</f>
        <v>1</v>
      </c>
      <c r="AX37" s="386">
        <f>IF(AND(M37="F",AS37&lt;&gt;0),SUMIF(C2:C48,C37,W2:W48),0)</f>
        <v>35984</v>
      </c>
      <c r="AY37" s="386">
        <f t="shared" si="29"/>
        <v>35984</v>
      </c>
      <c r="AZ37" s="386" t="str">
        <f t="shared" si="30"/>
        <v/>
      </c>
      <c r="BA37" s="386">
        <f t="shared" si="31"/>
        <v>0</v>
      </c>
      <c r="BB37" s="386">
        <f t="shared" si="0"/>
        <v>11650</v>
      </c>
      <c r="BC37" s="386">
        <f t="shared" si="1"/>
        <v>0</v>
      </c>
      <c r="BD37" s="386">
        <f t="shared" si="2"/>
        <v>2231.0079999999998</v>
      </c>
      <c r="BE37" s="386">
        <f t="shared" si="3"/>
        <v>521.76800000000003</v>
      </c>
      <c r="BF37" s="386">
        <f t="shared" si="4"/>
        <v>4418.8352000000004</v>
      </c>
      <c r="BG37" s="386">
        <f t="shared" si="5"/>
        <v>259.44463999999999</v>
      </c>
      <c r="BH37" s="386">
        <f t="shared" si="6"/>
        <v>176.32159999999999</v>
      </c>
      <c r="BI37" s="386">
        <f t="shared" si="7"/>
        <v>199.17143999999999</v>
      </c>
      <c r="BJ37" s="386">
        <f t="shared" si="8"/>
        <v>964.37120000000004</v>
      </c>
      <c r="BK37" s="386">
        <f t="shared" si="9"/>
        <v>0</v>
      </c>
      <c r="BL37" s="386">
        <f t="shared" si="32"/>
        <v>8770.9200799999999</v>
      </c>
      <c r="BM37" s="386">
        <f t="shared" si="33"/>
        <v>0</v>
      </c>
      <c r="BN37" s="386">
        <f t="shared" si="10"/>
        <v>11650</v>
      </c>
      <c r="BO37" s="386">
        <f t="shared" si="11"/>
        <v>0</v>
      </c>
      <c r="BP37" s="386">
        <f t="shared" si="12"/>
        <v>2231.0079999999998</v>
      </c>
      <c r="BQ37" s="386">
        <f t="shared" si="13"/>
        <v>521.76800000000003</v>
      </c>
      <c r="BR37" s="386">
        <f t="shared" si="14"/>
        <v>4418.8352000000004</v>
      </c>
      <c r="BS37" s="386">
        <f t="shared" si="15"/>
        <v>259.44463999999999</v>
      </c>
      <c r="BT37" s="386">
        <f t="shared" si="16"/>
        <v>0</v>
      </c>
      <c r="BU37" s="386">
        <f t="shared" si="17"/>
        <v>199.17143999999999</v>
      </c>
      <c r="BV37" s="386">
        <f t="shared" si="18"/>
        <v>1003.9536000000001</v>
      </c>
      <c r="BW37" s="386">
        <f t="shared" si="19"/>
        <v>0</v>
      </c>
      <c r="BX37" s="386">
        <f t="shared" si="34"/>
        <v>8634.1808799999999</v>
      </c>
      <c r="BY37" s="386">
        <f t="shared" si="35"/>
        <v>0</v>
      </c>
      <c r="BZ37" s="386">
        <f t="shared" si="36"/>
        <v>0</v>
      </c>
      <c r="CA37" s="386">
        <f t="shared" si="37"/>
        <v>0</v>
      </c>
      <c r="CB37" s="386">
        <f t="shared" si="38"/>
        <v>0</v>
      </c>
      <c r="CC37" s="386">
        <f t="shared" si="20"/>
        <v>0</v>
      </c>
      <c r="CD37" s="386">
        <f t="shared" si="21"/>
        <v>0</v>
      </c>
      <c r="CE37" s="386">
        <f t="shared" si="22"/>
        <v>0</v>
      </c>
      <c r="CF37" s="386">
        <f t="shared" si="23"/>
        <v>-176.32159999999999</v>
      </c>
      <c r="CG37" s="386">
        <f t="shared" si="24"/>
        <v>0</v>
      </c>
      <c r="CH37" s="386">
        <f t="shared" si="25"/>
        <v>39.582400000000007</v>
      </c>
      <c r="CI37" s="386">
        <f t="shared" si="26"/>
        <v>0</v>
      </c>
      <c r="CJ37" s="386">
        <f t="shared" si="39"/>
        <v>-136.73919999999998</v>
      </c>
      <c r="CK37" s="386" t="str">
        <f t="shared" si="40"/>
        <v/>
      </c>
      <c r="CL37" s="386" t="str">
        <f t="shared" si="41"/>
        <v/>
      </c>
      <c r="CM37" s="386" t="str">
        <f t="shared" si="42"/>
        <v/>
      </c>
      <c r="CN37" s="386" t="str">
        <f t="shared" si="43"/>
        <v>0229-15</v>
      </c>
    </row>
    <row r="38" spans="1:92" ht="15.75" thickBot="1" x14ac:dyDescent="0.3">
      <c r="A38" s="376" t="s">
        <v>161</v>
      </c>
      <c r="B38" s="376" t="s">
        <v>162</v>
      </c>
      <c r="C38" s="376" t="s">
        <v>323</v>
      </c>
      <c r="D38" s="376" t="s">
        <v>164</v>
      </c>
      <c r="E38" s="376" t="s">
        <v>165</v>
      </c>
      <c r="F38" s="377" t="s">
        <v>166</v>
      </c>
      <c r="G38" s="376" t="s">
        <v>167</v>
      </c>
      <c r="H38" s="378"/>
      <c r="I38" s="378"/>
      <c r="J38" s="376" t="s">
        <v>168</v>
      </c>
      <c r="K38" s="376" t="s">
        <v>169</v>
      </c>
      <c r="L38" s="376" t="s">
        <v>170</v>
      </c>
      <c r="M38" s="376" t="s">
        <v>171</v>
      </c>
      <c r="N38" s="376" t="s">
        <v>172</v>
      </c>
      <c r="O38" s="379">
        <v>1</v>
      </c>
      <c r="P38" s="384">
        <v>1</v>
      </c>
      <c r="Q38" s="384">
        <v>1</v>
      </c>
      <c r="R38" s="380">
        <v>80</v>
      </c>
      <c r="S38" s="384">
        <v>1</v>
      </c>
      <c r="T38" s="380">
        <v>43729.24</v>
      </c>
      <c r="U38" s="380">
        <v>818.69</v>
      </c>
      <c r="V38" s="380">
        <v>21827.55</v>
      </c>
      <c r="W38" s="380">
        <v>44720</v>
      </c>
      <c r="X38" s="380">
        <v>22550.47</v>
      </c>
      <c r="Y38" s="380">
        <v>44720</v>
      </c>
      <c r="Z38" s="380">
        <v>22380.54</v>
      </c>
      <c r="AA38" s="376" t="s">
        <v>324</v>
      </c>
      <c r="AB38" s="376" t="s">
        <v>325</v>
      </c>
      <c r="AC38" s="376" t="s">
        <v>326</v>
      </c>
      <c r="AD38" s="376" t="s">
        <v>181</v>
      </c>
      <c r="AE38" s="376" t="s">
        <v>169</v>
      </c>
      <c r="AF38" s="376" t="s">
        <v>177</v>
      </c>
      <c r="AG38" s="376" t="s">
        <v>178</v>
      </c>
      <c r="AH38" s="381">
        <v>21.5</v>
      </c>
      <c r="AI38" s="381">
        <v>62687.199999999997</v>
      </c>
      <c r="AJ38" s="376" t="s">
        <v>179</v>
      </c>
      <c r="AK38" s="376" t="s">
        <v>180</v>
      </c>
      <c r="AL38" s="376" t="s">
        <v>181</v>
      </c>
      <c r="AM38" s="376" t="s">
        <v>182</v>
      </c>
      <c r="AN38" s="376" t="s">
        <v>70</v>
      </c>
      <c r="AO38" s="379">
        <v>80</v>
      </c>
      <c r="AP38" s="384">
        <v>1</v>
      </c>
      <c r="AQ38" s="384">
        <v>1</v>
      </c>
      <c r="AR38" s="382" t="s">
        <v>183</v>
      </c>
      <c r="AS38" s="386">
        <f t="shared" si="27"/>
        <v>1</v>
      </c>
      <c r="AT38">
        <f t="shared" si="28"/>
        <v>1</v>
      </c>
      <c r="AU38" s="386">
        <f>IF(AT38=0,"",IF(AND(AT38=1,M38="F",SUMIF(C2:C48,C38,AS2:AS48)&lt;=1),SUMIF(C2:C48,C38,AS2:AS48),IF(AND(AT38=1,M38="F",SUMIF(C2:C48,C38,AS2:AS48)&gt;1),1,"")))</f>
        <v>1</v>
      </c>
      <c r="AV38" s="386" t="str">
        <f>IF(AT38=0,"",IF(AND(AT38=3,M38="F",SUMIF(C2:C48,C38,AS2:AS48)&lt;=1),SUMIF(C2:C48,C38,AS2:AS48),IF(AND(AT38=3,M38="F",SUMIF(C2:C48,C38,AS2:AS48)&gt;1),1,"")))</f>
        <v/>
      </c>
      <c r="AW38" s="386">
        <f>SUMIF(C2:C48,C38,O2:O48)</f>
        <v>1</v>
      </c>
      <c r="AX38" s="386">
        <f>IF(AND(M38="F",AS38&lt;&gt;0),SUMIF(C2:C48,C38,W2:W48),0)</f>
        <v>44720</v>
      </c>
      <c r="AY38" s="386">
        <f t="shared" si="29"/>
        <v>44720</v>
      </c>
      <c r="AZ38" s="386" t="str">
        <f t="shared" si="30"/>
        <v/>
      </c>
      <c r="BA38" s="386">
        <f t="shared" si="31"/>
        <v>0</v>
      </c>
      <c r="BB38" s="386">
        <f t="shared" si="0"/>
        <v>11650</v>
      </c>
      <c r="BC38" s="386">
        <f t="shared" si="1"/>
        <v>0</v>
      </c>
      <c r="BD38" s="386">
        <f t="shared" si="2"/>
        <v>2772.64</v>
      </c>
      <c r="BE38" s="386">
        <f t="shared" si="3"/>
        <v>648.44000000000005</v>
      </c>
      <c r="BF38" s="386">
        <f t="shared" si="4"/>
        <v>5491.616</v>
      </c>
      <c r="BG38" s="386">
        <f t="shared" si="5"/>
        <v>322.43119999999999</v>
      </c>
      <c r="BH38" s="386">
        <f t="shared" si="6"/>
        <v>219.12799999999999</v>
      </c>
      <c r="BI38" s="386">
        <f t="shared" si="7"/>
        <v>247.52520000000001</v>
      </c>
      <c r="BJ38" s="386">
        <f t="shared" si="8"/>
        <v>1198.4960000000001</v>
      </c>
      <c r="BK38" s="386">
        <f t="shared" si="9"/>
        <v>0</v>
      </c>
      <c r="BL38" s="386">
        <f t="shared" si="32"/>
        <v>10900.276399999999</v>
      </c>
      <c r="BM38" s="386">
        <f t="shared" si="33"/>
        <v>0</v>
      </c>
      <c r="BN38" s="386">
        <f t="shared" si="10"/>
        <v>11650</v>
      </c>
      <c r="BO38" s="386">
        <f t="shared" si="11"/>
        <v>0</v>
      </c>
      <c r="BP38" s="386">
        <f t="shared" si="12"/>
        <v>2772.64</v>
      </c>
      <c r="BQ38" s="386">
        <f t="shared" si="13"/>
        <v>648.44000000000005</v>
      </c>
      <c r="BR38" s="386">
        <f t="shared" si="14"/>
        <v>5491.616</v>
      </c>
      <c r="BS38" s="386">
        <f t="shared" si="15"/>
        <v>322.43119999999999</v>
      </c>
      <c r="BT38" s="386">
        <f t="shared" si="16"/>
        <v>0</v>
      </c>
      <c r="BU38" s="386">
        <f t="shared" si="17"/>
        <v>247.52520000000001</v>
      </c>
      <c r="BV38" s="386">
        <f t="shared" si="18"/>
        <v>1247.6880000000001</v>
      </c>
      <c r="BW38" s="386">
        <f t="shared" si="19"/>
        <v>0</v>
      </c>
      <c r="BX38" s="386">
        <f t="shared" si="34"/>
        <v>10730.340399999999</v>
      </c>
      <c r="BY38" s="386">
        <f t="shared" si="35"/>
        <v>0</v>
      </c>
      <c r="BZ38" s="386">
        <f t="shared" si="36"/>
        <v>0</v>
      </c>
      <c r="CA38" s="386">
        <f t="shared" si="37"/>
        <v>0</v>
      </c>
      <c r="CB38" s="386">
        <f t="shared" si="38"/>
        <v>0</v>
      </c>
      <c r="CC38" s="386">
        <f t="shared" si="20"/>
        <v>0</v>
      </c>
      <c r="CD38" s="386">
        <f t="shared" si="21"/>
        <v>0</v>
      </c>
      <c r="CE38" s="386">
        <f t="shared" si="22"/>
        <v>0</v>
      </c>
      <c r="CF38" s="386">
        <f t="shared" si="23"/>
        <v>-219.12799999999999</v>
      </c>
      <c r="CG38" s="386">
        <f t="shared" si="24"/>
        <v>0</v>
      </c>
      <c r="CH38" s="386">
        <f t="shared" si="25"/>
        <v>49.192000000000014</v>
      </c>
      <c r="CI38" s="386">
        <f t="shared" si="26"/>
        <v>0</v>
      </c>
      <c r="CJ38" s="386">
        <f t="shared" si="39"/>
        <v>-169.93599999999998</v>
      </c>
      <c r="CK38" s="386" t="str">
        <f t="shared" si="40"/>
        <v/>
      </c>
      <c r="CL38" s="386" t="str">
        <f t="shared" si="41"/>
        <v/>
      </c>
      <c r="CM38" s="386" t="str">
        <f t="shared" si="42"/>
        <v/>
      </c>
      <c r="CN38" s="386" t="str">
        <f t="shared" si="43"/>
        <v>0229-15</v>
      </c>
    </row>
    <row r="39" spans="1:92" ht="15.75" thickBot="1" x14ac:dyDescent="0.3">
      <c r="A39" s="376" t="s">
        <v>161</v>
      </c>
      <c r="B39" s="376" t="s">
        <v>162</v>
      </c>
      <c r="C39" s="376" t="s">
        <v>327</v>
      </c>
      <c r="D39" s="376" t="s">
        <v>199</v>
      </c>
      <c r="E39" s="376" t="s">
        <v>165</v>
      </c>
      <c r="F39" s="377" t="s">
        <v>166</v>
      </c>
      <c r="G39" s="376" t="s">
        <v>167</v>
      </c>
      <c r="H39" s="378"/>
      <c r="I39" s="378"/>
      <c r="J39" s="376" t="s">
        <v>168</v>
      </c>
      <c r="K39" s="376" t="s">
        <v>200</v>
      </c>
      <c r="L39" s="376" t="s">
        <v>201</v>
      </c>
      <c r="M39" s="376" t="s">
        <v>171</v>
      </c>
      <c r="N39" s="376" t="s">
        <v>202</v>
      </c>
      <c r="O39" s="379">
        <v>1</v>
      </c>
      <c r="P39" s="384">
        <v>1</v>
      </c>
      <c r="Q39" s="384">
        <v>1</v>
      </c>
      <c r="R39" s="380">
        <v>80</v>
      </c>
      <c r="S39" s="384">
        <v>1</v>
      </c>
      <c r="T39" s="380">
        <v>45434.81</v>
      </c>
      <c r="U39" s="380">
        <v>0</v>
      </c>
      <c r="V39" s="380">
        <v>21777.74</v>
      </c>
      <c r="W39" s="380">
        <v>47008</v>
      </c>
      <c r="X39" s="380">
        <v>22847.74</v>
      </c>
      <c r="Y39" s="380">
        <v>47008</v>
      </c>
      <c r="Z39" s="380">
        <v>22669.119999999999</v>
      </c>
      <c r="AA39" s="376" t="s">
        <v>328</v>
      </c>
      <c r="AB39" s="376" t="s">
        <v>329</v>
      </c>
      <c r="AC39" s="376" t="s">
        <v>330</v>
      </c>
      <c r="AD39" s="376" t="s">
        <v>206</v>
      </c>
      <c r="AE39" s="376" t="s">
        <v>200</v>
      </c>
      <c r="AF39" s="376" t="s">
        <v>207</v>
      </c>
      <c r="AG39" s="376" t="s">
        <v>178</v>
      </c>
      <c r="AH39" s="381">
        <v>22.6</v>
      </c>
      <c r="AI39" s="379">
        <v>5217</v>
      </c>
      <c r="AJ39" s="376" t="s">
        <v>179</v>
      </c>
      <c r="AK39" s="376" t="s">
        <v>180</v>
      </c>
      <c r="AL39" s="376" t="s">
        <v>181</v>
      </c>
      <c r="AM39" s="376" t="s">
        <v>182</v>
      </c>
      <c r="AN39" s="376" t="s">
        <v>70</v>
      </c>
      <c r="AO39" s="379">
        <v>80</v>
      </c>
      <c r="AP39" s="384">
        <v>1</v>
      </c>
      <c r="AQ39" s="384">
        <v>1</v>
      </c>
      <c r="AR39" s="382" t="s">
        <v>183</v>
      </c>
      <c r="AS39" s="386">
        <f t="shared" si="27"/>
        <v>1</v>
      </c>
      <c r="AT39">
        <f t="shared" si="28"/>
        <v>1</v>
      </c>
      <c r="AU39" s="386">
        <f>IF(AT39=0,"",IF(AND(AT39=1,M39="F",SUMIF(C2:C48,C39,AS2:AS48)&lt;=1),SUMIF(C2:C48,C39,AS2:AS48),IF(AND(AT39=1,M39="F",SUMIF(C2:C48,C39,AS2:AS48)&gt;1),1,"")))</f>
        <v>1</v>
      </c>
      <c r="AV39" s="386" t="str">
        <f>IF(AT39=0,"",IF(AND(AT39=3,M39="F",SUMIF(C2:C48,C39,AS2:AS48)&lt;=1),SUMIF(C2:C48,C39,AS2:AS48),IF(AND(AT39=3,M39="F",SUMIF(C2:C48,C39,AS2:AS48)&gt;1),1,"")))</f>
        <v/>
      </c>
      <c r="AW39" s="386">
        <f>SUMIF(C2:C48,C39,O2:O48)</f>
        <v>1</v>
      </c>
      <c r="AX39" s="386">
        <f>IF(AND(M39="F",AS39&lt;&gt;0),SUMIF(C2:C48,C39,W2:W48),0)</f>
        <v>47008</v>
      </c>
      <c r="AY39" s="386">
        <f t="shared" si="29"/>
        <v>47008</v>
      </c>
      <c r="AZ39" s="386" t="str">
        <f t="shared" si="30"/>
        <v/>
      </c>
      <c r="BA39" s="386">
        <f t="shared" si="31"/>
        <v>0</v>
      </c>
      <c r="BB39" s="386">
        <f t="shared" si="0"/>
        <v>11650</v>
      </c>
      <c r="BC39" s="386">
        <f t="shared" si="1"/>
        <v>0</v>
      </c>
      <c r="BD39" s="386">
        <f t="shared" si="2"/>
        <v>2914.4960000000001</v>
      </c>
      <c r="BE39" s="386">
        <f t="shared" si="3"/>
        <v>681.61599999999999</v>
      </c>
      <c r="BF39" s="386">
        <f t="shared" si="4"/>
        <v>5772.5824000000002</v>
      </c>
      <c r="BG39" s="386">
        <f t="shared" si="5"/>
        <v>338.92768000000001</v>
      </c>
      <c r="BH39" s="386">
        <f t="shared" si="6"/>
        <v>230.33920000000001</v>
      </c>
      <c r="BI39" s="386">
        <f t="shared" si="7"/>
        <v>0</v>
      </c>
      <c r="BJ39" s="386">
        <f t="shared" si="8"/>
        <v>1259.8144</v>
      </c>
      <c r="BK39" s="386">
        <f t="shared" si="9"/>
        <v>0</v>
      </c>
      <c r="BL39" s="386">
        <f t="shared" si="32"/>
        <v>11197.775680000001</v>
      </c>
      <c r="BM39" s="386">
        <f t="shared" si="33"/>
        <v>0</v>
      </c>
      <c r="BN39" s="386">
        <f t="shared" si="10"/>
        <v>11650</v>
      </c>
      <c r="BO39" s="386">
        <f t="shared" si="11"/>
        <v>0</v>
      </c>
      <c r="BP39" s="386">
        <f t="shared" si="12"/>
        <v>2914.4960000000001</v>
      </c>
      <c r="BQ39" s="386">
        <f t="shared" si="13"/>
        <v>681.61599999999999</v>
      </c>
      <c r="BR39" s="386">
        <f t="shared" si="14"/>
        <v>5772.5824000000002</v>
      </c>
      <c r="BS39" s="386">
        <f t="shared" si="15"/>
        <v>338.92768000000001</v>
      </c>
      <c r="BT39" s="386">
        <f t="shared" si="16"/>
        <v>0</v>
      </c>
      <c r="BU39" s="386">
        <f t="shared" si="17"/>
        <v>0</v>
      </c>
      <c r="BV39" s="386">
        <f t="shared" si="18"/>
        <v>1311.5232000000001</v>
      </c>
      <c r="BW39" s="386">
        <f t="shared" si="19"/>
        <v>0</v>
      </c>
      <c r="BX39" s="386">
        <f t="shared" si="34"/>
        <v>11019.145280000001</v>
      </c>
      <c r="BY39" s="386">
        <f t="shared" si="35"/>
        <v>0</v>
      </c>
      <c r="BZ39" s="386">
        <f t="shared" si="36"/>
        <v>0</v>
      </c>
      <c r="CA39" s="386">
        <f t="shared" si="37"/>
        <v>0</v>
      </c>
      <c r="CB39" s="386">
        <f t="shared" si="38"/>
        <v>0</v>
      </c>
      <c r="CC39" s="386">
        <f t="shared" si="20"/>
        <v>0</v>
      </c>
      <c r="CD39" s="386">
        <f t="shared" si="21"/>
        <v>0</v>
      </c>
      <c r="CE39" s="386">
        <f t="shared" si="22"/>
        <v>0</v>
      </c>
      <c r="CF39" s="386">
        <f t="shared" si="23"/>
        <v>-230.33920000000001</v>
      </c>
      <c r="CG39" s="386">
        <f t="shared" si="24"/>
        <v>0</v>
      </c>
      <c r="CH39" s="386">
        <f t="shared" si="25"/>
        <v>51.708800000000011</v>
      </c>
      <c r="CI39" s="386">
        <f t="shared" si="26"/>
        <v>0</v>
      </c>
      <c r="CJ39" s="386">
        <f t="shared" si="39"/>
        <v>-178.63040000000001</v>
      </c>
      <c r="CK39" s="386" t="str">
        <f t="shared" si="40"/>
        <v/>
      </c>
      <c r="CL39" s="386" t="str">
        <f t="shared" si="41"/>
        <v/>
      </c>
      <c r="CM39" s="386" t="str">
        <f t="shared" si="42"/>
        <v/>
      </c>
      <c r="CN39" s="386" t="str">
        <f t="shared" si="43"/>
        <v>0229-15</v>
      </c>
    </row>
    <row r="40" spans="1:92" ht="15.75" thickBot="1" x14ac:dyDescent="0.3">
      <c r="A40" s="376" t="s">
        <v>161</v>
      </c>
      <c r="B40" s="376" t="s">
        <v>162</v>
      </c>
      <c r="C40" s="376" t="s">
        <v>331</v>
      </c>
      <c r="D40" s="376" t="s">
        <v>164</v>
      </c>
      <c r="E40" s="376" t="s">
        <v>165</v>
      </c>
      <c r="F40" s="377" t="s">
        <v>166</v>
      </c>
      <c r="G40" s="376" t="s">
        <v>167</v>
      </c>
      <c r="H40" s="378"/>
      <c r="I40" s="378"/>
      <c r="J40" s="376" t="s">
        <v>168</v>
      </c>
      <c r="K40" s="376" t="s">
        <v>169</v>
      </c>
      <c r="L40" s="376" t="s">
        <v>170</v>
      </c>
      <c r="M40" s="376" t="s">
        <v>171</v>
      </c>
      <c r="N40" s="376" t="s">
        <v>172</v>
      </c>
      <c r="O40" s="379">
        <v>1</v>
      </c>
      <c r="P40" s="384">
        <v>1</v>
      </c>
      <c r="Q40" s="384">
        <v>1</v>
      </c>
      <c r="R40" s="380">
        <v>80</v>
      </c>
      <c r="S40" s="384">
        <v>1</v>
      </c>
      <c r="T40" s="380">
        <v>34196.25</v>
      </c>
      <c r="U40" s="380">
        <v>828.88</v>
      </c>
      <c r="V40" s="380">
        <v>19771.78</v>
      </c>
      <c r="W40" s="380">
        <v>34819.199999999997</v>
      </c>
      <c r="X40" s="380">
        <v>20137.14</v>
      </c>
      <c r="Y40" s="380">
        <v>34819.199999999997</v>
      </c>
      <c r="Z40" s="380">
        <v>20004.830000000002</v>
      </c>
      <c r="AA40" s="376" t="s">
        <v>332</v>
      </c>
      <c r="AB40" s="376" t="s">
        <v>333</v>
      </c>
      <c r="AC40" s="376" t="s">
        <v>334</v>
      </c>
      <c r="AD40" s="376" t="s">
        <v>335</v>
      </c>
      <c r="AE40" s="376" t="s">
        <v>169</v>
      </c>
      <c r="AF40" s="376" t="s">
        <v>177</v>
      </c>
      <c r="AG40" s="376" t="s">
        <v>178</v>
      </c>
      <c r="AH40" s="381">
        <v>16.739999999999998</v>
      </c>
      <c r="AI40" s="379">
        <v>11554</v>
      </c>
      <c r="AJ40" s="376" t="s">
        <v>179</v>
      </c>
      <c r="AK40" s="376" t="s">
        <v>180</v>
      </c>
      <c r="AL40" s="376" t="s">
        <v>181</v>
      </c>
      <c r="AM40" s="376" t="s">
        <v>182</v>
      </c>
      <c r="AN40" s="376" t="s">
        <v>70</v>
      </c>
      <c r="AO40" s="379">
        <v>80</v>
      </c>
      <c r="AP40" s="384">
        <v>1</v>
      </c>
      <c r="AQ40" s="384">
        <v>1</v>
      </c>
      <c r="AR40" s="382" t="s">
        <v>183</v>
      </c>
      <c r="AS40" s="386">
        <f t="shared" si="27"/>
        <v>1</v>
      </c>
      <c r="AT40">
        <f t="shared" si="28"/>
        <v>1</v>
      </c>
      <c r="AU40" s="386">
        <f>IF(AT40=0,"",IF(AND(AT40=1,M40="F",SUMIF(C2:C48,C40,AS2:AS48)&lt;=1),SUMIF(C2:C48,C40,AS2:AS48),IF(AND(AT40=1,M40="F",SUMIF(C2:C48,C40,AS2:AS48)&gt;1),1,"")))</f>
        <v>1</v>
      </c>
      <c r="AV40" s="386" t="str">
        <f>IF(AT40=0,"",IF(AND(AT40=3,M40="F",SUMIF(C2:C48,C40,AS2:AS48)&lt;=1),SUMIF(C2:C48,C40,AS2:AS48),IF(AND(AT40=3,M40="F",SUMIF(C2:C48,C40,AS2:AS48)&gt;1),1,"")))</f>
        <v/>
      </c>
      <c r="AW40" s="386">
        <f>SUMIF(C2:C48,C40,O2:O48)</f>
        <v>1</v>
      </c>
      <c r="AX40" s="386">
        <f>IF(AND(M40="F",AS40&lt;&gt;0),SUMIF(C2:C48,C40,W2:W48),0)</f>
        <v>34819.199999999997</v>
      </c>
      <c r="AY40" s="386">
        <f t="shared" si="29"/>
        <v>34819.199999999997</v>
      </c>
      <c r="AZ40" s="386" t="str">
        <f t="shared" si="30"/>
        <v/>
      </c>
      <c r="BA40" s="386">
        <f t="shared" si="31"/>
        <v>0</v>
      </c>
      <c r="BB40" s="386">
        <f t="shared" si="0"/>
        <v>11650</v>
      </c>
      <c r="BC40" s="386">
        <f t="shared" si="1"/>
        <v>0</v>
      </c>
      <c r="BD40" s="386">
        <f t="shared" si="2"/>
        <v>2158.7903999999999</v>
      </c>
      <c r="BE40" s="386">
        <f t="shared" si="3"/>
        <v>504.8784</v>
      </c>
      <c r="BF40" s="386">
        <f t="shared" si="4"/>
        <v>4275.7977599999995</v>
      </c>
      <c r="BG40" s="386">
        <f t="shared" si="5"/>
        <v>251.04643199999998</v>
      </c>
      <c r="BH40" s="386">
        <f t="shared" si="6"/>
        <v>170.61407999999997</v>
      </c>
      <c r="BI40" s="386">
        <f t="shared" si="7"/>
        <v>192.72427199999998</v>
      </c>
      <c r="BJ40" s="386">
        <f t="shared" si="8"/>
        <v>933.15455999999995</v>
      </c>
      <c r="BK40" s="386">
        <f t="shared" si="9"/>
        <v>0</v>
      </c>
      <c r="BL40" s="386">
        <f t="shared" si="32"/>
        <v>8487.0059039999996</v>
      </c>
      <c r="BM40" s="386">
        <f t="shared" si="33"/>
        <v>0</v>
      </c>
      <c r="BN40" s="386">
        <f t="shared" si="10"/>
        <v>11650</v>
      </c>
      <c r="BO40" s="386">
        <f t="shared" si="11"/>
        <v>0</v>
      </c>
      <c r="BP40" s="386">
        <f t="shared" si="12"/>
        <v>2158.7903999999999</v>
      </c>
      <c r="BQ40" s="386">
        <f t="shared" si="13"/>
        <v>504.8784</v>
      </c>
      <c r="BR40" s="386">
        <f t="shared" si="14"/>
        <v>4275.7977599999995</v>
      </c>
      <c r="BS40" s="386">
        <f t="shared" si="15"/>
        <v>251.04643199999998</v>
      </c>
      <c r="BT40" s="386">
        <f t="shared" si="16"/>
        <v>0</v>
      </c>
      <c r="BU40" s="386">
        <f t="shared" si="17"/>
        <v>192.72427199999998</v>
      </c>
      <c r="BV40" s="386">
        <f t="shared" si="18"/>
        <v>971.45567999999992</v>
      </c>
      <c r="BW40" s="386">
        <f t="shared" si="19"/>
        <v>0</v>
      </c>
      <c r="BX40" s="386">
        <f t="shared" si="34"/>
        <v>8354.6929439999985</v>
      </c>
      <c r="BY40" s="386">
        <f t="shared" si="35"/>
        <v>0</v>
      </c>
      <c r="BZ40" s="386">
        <f t="shared" si="36"/>
        <v>0</v>
      </c>
      <c r="CA40" s="386">
        <f t="shared" si="37"/>
        <v>0</v>
      </c>
      <c r="CB40" s="386">
        <f t="shared" si="38"/>
        <v>0</v>
      </c>
      <c r="CC40" s="386">
        <f t="shared" si="20"/>
        <v>0</v>
      </c>
      <c r="CD40" s="386">
        <f t="shared" si="21"/>
        <v>0</v>
      </c>
      <c r="CE40" s="386">
        <f t="shared" si="22"/>
        <v>0</v>
      </c>
      <c r="CF40" s="386">
        <f t="shared" si="23"/>
        <v>-170.61407999999997</v>
      </c>
      <c r="CG40" s="386">
        <f t="shared" si="24"/>
        <v>0</v>
      </c>
      <c r="CH40" s="386">
        <f t="shared" si="25"/>
        <v>38.301120000000004</v>
      </c>
      <c r="CI40" s="386">
        <f t="shared" si="26"/>
        <v>0</v>
      </c>
      <c r="CJ40" s="386">
        <f t="shared" si="39"/>
        <v>-132.31295999999998</v>
      </c>
      <c r="CK40" s="386" t="str">
        <f t="shared" si="40"/>
        <v/>
      </c>
      <c r="CL40" s="386" t="str">
        <f t="shared" si="41"/>
        <v/>
      </c>
      <c r="CM40" s="386" t="str">
        <f t="shared" si="42"/>
        <v/>
      </c>
      <c r="CN40" s="386" t="str">
        <f t="shared" si="43"/>
        <v>0229-15</v>
      </c>
    </row>
    <row r="41" spans="1:92" ht="15.75" thickBot="1" x14ac:dyDescent="0.3">
      <c r="A41" s="376" t="s">
        <v>161</v>
      </c>
      <c r="B41" s="376" t="s">
        <v>162</v>
      </c>
      <c r="C41" s="376" t="s">
        <v>336</v>
      </c>
      <c r="D41" s="376" t="s">
        <v>337</v>
      </c>
      <c r="E41" s="376" t="s">
        <v>165</v>
      </c>
      <c r="F41" s="377" t="s">
        <v>166</v>
      </c>
      <c r="G41" s="376" t="s">
        <v>167</v>
      </c>
      <c r="H41" s="378"/>
      <c r="I41" s="378"/>
      <c r="J41" s="376" t="s">
        <v>168</v>
      </c>
      <c r="K41" s="376" t="s">
        <v>338</v>
      </c>
      <c r="L41" s="376" t="s">
        <v>339</v>
      </c>
      <c r="M41" s="376" t="s">
        <v>171</v>
      </c>
      <c r="N41" s="376" t="s">
        <v>172</v>
      </c>
      <c r="O41" s="379">
        <v>1</v>
      </c>
      <c r="P41" s="384">
        <v>1</v>
      </c>
      <c r="Q41" s="384">
        <v>1</v>
      </c>
      <c r="R41" s="380">
        <v>80</v>
      </c>
      <c r="S41" s="384">
        <v>1</v>
      </c>
      <c r="T41" s="380">
        <v>26799.66</v>
      </c>
      <c r="U41" s="380">
        <v>0</v>
      </c>
      <c r="V41" s="380">
        <v>17342.63</v>
      </c>
      <c r="W41" s="380">
        <v>34840</v>
      </c>
      <c r="X41" s="380">
        <v>20023.77</v>
      </c>
      <c r="Y41" s="380">
        <v>34840</v>
      </c>
      <c r="Z41" s="380">
        <v>19891.38</v>
      </c>
      <c r="AA41" s="376" t="s">
        <v>340</v>
      </c>
      <c r="AB41" s="376" t="s">
        <v>341</v>
      </c>
      <c r="AC41" s="376" t="s">
        <v>342</v>
      </c>
      <c r="AD41" s="376" t="s">
        <v>343</v>
      </c>
      <c r="AE41" s="376" t="s">
        <v>338</v>
      </c>
      <c r="AF41" s="376" t="s">
        <v>344</v>
      </c>
      <c r="AG41" s="376" t="s">
        <v>178</v>
      </c>
      <c r="AH41" s="381">
        <v>16.75</v>
      </c>
      <c r="AI41" s="381">
        <v>35909.599999999999</v>
      </c>
      <c r="AJ41" s="376" t="s">
        <v>179</v>
      </c>
      <c r="AK41" s="376" t="s">
        <v>180</v>
      </c>
      <c r="AL41" s="376" t="s">
        <v>181</v>
      </c>
      <c r="AM41" s="376" t="s">
        <v>182</v>
      </c>
      <c r="AN41" s="376" t="s">
        <v>68</v>
      </c>
      <c r="AO41" s="379">
        <v>80</v>
      </c>
      <c r="AP41" s="384">
        <v>1</v>
      </c>
      <c r="AQ41" s="384">
        <v>1</v>
      </c>
      <c r="AR41" s="382" t="s">
        <v>183</v>
      </c>
      <c r="AS41" s="386">
        <f t="shared" si="27"/>
        <v>1</v>
      </c>
      <c r="AT41">
        <f t="shared" si="28"/>
        <v>1</v>
      </c>
      <c r="AU41" s="386">
        <f>IF(AT41=0,"",IF(AND(AT41=1,M41="F",SUMIF(C2:C48,C41,AS2:AS48)&lt;=1),SUMIF(C2:C48,C41,AS2:AS48),IF(AND(AT41=1,M41="F",SUMIF(C2:C48,C41,AS2:AS48)&gt;1),1,"")))</f>
        <v>1</v>
      </c>
      <c r="AV41" s="386" t="str">
        <f>IF(AT41=0,"",IF(AND(AT41=3,M41="F",SUMIF(C2:C48,C41,AS2:AS48)&lt;=1),SUMIF(C2:C48,C41,AS2:AS48),IF(AND(AT41=3,M41="F",SUMIF(C2:C48,C41,AS2:AS48)&gt;1),1,"")))</f>
        <v/>
      </c>
      <c r="AW41" s="386">
        <f>SUMIF(C2:C48,C41,O2:O48)</f>
        <v>1</v>
      </c>
      <c r="AX41" s="386">
        <f>IF(AND(M41="F",AS41&lt;&gt;0),SUMIF(C2:C48,C41,W2:W48),0)</f>
        <v>34840</v>
      </c>
      <c r="AY41" s="386">
        <f t="shared" si="29"/>
        <v>34840</v>
      </c>
      <c r="AZ41" s="386" t="str">
        <f t="shared" si="30"/>
        <v/>
      </c>
      <c r="BA41" s="386">
        <f t="shared" si="31"/>
        <v>0</v>
      </c>
      <c r="BB41" s="386">
        <f t="shared" si="0"/>
        <v>11650</v>
      </c>
      <c r="BC41" s="386">
        <f t="shared" si="1"/>
        <v>0</v>
      </c>
      <c r="BD41" s="386">
        <f t="shared" si="2"/>
        <v>2160.08</v>
      </c>
      <c r="BE41" s="386">
        <f t="shared" si="3"/>
        <v>505.18</v>
      </c>
      <c r="BF41" s="386">
        <f t="shared" si="4"/>
        <v>4159.8960000000006</v>
      </c>
      <c r="BG41" s="386">
        <f t="shared" si="5"/>
        <v>251.19640000000001</v>
      </c>
      <c r="BH41" s="386">
        <f t="shared" si="6"/>
        <v>170.71600000000001</v>
      </c>
      <c r="BI41" s="386">
        <f t="shared" si="7"/>
        <v>192.83940000000001</v>
      </c>
      <c r="BJ41" s="386">
        <f t="shared" si="8"/>
        <v>933.71199999999999</v>
      </c>
      <c r="BK41" s="386">
        <f t="shared" si="9"/>
        <v>0</v>
      </c>
      <c r="BL41" s="386">
        <f t="shared" si="32"/>
        <v>8373.6198000000004</v>
      </c>
      <c r="BM41" s="386">
        <f t="shared" si="33"/>
        <v>0</v>
      </c>
      <c r="BN41" s="386">
        <f t="shared" si="10"/>
        <v>11650</v>
      </c>
      <c r="BO41" s="386">
        <f t="shared" si="11"/>
        <v>0</v>
      </c>
      <c r="BP41" s="386">
        <f t="shared" si="12"/>
        <v>2160.08</v>
      </c>
      <c r="BQ41" s="386">
        <f t="shared" si="13"/>
        <v>505.18</v>
      </c>
      <c r="BR41" s="386">
        <f t="shared" si="14"/>
        <v>4159.8960000000006</v>
      </c>
      <c r="BS41" s="386">
        <f t="shared" si="15"/>
        <v>251.19640000000001</v>
      </c>
      <c r="BT41" s="386">
        <f t="shared" si="16"/>
        <v>0</v>
      </c>
      <c r="BU41" s="386">
        <f t="shared" si="17"/>
        <v>192.83940000000001</v>
      </c>
      <c r="BV41" s="386">
        <f t="shared" si="18"/>
        <v>972.03600000000006</v>
      </c>
      <c r="BW41" s="386">
        <f t="shared" si="19"/>
        <v>0</v>
      </c>
      <c r="BX41" s="386">
        <f t="shared" si="34"/>
        <v>8241.2278000000006</v>
      </c>
      <c r="BY41" s="386">
        <f t="shared" si="35"/>
        <v>0</v>
      </c>
      <c r="BZ41" s="386">
        <f t="shared" si="36"/>
        <v>0</v>
      </c>
      <c r="CA41" s="386">
        <f t="shared" si="37"/>
        <v>0</v>
      </c>
      <c r="CB41" s="386">
        <f t="shared" si="38"/>
        <v>0</v>
      </c>
      <c r="CC41" s="386">
        <f t="shared" si="20"/>
        <v>0</v>
      </c>
      <c r="CD41" s="386">
        <f t="shared" si="21"/>
        <v>0</v>
      </c>
      <c r="CE41" s="386">
        <f t="shared" si="22"/>
        <v>0</v>
      </c>
      <c r="CF41" s="386">
        <f t="shared" si="23"/>
        <v>-170.71600000000001</v>
      </c>
      <c r="CG41" s="386">
        <f t="shared" si="24"/>
        <v>0</v>
      </c>
      <c r="CH41" s="386">
        <f t="shared" si="25"/>
        <v>38.324000000000012</v>
      </c>
      <c r="CI41" s="386">
        <f t="shared" si="26"/>
        <v>0</v>
      </c>
      <c r="CJ41" s="386">
        <f t="shared" si="39"/>
        <v>-132.392</v>
      </c>
      <c r="CK41" s="386" t="str">
        <f t="shared" si="40"/>
        <v/>
      </c>
      <c r="CL41" s="386" t="str">
        <f t="shared" si="41"/>
        <v/>
      </c>
      <c r="CM41" s="386" t="str">
        <f t="shared" si="42"/>
        <v/>
      </c>
      <c r="CN41" s="386" t="str">
        <f t="shared" si="43"/>
        <v>0229-15</v>
      </c>
    </row>
    <row r="42" spans="1:92" ht="15.75" thickBot="1" x14ac:dyDescent="0.3">
      <c r="A42" s="376" t="s">
        <v>161</v>
      </c>
      <c r="B42" s="376" t="s">
        <v>162</v>
      </c>
      <c r="C42" s="376" t="s">
        <v>345</v>
      </c>
      <c r="D42" s="376" t="s">
        <v>164</v>
      </c>
      <c r="E42" s="376" t="s">
        <v>165</v>
      </c>
      <c r="F42" s="377" t="s">
        <v>166</v>
      </c>
      <c r="G42" s="376" t="s">
        <v>167</v>
      </c>
      <c r="H42" s="378"/>
      <c r="I42" s="378"/>
      <c r="J42" s="376" t="s">
        <v>168</v>
      </c>
      <c r="K42" s="376" t="s">
        <v>169</v>
      </c>
      <c r="L42" s="376" t="s">
        <v>170</v>
      </c>
      <c r="M42" s="376" t="s">
        <v>171</v>
      </c>
      <c r="N42" s="376" t="s">
        <v>172</v>
      </c>
      <c r="O42" s="379">
        <v>1</v>
      </c>
      <c r="P42" s="384">
        <v>1</v>
      </c>
      <c r="Q42" s="384">
        <v>1</v>
      </c>
      <c r="R42" s="380">
        <v>52</v>
      </c>
      <c r="S42" s="384">
        <v>0.65</v>
      </c>
      <c r="T42" s="380">
        <v>31171.93</v>
      </c>
      <c r="U42" s="380">
        <v>383.18</v>
      </c>
      <c r="V42" s="380">
        <v>18987.91</v>
      </c>
      <c r="W42" s="380">
        <v>27891.759999999998</v>
      </c>
      <c r="X42" s="380">
        <v>18448.57</v>
      </c>
      <c r="Y42" s="380">
        <v>27891.759999999998</v>
      </c>
      <c r="Z42" s="380">
        <v>18342.599999999999</v>
      </c>
      <c r="AA42" s="376" t="s">
        <v>346</v>
      </c>
      <c r="AB42" s="376" t="s">
        <v>347</v>
      </c>
      <c r="AC42" s="376" t="s">
        <v>206</v>
      </c>
      <c r="AD42" s="376" t="s">
        <v>348</v>
      </c>
      <c r="AE42" s="376" t="s">
        <v>169</v>
      </c>
      <c r="AF42" s="376" t="s">
        <v>177</v>
      </c>
      <c r="AG42" s="376" t="s">
        <v>178</v>
      </c>
      <c r="AH42" s="381">
        <v>20.63</v>
      </c>
      <c r="AI42" s="379">
        <v>43467</v>
      </c>
      <c r="AJ42" s="376" t="s">
        <v>349</v>
      </c>
      <c r="AK42" s="376" t="s">
        <v>180</v>
      </c>
      <c r="AL42" s="376" t="s">
        <v>181</v>
      </c>
      <c r="AM42" s="376" t="s">
        <v>182</v>
      </c>
      <c r="AN42" s="376" t="s">
        <v>70</v>
      </c>
      <c r="AO42" s="379">
        <v>52</v>
      </c>
      <c r="AP42" s="384">
        <v>1</v>
      </c>
      <c r="AQ42" s="384">
        <v>0.65</v>
      </c>
      <c r="AR42" s="382" t="s">
        <v>183</v>
      </c>
      <c r="AS42" s="386">
        <f t="shared" si="27"/>
        <v>0.65</v>
      </c>
      <c r="AT42">
        <f t="shared" si="28"/>
        <v>1</v>
      </c>
      <c r="AU42" s="386">
        <f>IF(AT42=0,"",IF(AND(AT42=1,M42="F",SUMIF(C2:C48,C42,AS2:AS48)&lt;=1),SUMIF(C2:C48,C42,AS2:AS48),IF(AND(AT42=1,M42="F",SUMIF(C2:C48,C42,AS2:AS48)&gt;1),1,"")))</f>
        <v>0.65</v>
      </c>
      <c r="AV42" s="386" t="str">
        <f>IF(AT42=0,"",IF(AND(AT42=3,M42="F",SUMIF(C2:C48,C42,AS2:AS48)&lt;=1),SUMIF(C2:C48,C42,AS2:AS48),IF(AND(AT42=3,M42="F",SUMIF(C2:C48,C42,AS2:AS48)&gt;1),1,"")))</f>
        <v/>
      </c>
      <c r="AW42" s="386">
        <f>SUMIF(C2:C48,C42,O2:O48)</f>
        <v>1</v>
      </c>
      <c r="AX42" s="386">
        <f>IF(AND(M42="F",AS42&lt;&gt;0),SUMIF(C2:C48,C42,W2:W48),0)</f>
        <v>27891.759999999998</v>
      </c>
      <c r="AY42" s="386">
        <f t="shared" si="29"/>
        <v>27891.759999999998</v>
      </c>
      <c r="AZ42" s="386" t="str">
        <f t="shared" si="30"/>
        <v/>
      </c>
      <c r="BA42" s="386">
        <f t="shared" si="31"/>
        <v>0</v>
      </c>
      <c r="BB42" s="386">
        <f t="shared" si="0"/>
        <v>9320</v>
      </c>
      <c r="BC42" s="386">
        <f t="shared" si="1"/>
        <v>0</v>
      </c>
      <c r="BD42" s="386">
        <f t="shared" si="2"/>
        <v>1729.2891199999999</v>
      </c>
      <c r="BE42" s="386">
        <f t="shared" si="3"/>
        <v>404.43052</v>
      </c>
      <c r="BF42" s="386">
        <f t="shared" si="4"/>
        <v>3425.1081279999999</v>
      </c>
      <c r="BG42" s="386">
        <f t="shared" si="5"/>
        <v>201.0995896</v>
      </c>
      <c r="BH42" s="386">
        <f t="shared" si="6"/>
        <v>136.669624</v>
      </c>
      <c r="BI42" s="386">
        <f t="shared" si="7"/>
        <v>154.38089159999998</v>
      </c>
      <c r="BJ42" s="386">
        <f t="shared" si="8"/>
        <v>747.49916799999994</v>
      </c>
      <c r="BK42" s="386">
        <f t="shared" si="9"/>
        <v>0</v>
      </c>
      <c r="BL42" s="386">
        <f t="shared" si="32"/>
        <v>6798.4770411999998</v>
      </c>
      <c r="BM42" s="386">
        <f t="shared" si="33"/>
        <v>0</v>
      </c>
      <c r="BN42" s="386">
        <f t="shared" si="10"/>
        <v>9320</v>
      </c>
      <c r="BO42" s="386">
        <f t="shared" si="11"/>
        <v>0</v>
      </c>
      <c r="BP42" s="386">
        <f t="shared" si="12"/>
        <v>1729.2891199999999</v>
      </c>
      <c r="BQ42" s="386">
        <f t="shared" si="13"/>
        <v>404.43052</v>
      </c>
      <c r="BR42" s="386">
        <f t="shared" si="14"/>
        <v>3425.1081279999999</v>
      </c>
      <c r="BS42" s="386">
        <f t="shared" si="15"/>
        <v>201.0995896</v>
      </c>
      <c r="BT42" s="386">
        <f t="shared" si="16"/>
        <v>0</v>
      </c>
      <c r="BU42" s="386">
        <f t="shared" si="17"/>
        <v>154.38089159999998</v>
      </c>
      <c r="BV42" s="386">
        <f t="shared" si="18"/>
        <v>778.18010400000003</v>
      </c>
      <c r="BW42" s="386">
        <f t="shared" si="19"/>
        <v>0</v>
      </c>
      <c r="BX42" s="386">
        <f t="shared" si="34"/>
        <v>6692.4883531999994</v>
      </c>
      <c r="BY42" s="386">
        <f t="shared" si="35"/>
        <v>0</v>
      </c>
      <c r="BZ42" s="386">
        <f t="shared" si="36"/>
        <v>0</v>
      </c>
      <c r="CA42" s="386">
        <f t="shared" si="37"/>
        <v>0</v>
      </c>
      <c r="CB42" s="386">
        <f t="shared" si="38"/>
        <v>0</v>
      </c>
      <c r="CC42" s="386">
        <f t="shared" si="20"/>
        <v>0</v>
      </c>
      <c r="CD42" s="386">
        <f t="shared" si="21"/>
        <v>0</v>
      </c>
      <c r="CE42" s="386">
        <f t="shared" si="22"/>
        <v>0</v>
      </c>
      <c r="CF42" s="386">
        <f t="shared" si="23"/>
        <v>-136.669624</v>
      </c>
      <c r="CG42" s="386">
        <f t="shared" si="24"/>
        <v>0</v>
      </c>
      <c r="CH42" s="386">
        <f t="shared" si="25"/>
        <v>30.680936000000006</v>
      </c>
      <c r="CI42" s="386">
        <f t="shared" si="26"/>
        <v>0</v>
      </c>
      <c r="CJ42" s="386">
        <f t="shared" si="39"/>
        <v>-105.988688</v>
      </c>
      <c r="CK42" s="386" t="str">
        <f t="shared" si="40"/>
        <v/>
      </c>
      <c r="CL42" s="386" t="str">
        <f t="shared" si="41"/>
        <v/>
      </c>
      <c r="CM42" s="386" t="str">
        <f t="shared" si="42"/>
        <v/>
      </c>
      <c r="CN42" s="386" t="str">
        <f t="shared" si="43"/>
        <v>0229-15</v>
      </c>
    </row>
    <row r="43" spans="1:92" ht="15.75" thickBot="1" x14ac:dyDescent="0.3">
      <c r="A43" s="376" t="s">
        <v>161</v>
      </c>
      <c r="B43" s="376" t="s">
        <v>162</v>
      </c>
      <c r="C43" s="376" t="s">
        <v>350</v>
      </c>
      <c r="D43" s="376" t="s">
        <v>351</v>
      </c>
      <c r="E43" s="376" t="s">
        <v>165</v>
      </c>
      <c r="F43" s="377" t="s">
        <v>166</v>
      </c>
      <c r="G43" s="376" t="s">
        <v>167</v>
      </c>
      <c r="H43" s="378"/>
      <c r="I43" s="378"/>
      <c r="J43" s="376" t="s">
        <v>168</v>
      </c>
      <c r="K43" s="376" t="s">
        <v>352</v>
      </c>
      <c r="L43" s="376" t="s">
        <v>197</v>
      </c>
      <c r="M43" s="376" t="s">
        <v>171</v>
      </c>
      <c r="N43" s="376" t="s">
        <v>172</v>
      </c>
      <c r="O43" s="379">
        <v>1</v>
      </c>
      <c r="P43" s="384">
        <v>1</v>
      </c>
      <c r="Q43" s="384">
        <v>1</v>
      </c>
      <c r="R43" s="380">
        <v>80</v>
      </c>
      <c r="S43" s="384">
        <v>1</v>
      </c>
      <c r="T43" s="380">
        <v>46118.25</v>
      </c>
      <c r="U43" s="380">
        <v>0</v>
      </c>
      <c r="V43" s="380">
        <v>17610.3</v>
      </c>
      <c r="W43" s="380">
        <v>46800</v>
      </c>
      <c r="X43" s="380">
        <v>22898.37</v>
      </c>
      <c r="Y43" s="380">
        <v>46800</v>
      </c>
      <c r="Z43" s="380">
        <v>22720.53</v>
      </c>
      <c r="AA43" s="376" t="s">
        <v>353</v>
      </c>
      <c r="AB43" s="376" t="s">
        <v>354</v>
      </c>
      <c r="AC43" s="376" t="s">
        <v>355</v>
      </c>
      <c r="AD43" s="376" t="s">
        <v>197</v>
      </c>
      <c r="AE43" s="376" t="s">
        <v>352</v>
      </c>
      <c r="AF43" s="376" t="s">
        <v>356</v>
      </c>
      <c r="AG43" s="376" t="s">
        <v>178</v>
      </c>
      <c r="AH43" s="381">
        <v>22.5</v>
      </c>
      <c r="AI43" s="381">
        <v>32428.6</v>
      </c>
      <c r="AJ43" s="376" t="s">
        <v>179</v>
      </c>
      <c r="AK43" s="376" t="s">
        <v>180</v>
      </c>
      <c r="AL43" s="376" t="s">
        <v>181</v>
      </c>
      <c r="AM43" s="376" t="s">
        <v>182</v>
      </c>
      <c r="AN43" s="376" t="s">
        <v>68</v>
      </c>
      <c r="AO43" s="379">
        <v>80</v>
      </c>
      <c r="AP43" s="384">
        <v>1</v>
      </c>
      <c r="AQ43" s="384">
        <v>1</v>
      </c>
      <c r="AR43" s="382" t="s">
        <v>183</v>
      </c>
      <c r="AS43" s="386">
        <f t="shared" si="27"/>
        <v>1</v>
      </c>
      <c r="AT43">
        <f t="shared" si="28"/>
        <v>1</v>
      </c>
      <c r="AU43" s="386">
        <f>IF(AT43=0,"",IF(AND(AT43=1,M43="F",SUMIF(C2:C48,C43,AS2:AS48)&lt;=1),SUMIF(C2:C48,C43,AS2:AS48),IF(AND(AT43=1,M43="F",SUMIF(C2:C48,C43,AS2:AS48)&gt;1),1,"")))</f>
        <v>1</v>
      </c>
      <c r="AV43" s="386" t="str">
        <f>IF(AT43=0,"",IF(AND(AT43=3,M43="F",SUMIF(C2:C48,C43,AS2:AS48)&lt;=1),SUMIF(C2:C48,C43,AS2:AS48),IF(AND(AT43=3,M43="F",SUMIF(C2:C48,C43,AS2:AS48)&gt;1),1,"")))</f>
        <v/>
      </c>
      <c r="AW43" s="386">
        <f>SUMIF(C2:C48,C43,O2:O48)</f>
        <v>1</v>
      </c>
      <c r="AX43" s="386">
        <f>IF(AND(M43="F",AS43&lt;&gt;0),SUMIF(C2:C48,C43,W2:W48),0)</f>
        <v>46800</v>
      </c>
      <c r="AY43" s="386">
        <f t="shared" si="29"/>
        <v>46800</v>
      </c>
      <c r="AZ43" s="386" t="str">
        <f t="shared" si="30"/>
        <v/>
      </c>
      <c r="BA43" s="386">
        <f t="shared" si="31"/>
        <v>0</v>
      </c>
      <c r="BB43" s="386">
        <f t="shared" si="0"/>
        <v>11650</v>
      </c>
      <c r="BC43" s="386">
        <f t="shared" si="1"/>
        <v>0</v>
      </c>
      <c r="BD43" s="386">
        <f t="shared" si="2"/>
        <v>2901.6</v>
      </c>
      <c r="BE43" s="386">
        <f t="shared" si="3"/>
        <v>678.6</v>
      </c>
      <c r="BF43" s="386">
        <f t="shared" si="4"/>
        <v>5587.92</v>
      </c>
      <c r="BG43" s="386">
        <f t="shared" si="5"/>
        <v>337.428</v>
      </c>
      <c r="BH43" s="386">
        <f t="shared" si="6"/>
        <v>229.32</v>
      </c>
      <c r="BI43" s="386">
        <f t="shared" si="7"/>
        <v>259.03800000000001</v>
      </c>
      <c r="BJ43" s="386">
        <f t="shared" si="8"/>
        <v>1254.24</v>
      </c>
      <c r="BK43" s="386">
        <f t="shared" si="9"/>
        <v>0</v>
      </c>
      <c r="BL43" s="386">
        <f t="shared" si="32"/>
        <v>11248.145999999999</v>
      </c>
      <c r="BM43" s="386">
        <f t="shared" si="33"/>
        <v>0</v>
      </c>
      <c r="BN43" s="386">
        <f t="shared" si="10"/>
        <v>11650</v>
      </c>
      <c r="BO43" s="386">
        <f t="shared" si="11"/>
        <v>0</v>
      </c>
      <c r="BP43" s="386">
        <f t="shared" si="12"/>
        <v>2901.6</v>
      </c>
      <c r="BQ43" s="386">
        <f t="shared" si="13"/>
        <v>678.6</v>
      </c>
      <c r="BR43" s="386">
        <f t="shared" si="14"/>
        <v>5587.92</v>
      </c>
      <c r="BS43" s="386">
        <f t="shared" si="15"/>
        <v>337.428</v>
      </c>
      <c r="BT43" s="386">
        <f t="shared" si="16"/>
        <v>0</v>
      </c>
      <c r="BU43" s="386">
        <f t="shared" si="17"/>
        <v>259.03800000000001</v>
      </c>
      <c r="BV43" s="386">
        <f t="shared" si="18"/>
        <v>1305.72</v>
      </c>
      <c r="BW43" s="386">
        <f t="shared" si="19"/>
        <v>0</v>
      </c>
      <c r="BX43" s="386">
        <f t="shared" si="34"/>
        <v>11070.305999999999</v>
      </c>
      <c r="BY43" s="386">
        <f t="shared" si="35"/>
        <v>0</v>
      </c>
      <c r="BZ43" s="386">
        <f t="shared" si="36"/>
        <v>0</v>
      </c>
      <c r="CA43" s="386">
        <f t="shared" si="37"/>
        <v>0</v>
      </c>
      <c r="CB43" s="386">
        <f t="shared" si="38"/>
        <v>0</v>
      </c>
      <c r="CC43" s="386">
        <f t="shared" si="20"/>
        <v>0</v>
      </c>
      <c r="CD43" s="386">
        <f t="shared" si="21"/>
        <v>0</v>
      </c>
      <c r="CE43" s="386">
        <f t="shared" si="22"/>
        <v>0</v>
      </c>
      <c r="CF43" s="386">
        <f t="shared" si="23"/>
        <v>-229.32</v>
      </c>
      <c r="CG43" s="386">
        <f t="shared" si="24"/>
        <v>0</v>
      </c>
      <c r="CH43" s="386">
        <f t="shared" si="25"/>
        <v>51.480000000000011</v>
      </c>
      <c r="CI43" s="386">
        <f t="shared" si="26"/>
        <v>0</v>
      </c>
      <c r="CJ43" s="386">
        <f t="shared" si="39"/>
        <v>-177.83999999999997</v>
      </c>
      <c r="CK43" s="386" t="str">
        <f t="shared" si="40"/>
        <v/>
      </c>
      <c r="CL43" s="386" t="str">
        <f t="shared" si="41"/>
        <v/>
      </c>
      <c r="CM43" s="386" t="str">
        <f t="shared" si="42"/>
        <v/>
      </c>
      <c r="CN43" s="386" t="str">
        <f t="shared" si="43"/>
        <v>0229-15</v>
      </c>
    </row>
    <row r="44" spans="1:92" ht="15.75" thickBot="1" x14ac:dyDescent="0.3">
      <c r="A44" s="376" t="s">
        <v>161</v>
      </c>
      <c r="B44" s="376" t="s">
        <v>162</v>
      </c>
      <c r="C44" s="376" t="s">
        <v>357</v>
      </c>
      <c r="D44" s="376" t="s">
        <v>164</v>
      </c>
      <c r="E44" s="376" t="s">
        <v>165</v>
      </c>
      <c r="F44" s="377" t="s">
        <v>166</v>
      </c>
      <c r="G44" s="376" t="s">
        <v>167</v>
      </c>
      <c r="H44" s="378"/>
      <c r="I44" s="378"/>
      <c r="J44" s="376" t="s">
        <v>168</v>
      </c>
      <c r="K44" s="376" t="s">
        <v>169</v>
      </c>
      <c r="L44" s="376" t="s">
        <v>170</v>
      </c>
      <c r="M44" s="376" t="s">
        <v>171</v>
      </c>
      <c r="N44" s="376" t="s">
        <v>172</v>
      </c>
      <c r="O44" s="379">
        <v>1</v>
      </c>
      <c r="P44" s="384">
        <v>1</v>
      </c>
      <c r="Q44" s="384">
        <v>1</v>
      </c>
      <c r="R44" s="380">
        <v>52</v>
      </c>
      <c r="S44" s="384">
        <v>0.65</v>
      </c>
      <c r="T44" s="380">
        <v>25397.68</v>
      </c>
      <c r="U44" s="380">
        <v>328.38</v>
      </c>
      <c r="V44" s="380">
        <v>15495.11</v>
      </c>
      <c r="W44" s="380">
        <v>23903.360000000001</v>
      </c>
      <c r="X44" s="380">
        <v>17476.41</v>
      </c>
      <c r="Y44" s="380">
        <v>23903.360000000001</v>
      </c>
      <c r="Z44" s="380">
        <v>17385.580000000002</v>
      </c>
      <c r="AA44" s="376" t="s">
        <v>358</v>
      </c>
      <c r="AB44" s="376" t="s">
        <v>359</v>
      </c>
      <c r="AC44" s="376" t="s">
        <v>360</v>
      </c>
      <c r="AD44" s="376" t="s">
        <v>197</v>
      </c>
      <c r="AE44" s="376" t="s">
        <v>169</v>
      </c>
      <c r="AF44" s="376" t="s">
        <v>177</v>
      </c>
      <c r="AG44" s="376" t="s">
        <v>178</v>
      </c>
      <c r="AH44" s="381">
        <v>17.68</v>
      </c>
      <c r="AI44" s="381">
        <v>15510.1</v>
      </c>
      <c r="AJ44" s="376" t="s">
        <v>349</v>
      </c>
      <c r="AK44" s="376" t="s">
        <v>180</v>
      </c>
      <c r="AL44" s="376" t="s">
        <v>181</v>
      </c>
      <c r="AM44" s="376" t="s">
        <v>182</v>
      </c>
      <c r="AN44" s="376" t="s">
        <v>70</v>
      </c>
      <c r="AO44" s="379">
        <v>52</v>
      </c>
      <c r="AP44" s="384">
        <v>1</v>
      </c>
      <c r="AQ44" s="384">
        <v>0.65</v>
      </c>
      <c r="AR44" s="382" t="s">
        <v>183</v>
      </c>
      <c r="AS44" s="386">
        <f t="shared" si="27"/>
        <v>0.65</v>
      </c>
      <c r="AT44">
        <f t="shared" si="28"/>
        <v>1</v>
      </c>
      <c r="AU44" s="386">
        <f>IF(AT44=0,"",IF(AND(AT44=1,M44="F",SUMIF(C2:C48,C44,AS2:AS48)&lt;=1),SUMIF(C2:C48,C44,AS2:AS48),IF(AND(AT44=1,M44="F",SUMIF(C2:C48,C44,AS2:AS48)&gt;1),1,"")))</f>
        <v>0.65</v>
      </c>
      <c r="AV44" s="386" t="str">
        <f>IF(AT44=0,"",IF(AND(AT44=3,M44="F",SUMIF(C2:C48,C44,AS2:AS48)&lt;=1),SUMIF(C2:C48,C44,AS2:AS48),IF(AND(AT44=3,M44="F",SUMIF(C2:C48,C44,AS2:AS48)&gt;1),1,"")))</f>
        <v/>
      </c>
      <c r="AW44" s="386">
        <f>SUMIF(C2:C48,C44,O2:O48)</f>
        <v>1</v>
      </c>
      <c r="AX44" s="386">
        <f>IF(AND(M44="F",AS44&lt;&gt;0),SUMIF(C2:C48,C44,W2:W48),0)</f>
        <v>23903.360000000001</v>
      </c>
      <c r="AY44" s="386">
        <f t="shared" si="29"/>
        <v>23903.360000000001</v>
      </c>
      <c r="AZ44" s="386" t="str">
        <f t="shared" si="30"/>
        <v/>
      </c>
      <c r="BA44" s="386">
        <f t="shared" si="31"/>
        <v>0</v>
      </c>
      <c r="BB44" s="386">
        <f t="shared" si="0"/>
        <v>9320</v>
      </c>
      <c r="BC44" s="386">
        <f t="shared" si="1"/>
        <v>0</v>
      </c>
      <c r="BD44" s="386">
        <f t="shared" si="2"/>
        <v>1482.0083199999999</v>
      </c>
      <c r="BE44" s="386">
        <f t="shared" si="3"/>
        <v>346.59872000000001</v>
      </c>
      <c r="BF44" s="386">
        <f t="shared" si="4"/>
        <v>2935.3326080000002</v>
      </c>
      <c r="BG44" s="386">
        <f t="shared" si="5"/>
        <v>172.34322560000001</v>
      </c>
      <c r="BH44" s="386">
        <f t="shared" si="6"/>
        <v>117.126464</v>
      </c>
      <c r="BI44" s="386">
        <f t="shared" si="7"/>
        <v>132.30509760000001</v>
      </c>
      <c r="BJ44" s="386">
        <f t="shared" si="8"/>
        <v>640.61004800000001</v>
      </c>
      <c r="BK44" s="386">
        <f t="shared" si="9"/>
        <v>0</v>
      </c>
      <c r="BL44" s="386">
        <f t="shared" si="32"/>
        <v>5826.3244832</v>
      </c>
      <c r="BM44" s="386">
        <f t="shared" si="33"/>
        <v>0</v>
      </c>
      <c r="BN44" s="386">
        <f t="shared" si="10"/>
        <v>9320</v>
      </c>
      <c r="BO44" s="386">
        <f t="shared" si="11"/>
        <v>0</v>
      </c>
      <c r="BP44" s="386">
        <f t="shared" si="12"/>
        <v>1482.0083199999999</v>
      </c>
      <c r="BQ44" s="386">
        <f t="shared" si="13"/>
        <v>346.59872000000001</v>
      </c>
      <c r="BR44" s="386">
        <f t="shared" si="14"/>
        <v>2935.3326080000002</v>
      </c>
      <c r="BS44" s="386">
        <f t="shared" si="15"/>
        <v>172.34322560000001</v>
      </c>
      <c r="BT44" s="386">
        <f t="shared" si="16"/>
        <v>0</v>
      </c>
      <c r="BU44" s="386">
        <f t="shared" si="17"/>
        <v>132.30509760000001</v>
      </c>
      <c r="BV44" s="386">
        <f t="shared" si="18"/>
        <v>666.90374400000007</v>
      </c>
      <c r="BW44" s="386">
        <f t="shared" si="19"/>
        <v>0</v>
      </c>
      <c r="BX44" s="386">
        <f t="shared" si="34"/>
        <v>5735.4917151999998</v>
      </c>
      <c r="BY44" s="386">
        <f t="shared" si="35"/>
        <v>0</v>
      </c>
      <c r="BZ44" s="386">
        <f t="shared" si="36"/>
        <v>0</v>
      </c>
      <c r="CA44" s="386">
        <f t="shared" si="37"/>
        <v>0</v>
      </c>
      <c r="CB44" s="386">
        <f t="shared" si="38"/>
        <v>0</v>
      </c>
      <c r="CC44" s="386">
        <f t="shared" si="20"/>
        <v>0</v>
      </c>
      <c r="CD44" s="386">
        <f t="shared" si="21"/>
        <v>0</v>
      </c>
      <c r="CE44" s="386">
        <f t="shared" si="22"/>
        <v>0</v>
      </c>
      <c r="CF44" s="386">
        <f t="shared" si="23"/>
        <v>-117.126464</v>
      </c>
      <c r="CG44" s="386">
        <f t="shared" si="24"/>
        <v>0</v>
      </c>
      <c r="CH44" s="386">
        <f t="shared" si="25"/>
        <v>26.293696000000008</v>
      </c>
      <c r="CI44" s="386">
        <f t="shared" si="26"/>
        <v>0</v>
      </c>
      <c r="CJ44" s="386">
        <f t="shared" si="39"/>
        <v>-90.832767999999987</v>
      </c>
      <c r="CK44" s="386" t="str">
        <f t="shared" si="40"/>
        <v/>
      </c>
      <c r="CL44" s="386" t="str">
        <f t="shared" si="41"/>
        <v/>
      </c>
      <c r="CM44" s="386" t="str">
        <f t="shared" si="42"/>
        <v/>
      </c>
      <c r="CN44" s="386" t="str">
        <f t="shared" si="43"/>
        <v>0229-15</v>
      </c>
    </row>
    <row r="45" spans="1:92" ht="15.75" thickBot="1" x14ac:dyDescent="0.3">
      <c r="A45" s="376" t="s">
        <v>161</v>
      </c>
      <c r="B45" s="376" t="s">
        <v>162</v>
      </c>
      <c r="C45" s="376" t="s">
        <v>361</v>
      </c>
      <c r="D45" s="376" t="s">
        <v>362</v>
      </c>
      <c r="E45" s="376" t="s">
        <v>165</v>
      </c>
      <c r="F45" s="377" t="s">
        <v>166</v>
      </c>
      <c r="G45" s="376" t="s">
        <v>167</v>
      </c>
      <c r="H45" s="378"/>
      <c r="I45" s="378"/>
      <c r="J45" s="376" t="s">
        <v>168</v>
      </c>
      <c r="K45" s="376" t="s">
        <v>363</v>
      </c>
      <c r="L45" s="376" t="s">
        <v>201</v>
      </c>
      <c r="M45" s="376" t="s">
        <v>171</v>
      </c>
      <c r="N45" s="376" t="s">
        <v>202</v>
      </c>
      <c r="O45" s="379">
        <v>1</v>
      </c>
      <c r="P45" s="384">
        <v>1</v>
      </c>
      <c r="Q45" s="384">
        <v>1</v>
      </c>
      <c r="R45" s="380">
        <v>80</v>
      </c>
      <c r="S45" s="384">
        <v>1</v>
      </c>
      <c r="T45" s="380">
        <v>69264</v>
      </c>
      <c r="U45" s="380">
        <v>0</v>
      </c>
      <c r="V45" s="380">
        <v>26541.52</v>
      </c>
      <c r="W45" s="380">
        <v>72737.600000000006</v>
      </c>
      <c r="X45" s="380">
        <v>28976.79</v>
      </c>
      <c r="Y45" s="380">
        <v>72737.600000000006</v>
      </c>
      <c r="Z45" s="380">
        <v>28700.39</v>
      </c>
      <c r="AA45" s="376" t="s">
        <v>364</v>
      </c>
      <c r="AB45" s="376" t="s">
        <v>365</v>
      </c>
      <c r="AC45" s="376" t="s">
        <v>222</v>
      </c>
      <c r="AD45" s="376" t="s">
        <v>188</v>
      </c>
      <c r="AE45" s="376" t="s">
        <v>363</v>
      </c>
      <c r="AF45" s="376" t="s">
        <v>207</v>
      </c>
      <c r="AG45" s="376" t="s">
        <v>178</v>
      </c>
      <c r="AH45" s="381">
        <v>34.97</v>
      </c>
      <c r="AI45" s="381">
        <v>30456.3</v>
      </c>
      <c r="AJ45" s="376" t="s">
        <v>179</v>
      </c>
      <c r="AK45" s="376" t="s">
        <v>180</v>
      </c>
      <c r="AL45" s="376" t="s">
        <v>181</v>
      </c>
      <c r="AM45" s="376" t="s">
        <v>182</v>
      </c>
      <c r="AN45" s="376" t="s">
        <v>70</v>
      </c>
      <c r="AO45" s="379">
        <v>80</v>
      </c>
      <c r="AP45" s="384">
        <v>1</v>
      </c>
      <c r="AQ45" s="384">
        <v>1</v>
      </c>
      <c r="AR45" s="382" t="s">
        <v>183</v>
      </c>
      <c r="AS45" s="386">
        <f t="shared" si="27"/>
        <v>1</v>
      </c>
      <c r="AT45">
        <f t="shared" si="28"/>
        <v>1</v>
      </c>
      <c r="AU45" s="386">
        <f>IF(AT45=0,"",IF(AND(AT45=1,M45="F",SUMIF(C2:C48,C45,AS2:AS48)&lt;=1),SUMIF(C2:C48,C45,AS2:AS48),IF(AND(AT45=1,M45="F",SUMIF(C2:C48,C45,AS2:AS48)&gt;1),1,"")))</f>
        <v>1</v>
      </c>
      <c r="AV45" s="386" t="str">
        <f>IF(AT45=0,"",IF(AND(AT45=3,M45="F",SUMIF(C2:C48,C45,AS2:AS48)&lt;=1),SUMIF(C2:C48,C45,AS2:AS48),IF(AND(AT45=3,M45="F",SUMIF(C2:C48,C45,AS2:AS48)&gt;1),1,"")))</f>
        <v/>
      </c>
      <c r="AW45" s="386">
        <f>SUMIF(C2:C48,C45,O2:O48)</f>
        <v>1</v>
      </c>
      <c r="AX45" s="386">
        <f>IF(AND(M45="F",AS45&lt;&gt;0),SUMIF(C2:C48,C45,W2:W48),0)</f>
        <v>72737.600000000006</v>
      </c>
      <c r="AY45" s="386">
        <f t="shared" si="29"/>
        <v>72737.600000000006</v>
      </c>
      <c r="AZ45" s="386" t="str">
        <f t="shared" si="30"/>
        <v/>
      </c>
      <c r="BA45" s="386">
        <f t="shared" si="31"/>
        <v>0</v>
      </c>
      <c r="BB45" s="386">
        <f t="shared" si="0"/>
        <v>11650</v>
      </c>
      <c r="BC45" s="386">
        <f t="shared" si="1"/>
        <v>0</v>
      </c>
      <c r="BD45" s="386">
        <f t="shared" si="2"/>
        <v>4509.7312000000002</v>
      </c>
      <c r="BE45" s="386">
        <f t="shared" si="3"/>
        <v>1054.6952000000001</v>
      </c>
      <c r="BF45" s="386">
        <f t="shared" si="4"/>
        <v>8932.1772800000017</v>
      </c>
      <c r="BG45" s="386">
        <f t="shared" si="5"/>
        <v>524.43809600000009</v>
      </c>
      <c r="BH45" s="386">
        <f t="shared" si="6"/>
        <v>356.41424000000001</v>
      </c>
      <c r="BI45" s="386">
        <f t="shared" si="7"/>
        <v>0</v>
      </c>
      <c r="BJ45" s="386">
        <f t="shared" si="8"/>
        <v>1949.3676800000003</v>
      </c>
      <c r="BK45" s="386">
        <f t="shared" si="9"/>
        <v>0</v>
      </c>
      <c r="BL45" s="386">
        <f t="shared" si="32"/>
        <v>17326.823696000003</v>
      </c>
      <c r="BM45" s="386">
        <f t="shared" si="33"/>
        <v>0</v>
      </c>
      <c r="BN45" s="386">
        <f t="shared" si="10"/>
        <v>11650</v>
      </c>
      <c r="BO45" s="386">
        <f t="shared" si="11"/>
        <v>0</v>
      </c>
      <c r="BP45" s="386">
        <f t="shared" si="12"/>
        <v>4509.7312000000002</v>
      </c>
      <c r="BQ45" s="386">
        <f t="shared" si="13"/>
        <v>1054.6952000000001</v>
      </c>
      <c r="BR45" s="386">
        <f t="shared" si="14"/>
        <v>8932.1772800000017</v>
      </c>
      <c r="BS45" s="386">
        <f t="shared" si="15"/>
        <v>524.43809600000009</v>
      </c>
      <c r="BT45" s="386">
        <f t="shared" si="16"/>
        <v>0</v>
      </c>
      <c r="BU45" s="386">
        <f t="shared" si="17"/>
        <v>0</v>
      </c>
      <c r="BV45" s="386">
        <f t="shared" si="18"/>
        <v>2029.3790400000003</v>
      </c>
      <c r="BW45" s="386">
        <f t="shared" si="19"/>
        <v>0</v>
      </c>
      <c r="BX45" s="386">
        <f t="shared" si="34"/>
        <v>17050.420816000002</v>
      </c>
      <c r="BY45" s="386">
        <f t="shared" si="35"/>
        <v>0</v>
      </c>
      <c r="BZ45" s="386">
        <f t="shared" si="36"/>
        <v>0</v>
      </c>
      <c r="CA45" s="386">
        <f t="shared" si="37"/>
        <v>0</v>
      </c>
      <c r="CB45" s="386">
        <f t="shared" si="38"/>
        <v>0</v>
      </c>
      <c r="CC45" s="386">
        <f t="shared" si="20"/>
        <v>0</v>
      </c>
      <c r="CD45" s="386">
        <f t="shared" si="21"/>
        <v>0</v>
      </c>
      <c r="CE45" s="386">
        <f t="shared" si="22"/>
        <v>0</v>
      </c>
      <c r="CF45" s="386">
        <f t="shared" si="23"/>
        <v>-356.41424000000001</v>
      </c>
      <c r="CG45" s="386">
        <f t="shared" si="24"/>
        <v>0</v>
      </c>
      <c r="CH45" s="386">
        <f t="shared" si="25"/>
        <v>80.011360000000025</v>
      </c>
      <c r="CI45" s="386">
        <f t="shared" si="26"/>
        <v>0</v>
      </c>
      <c r="CJ45" s="386">
        <f t="shared" si="39"/>
        <v>-276.40287999999998</v>
      </c>
      <c r="CK45" s="386" t="str">
        <f t="shared" si="40"/>
        <v/>
      </c>
      <c r="CL45" s="386" t="str">
        <f t="shared" si="41"/>
        <v/>
      </c>
      <c r="CM45" s="386" t="str">
        <f t="shared" si="42"/>
        <v/>
      </c>
      <c r="CN45" s="386" t="str">
        <f t="shared" si="43"/>
        <v>0229-15</v>
      </c>
    </row>
    <row r="46" spans="1:92" ht="15.75" thickBot="1" x14ac:dyDescent="0.3">
      <c r="A46" s="376" t="s">
        <v>161</v>
      </c>
      <c r="B46" s="376" t="s">
        <v>162</v>
      </c>
      <c r="C46" s="376" t="s">
        <v>366</v>
      </c>
      <c r="D46" s="376" t="s">
        <v>164</v>
      </c>
      <c r="E46" s="376" t="s">
        <v>165</v>
      </c>
      <c r="F46" s="377" t="s">
        <v>166</v>
      </c>
      <c r="G46" s="376" t="s">
        <v>167</v>
      </c>
      <c r="H46" s="378"/>
      <c r="I46" s="378"/>
      <c r="J46" s="376" t="s">
        <v>168</v>
      </c>
      <c r="K46" s="376" t="s">
        <v>169</v>
      </c>
      <c r="L46" s="376" t="s">
        <v>170</v>
      </c>
      <c r="M46" s="376" t="s">
        <v>171</v>
      </c>
      <c r="N46" s="376" t="s">
        <v>172</v>
      </c>
      <c r="O46" s="379">
        <v>1</v>
      </c>
      <c r="P46" s="384">
        <v>1</v>
      </c>
      <c r="Q46" s="384">
        <v>1</v>
      </c>
      <c r="R46" s="380">
        <v>60</v>
      </c>
      <c r="S46" s="384">
        <v>0.75</v>
      </c>
      <c r="T46" s="380">
        <v>33955.35</v>
      </c>
      <c r="U46" s="380">
        <v>777.27</v>
      </c>
      <c r="V46" s="380">
        <v>19943.939999999999</v>
      </c>
      <c r="W46" s="380">
        <v>32650.799999999999</v>
      </c>
      <c r="X46" s="380">
        <v>19608.59</v>
      </c>
      <c r="Y46" s="380">
        <v>32650.799999999999</v>
      </c>
      <c r="Z46" s="380">
        <v>19484.52</v>
      </c>
      <c r="AA46" s="376" t="s">
        <v>367</v>
      </c>
      <c r="AB46" s="376" t="s">
        <v>368</v>
      </c>
      <c r="AC46" s="376" t="s">
        <v>369</v>
      </c>
      <c r="AD46" s="376" t="s">
        <v>206</v>
      </c>
      <c r="AE46" s="376" t="s">
        <v>169</v>
      </c>
      <c r="AF46" s="376" t="s">
        <v>177</v>
      </c>
      <c r="AG46" s="376" t="s">
        <v>178</v>
      </c>
      <c r="AH46" s="381">
        <v>20.93</v>
      </c>
      <c r="AI46" s="379">
        <v>30391</v>
      </c>
      <c r="AJ46" s="376" t="s">
        <v>349</v>
      </c>
      <c r="AK46" s="376" t="s">
        <v>180</v>
      </c>
      <c r="AL46" s="376" t="s">
        <v>181</v>
      </c>
      <c r="AM46" s="376" t="s">
        <v>182</v>
      </c>
      <c r="AN46" s="376" t="s">
        <v>70</v>
      </c>
      <c r="AO46" s="379">
        <v>60</v>
      </c>
      <c r="AP46" s="384">
        <v>1</v>
      </c>
      <c r="AQ46" s="384">
        <v>0.75</v>
      </c>
      <c r="AR46" s="382" t="s">
        <v>183</v>
      </c>
      <c r="AS46" s="386">
        <f t="shared" si="27"/>
        <v>0.75</v>
      </c>
      <c r="AT46">
        <f t="shared" si="28"/>
        <v>1</v>
      </c>
      <c r="AU46" s="386">
        <f>IF(AT46=0,"",IF(AND(AT46=1,M46="F",SUMIF(C2:C48,C46,AS2:AS48)&lt;=1),SUMIF(C2:C48,C46,AS2:AS48),IF(AND(AT46=1,M46="F",SUMIF(C2:C48,C46,AS2:AS48)&gt;1),1,"")))</f>
        <v>0.75</v>
      </c>
      <c r="AV46" s="386" t="str">
        <f>IF(AT46=0,"",IF(AND(AT46=3,M46="F",SUMIF(C2:C48,C46,AS2:AS48)&lt;=1),SUMIF(C2:C48,C46,AS2:AS48),IF(AND(AT46=3,M46="F",SUMIF(C2:C48,C46,AS2:AS48)&gt;1),1,"")))</f>
        <v/>
      </c>
      <c r="AW46" s="386">
        <f>SUMIF(C2:C48,C46,O2:O48)</f>
        <v>1</v>
      </c>
      <c r="AX46" s="386">
        <f>IF(AND(M46="F",AS46&lt;&gt;0),SUMIF(C2:C48,C46,W2:W48),0)</f>
        <v>32650.799999999999</v>
      </c>
      <c r="AY46" s="386">
        <f t="shared" si="29"/>
        <v>32650.799999999999</v>
      </c>
      <c r="AZ46" s="386" t="str">
        <f t="shared" si="30"/>
        <v/>
      </c>
      <c r="BA46" s="386">
        <f t="shared" si="31"/>
        <v>0</v>
      </c>
      <c r="BB46" s="386">
        <f t="shared" si="0"/>
        <v>11650</v>
      </c>
      <c r="BC46" s="386">
        <f t="shared" si="1"/>
        <v>0</v>
      </c>
      <c r="BD46" s="386">
        <f t="shared" si="2"/>
        <v>2024.3496</v>
      </c>
      <c r="BE46" s="386">
        <f t="shared" si="3"/>
        <v>473.4366</v>
      </c>
      <c r="BF46" s="386">
        <f t="shared" si="4"/>
        <v>4009.5182400000003</v>
      </c>
      <c r="BG46" s="386">
        <f t="shared" si="5"/>
        <v>235.41226800000001</v>
      </c>
      <c r="BH46" s="386">
        <f t="shared" si="6"/>
        <v>159.98891999999998</v>
      </c>
      <c r="BI46" s="386">
        <f t="shared" si="7"/>
        <v>180.72217799999999</v>
      </c>
      <c r="BJ46" s="386">
        <f t="shared" si="8"/>
        <v>875.04143999999997</v>
      </c>
      <c r="BK46" s="386">
        <f t="shared" si="9"/>
        <v>0</v>
      </c>
      <c r="BL46" s="386">
        <f t="shared" si="32"/>
        <v>7958.4692459999997</v>
      </c>
      <c r="BM46" s="386">
        <f t="shared" si="33"/>
        <v>0</v>
      </c>
      <c r="BN46" s="386">
        <f t="shared" si="10"/>
        <v>11650</v>
      </c>
      <c r="BO46" s="386">
        <f t="shared" si="11"/>
        <v>0</v>
      </c>
      <c r="BP46" s="386">
        <f t="shared" si="12"/>
        <v>2024.3496</v>
      </c>
      <c r="BQ46" s="386">
        <f t="shared" si="13"/>
        <v>473.4366</v>
      </c>
      <c r="BR46" s="386">
        <f t="shared" si="14"/>
        <v>4009.5182400000003</v>
      </c>
      <c r="BS46" s="386">
        <f t="shared" si="15"/>
        <v>235.41226800000001</v>
      </c>
      <c r="BT46" s="386">
        <f t="shared" si="16"/>
        <v>0</v>
      </c>
      <c r="BU46" s="386">
        <f t="shared" si="17"/>
        <v>180.72217799999999</v>
      </c>
      <c r="BV46" s="386">
        <f t="shared" si="18"/>
        <v>910.95731999999998</v>
      </c>
      <c r="BW46" s="386">
        <f t="shared" si="19"/>
        <v>0</v>
      </c>
      <c r="BX46" s="386">
        <f t="shared" si="34"/>
        <v>7834.3962059999994</v>
      </c>
      <c r="BY46" s="386">
        <f t="shared" si="35"/>
        <v>0</v>
      </c>
      <c r="BZ46" s="386">
        <f t="shared" si="36"/>
        <v>0</v>
      </c>
      <c r="CA46" s="386">
        <f t="shared" si="37"/>
        <v>0</v>
      </c>
      <c r="CB46" s="386">
        <f t="shared" si="38"/>
        <v>0</v>
      </c>
      <c r="CC46" s="386">
        <f t="shared" si="20"/>
        <v>0</v>
      </c>
      <c r="CD46" s="386">
        <f t="shared" si="21"/>
        <v>0</v>
      </c>
      <c r="CE46" s="386">
        <f t="shared" si="22"/>
        <v>0</v>
      </c>
      <c r="CF46" s="386">
        <f t="shared" si="23"/>
        <v>-159.98891999999998</v>
      </c>
      <c r="CG46" s="386">
        <f t="shared" si="24"/>
        <v>0</v>
      </c>
      <c r="CH46" s="386">
        <f t="shared" si="25"/>
        <v>35.915880000000008</v>
      </c>
      <c r="CI46" s="386">
        <f t="shared" si="26"/>
        <v>0</v>
      </c>
      <c r="CJ46" s="386">
        <f t="shared" si="39"/>
        <v>-124.07303999999996</v>
      </c>
      <c r="CK46" s="386" t="str">
        <f t="shared" si="40"/>
        <v/>
      </c>
      <c r="CL46" s="386" t="str">
        <f t="shared" si="41"/>
        <v/>
      </c>
      <c r="CM46" s="386" t="str">
        <f t="shared" si="42"/>
        <v/>
      </c>
      <c r="CN46" s="386" t="str">
        <f t="shared" si="43"/>
        <v>0229-15</v>
      </c>
    </row>
    <row r="47" spans="1:92" ht="15.75" thickBot="1" x14ac:dyDescent="0.3">
      <c r="A47" s="376" t="s">
        <v>161</v>
      </c>
      <c r="B47" s="376" t="s">
        <v>162</v>
      </c>
      <c r="C47" s="376" t="s">
        <v>370</v>
      </c>
      <c r="D47" s="376" t="s">
        <v>164</v>
      </c>
      <c r="E47" s="376" t="s">
        <v>165</v>
      </c>
      <c r="F47" s="377" t="s">
        <v>166</v>
      </c>
      <c r="G47" s="376" t="s">
        <v>167</v>
      </c>
      <c r="H47" s="378"/>
      <c r="I47" s="378"/>
      <c r="J47" s="376" t="s">
        <v>168</v>
      </c>
      <c r="K47" s="376" t="s">
        <v>169</v>
      </c>
      <c r="L47" s="376" t="s">
        <v>170</v>
      </c>
      <c r="M47" s="376" t="s">
        <v>171</v>
      </c>
      <c r="N47" s="376" t="s">
        <v>172</v>
      </c>
      <c r="O47" s="379">
        <v>1</v>
      </c>
      <c r="P47" s="384">
        <v>1</v>
      </c>
      <c r="Q47" s="384">
        <v>1</v>
      </c>
      <c r="R47" s="380">
        <v>80</v>
      </c>
      <c r="S47" s="384">
        <v>1</v>
      </c>
      <c r="T47" s="380">
        <v>32911.629999999997</v>
      </c>
      <c r="U47" s="380">
        <v>3573.53</v>
      </c>
      <c r="V47" s="380">
        <v>19992.11</v>
      </c>
      <c r="W47" s="380">
        <v>33571.199999999997</v>
      </c>
      <c r="X47" s="380">
        <v>19832.939999999999</v>
      </c>
      <c r="Y47" s="380">
        <v>33571.199999999997</v>
      </c>
      <c r="Z47" s="380">
        <v>19705.38</v>
      </c>
      <c r="AA47" s="376" t="s">
        <v>371</v>
      </c>
      <c r="AB47" s="376" t="s">
        <v>372</v>
      </c>
      <c r="AC47" s="376" t="s">
        <v>373</v>
      </c>
      <c r="AD47" s="376" t="s">
        <v>240</v>
      </c>
      <c r="AE47" s="376" t="s">
        <v>169</v>
      </c>
      <c r="AF47" s="376" t="s">
        <v>177</v>
      </c>
      <c r="AG47" s="376" t="s">
        <v>178</v>
      </c>
      <c r="AH47" s="381">
        <v>16.14</v>
      </c>
      <c r="AI47" s="379">
        <v>5508</v>
      </c>
      <c r="AJ47" s="376" t="s">
        <v>179</v>
      </c>
      <c r="AK47" s="376" t="s">
        <v>180</v>
      </c>
      <c r="AL47" s="376" t="s">
        <v>181</v>
      </c>
      <c r="AM47" s="376" t="s">
        <v>182</v>
      </c>
      <c r="AN47" s="376" t="s">
        <v>70</v>
      </c>
      <c r="AO47" s="379">
        <v>80</v>
      </c>
      <c r="AP47" s="384">
        <v>1</v>
      </c>
      <c r="AQ47" s="384">
        <v>1</v>
      </c>
      <c r="AR47" s="382" t="s">
        <v>183</v>
      </c>
      <c r="AS47" s="386">
        <f t="shared" si="27"/>
        <v>1</v>
      </c>
      <c r="AT47">
        <f t="shared" si="28"/>
        <v>1</v>
      </c>
      <c r="AU47" s="386">
        <f>IF(AT47=0,"",IF(AND(AT47=1,M47="F",SUMIF(C2:C48,C47,AS2:AS48)&lt;=1),SUMIF(C2:C48,C47,AS2:AS48),IF(AND(AT47=1,M47="F",SUMIF(C2:C48,C47,AS2:AS48)&gt;1),1,"")))</f>
        <v>1</v>
      </c>
      <c r="AV47" s="386" t="str">
        <f>IF(AT47=0,"",IF(AND(AT47=3,M47="F",SUMIF(C2:C48,C47,AS2:AS48)&lt;=1),SUMIF(C2:C48,C47,AS2:AS48),IF(AND(AT47=3,M47="F",SUMIF(C2:C48,C47,AS2:AS48)&gt;1),1,"")))</f>
        <v/>
      </c>
      <c r="AW47" s="386">
        <f>SUMIF(C2:C48,C47,O2:O48)</f>
        <v>1</v>
      </c>
      <c r="AX47" s="386">
        <f>IF(AND(M47="F",AS47&lt;&gt;0),SUMIF(C2:C48,C47,W2:W48),0)</f>
        <v>33571.199999999997</v>
      </c>
      <c r="AY47" s="386">
        <f t="shared" si="29"/>
        <v>33571.199999999997</v>
      </c>
      <c r="AZ47" s="386" t="str">
        <f t="shared" si="30"/>
        <v/>
      </c>
      <c r="BA47" s="386">
        <f t="shared" si="31"/>
        <v>0</v>
      </c>
      <c r="BB47" s="386">
        <f t="shared" si="0"/>
        <v>11650</v>
      </c>
      <c r="BC47" s="386">
        <f t="shared" si="1"/>
        <v>0</v>
      </c>
      <c r="BD47" s="386">
        <f t="shared" si="2"/>
        <v>2081.4143999999997</v>
      </c>
      <c r="BE47" s="386">
        <f t="shared" si="3"/>
        <v>486.7824</v>
      </c>
      <c r="BF47" s="386">
        <f t="shared" si="4"/>
        <v>4122.5433599999997</v>
      </c>
      <c r="BG47" s="386">
        <f t="shared" si="5"/>
        <v>242.04835199999999</v>
      </c>
      <c r="BH47" s="386">
        <f t="shared" si="6"/>
        <v>164.49887999999999</v>
      </c>
      <c r="BI47" s="386">
        <f t="shared" si="7"/>
        <v>185.81659199999999</v>
      </c>
      <c r="BJ47" s="386">
        <f t="shared" si="8"/>
        <v>899.70815999999991</v>
      </c>
      <c r="BK47" s="386">
        <f t="shared" si="9"/>
        <v>0</v>
      </c>
      <c r="BL47" s="386">
        <f t="shared" si="32"/>
        <v>8182.8121439999995</v>
      </c>
      <c r="BM47" s="386">
        <f t="shared" si="33"/>
        <v>0</v>
      </c>
      <c r="BN47" s="386">
        <f t="shared" si="10"/>
        <v>11650</v>
      </c>
      <c r="BO47" s="386">
        <f t="shared" si="11"/>
        <v>0</v>
      </c>
      <c r="BP47" s="386">
        <f t="shared" si="12"/>
        <v>2081.4143999999997</v>
      </c>
      <c r="BQ47" s="386">
        <f t="shared" si="13"/>
        <v>486.7824</v>
      </c>
      <c r="BR47" s="386">
        <f t="shared" si="14"/>
        <v>4122.5433599999997</v>
      </c>
      <c r="BS47" s="386">
        <f t="shared" si="15"/>
        <v>242.04835199999999</v>
      </c>
      <c r="BT47" s="386">
        <f t="shared" si="16"/>
        <v>0</v>
      </c>
      <c r="BU47" s="386">
        <f t="shared" si="17"/>
        <v>185.81659199999999</v>
      </c>
      <c r="BV47" s="386">
        <f t="shared" si="18"/>
        <v>936.63648000000001</v>
      </c>
      <c r="BW47" s="386">
        <f t="shared" si="19"/>
        <v>0</v>
      </c>
      <c r="BX47" s="386">
        <f t="shared" si="34"/>
        <v>8055.2415839999994</v>
      </c>
      <c r="BY47" s="386">
        <f t="shared" si="35"/>
        <v>0</v>
      </c>
      <c r="BZ47" s="386">
        <f t="shared" si="36"/>
        <v>0</v>
      </c>
      <c r="CA47" s="386">
        <f t="shared" si="37"/>
        <v>0</v>
      </c>
      <c r="CB47" s="386">
        <f t="shared" si="38"/>
        <v>0</v>
      </c>
      <c r="CC47" s="386">
        <f t="shared" si="20"/>
        <v>0</v>
      </c>
      <c r="CD47" s="386">
        <f t="shared" si="21"/>
        <v>0</v>
      </c>
      <c r="CE47" s="386">
        <f t="shared" si="22"/>
        <v>0</v>
      </c>
      <c r="CF47" s="386">
        <f t="shared" si="23"/>
        <v>-164.49887999999999</v>
      </c>
      <c r="CG47" s="386">
        <f t="shared" si="24"/>
        <v>0</v>
      </c>
      <c r="CH47" s="386">
        <f t="shared" si="25"/>
        <v>36.928320000000006</v>
      </c>
      <c r="CI47" s="386">
        <f t="shared" si="26"/>
        <v>0</v>
      </c>
      <c r="CJ47" s="386">
        <f t="shared" si="39"/>
        <v>-127.57055999999997</v>
      </c>
      <c r="CK47" s="386" t="str">
        <f t="shared" si="40"/>
        <v/>
      </c>
      <c r="CL47" s="386" t="str">
        <f t="shared" si="41"/>
        <v/>
      </c>
      <c r="CM47" s="386" t="str">
        <f t="shared" si="42"/>
        <v/>
      </c>
      <c r="CN47" s="386" t="str">
        <f t="shared" si="43"/>
        <v>0229-15</v>
      </c>
    </row>
    <row r="48" spans="1:92" ht="15.75" thickBot="1" x14ac:dyDescent="0.3">
      <c r="A48" s="376" t="s">
        <v>161</v>
      </c>
      <c r="B48" s="376" t="s">
        <v>162</v>
      </c>
      <c r="C48" s="376" t="s">
        <v>374</v>
      </c>
      <c r="D48" s="376" t="s">
        <v>164</v>
      </c>
      <c r="E48" s="376" t="s">
        <v>165</v>
      </c>
      <c r="F48" s="377" t="s">
        <v>166</v>
      </c>
      <c r="G48" s="376" t="s">
        <v>167</v>
      </c>
      <c r="H48" s="378"/>
      <c r="I48" s="378"/>
      <c r="J48" s="376" t="s">
        <v>168</v>
      </c>
      <c r="K48" s="376" t="s">
        <v>169</v>
      </c>
      <c r="L48" s="376" t="s">
        <v>170</v>
      </c>
      <c r="M48" s="376" t="s">
        <v>171</v>
      </c>
      <c r="N48" s="376" t="s">
        <v>172</v>
      </c>
      <c r="O48" s="379">
        <v>1</v>
      </c>
      <c r="P48" s="384">
        <v>1</v>
      </c>
      <c r="Q48" s="384">
        <v>1</v>
      </c>
      <c r="R48" s="380">
        <v>80</v>
      </c>
      <c r="S48" s="384">
        <v>1</v>
      </c>
      <c r="T48" s="380">
        <v>33807.019999999997</v>
      </c>
      <c r="U48" s="380">
        <v>0</v>
      </c>
      <c r="V48" s="380">
        <v>19633.38</v>
      </c>
      <c r="W48" s="380">
        <v>34340.800000000003</v>
      </c>
      <c r="X48" s="380">
        <v>20020.53</v>
      </c>
      <c r="Y48" s="380">
        <v>34340.800000000003</v>
      </c>
      <c r="Z48" s="380">
        <v>19890.04</v>
      </c>
      <c r="AA48" s="376" t="s">
        <v>375</v>
      </c>
      <c r="AB48" s="376" t="s">
        <v>376</v>
      </c>
      <c r="AC48" s="376" t="s">
        <v>377</v>
      </c>
      <c r="AD48" s="376" t="s">
        <v>193</v>
      </c>
      <c r="AE48" s="376" t="s">
        <v>169</v>
      </c>
      <c r="AF48" s="376" t="s">
        <v>177</v>
      </c>
      <c r="AG48" s="376" t="s">
        <v>178</v>
      </c>
      <c r="AH48" s="381">
        <v>16.510000000000002</v>
      </c>
      <c r="AI48" s="381">
        <v>11341.1</v>
      </c>
      <c r="AJ48" s="376" t="s">
        <v>179</v>
      </c>
      <c r="AK48" s="376" t="s">
        <v>180</v>
      </c>
      <c r="AL48" s="376" t="s">
        <v>181</v>
      </c>
      <c r="AM48" s="376" t="s">
        <v>182</v>
      </c>
      <c r="AN48" s="376" t="s">
        <v>70</v>
      </c>
      <c r="AO48" s="379">
        <v>80</v>
      </c>
      <c r="AP48" s="384">
        <v>1</v>
      </c>
      <c r="AQ48" s="384">
        <v>1</v>
      </c>
      <c r="AR48" s="382" t="s">
        <v>183</v>
      </c>
      <c r="AS48" s="386">
        <f t="shared" si="27"/>
        <v>1</v>
      </c>
      <c r="AT48">
        <f t="shared" si="28"/>
        <v>1</v>
      </c>
      <c r="AU48" s="386">
        <f>IF(AT48=0,"",IF(AND(AT48=1,M48="F",SUMIF(C2:C48,C48,AS2:AS48)&lt;=1),SUMIF(C2:C48,C48,AS2:AS48),IF(AND(AT48=1,M48="F",SUMIF(C2:C48,C48,AS2:AS48)&gt;1),1,"")))</f>
        <v>1</v>
      </c>
      <c r="AV48" s="386" t="str">
        <f>IF(AT48=0,"",IF(AND(AT48=3,M48="F",SUMIF(C2:C48,C48,AS2:AS48)&lt;=1),SUMIF(C2:C48,C48,AS2:AS48),IF(AND(AT48=3,M48="F",SUMIF(C2:C48,C48,AS2:AS48)&gt;1),1,"")))</f>
        <v/>
      </c>
      <c r="AW48" s="386">
        <f>SUMIF(C2:C48,C48,O2:O48)</f>
        <v>1</v>
      </c>
      <c r="AX48" s="386">
        <f>IF(AND(M48="F",AS48&lt;&gt;0),SUMIF(C2:C48,C48,W2:W48),0)</f>
        <v>34340.800000000003</v>
      </c>
      <c r="AY48" s="386">
        <f t="shared" si="29"/>
        <v>34340.800000000003</v>
      </c>
      <c r="AZ48" s="386" t="str">
        <f t="shared" si="30"/>
        <v/>
      </c>
      <c r="BA48" s="386">
        <f t="shared" si="31"/>
        <v>0</v>
      </c>
      <c r="BB48" s="386">
        <f t="shared" si="0"/>
        <v>11650</v>
      </c>
      <c r="BC48" s="386">
        <f t="shared" si="1"/>
        <v>0</v>
      </c>
      <c r="BD48" s="386">
        <f t="shared" si="2"/>
        <v>2129.1296000000002</v>
      </c>
      <c r="BE48" s="386">
        <f t="shared" si="3"/>
        <v>497.94160000000005</v>
      </c>
      <c r="BF48" s="386">
        <f t="shared" si="4"/>
        <v>4217.0502400000005</v>
      </c>
      <c r="BG48" s="386">
        <f t="shared" si="5"/>
        <v>247.59716800000004</v>
      </c>
      <c r="BH48" s="386">
        <f t="shared" si="6"/>
        <v>168.26992000000001</v>
      </c>
      <c r="BI48" s="386">
        <f t="shared" si="7"/>
        <v>190.07632800000002</v>
      </c>
      <c r="BJ48" s="386">
        <f t="shared" si="8"/>
        <v>920.33344000000011</v>
      </c>
      <c r="BK48" s="386">
        <f t="shared" si="9"/>
        <v>0</v>
      </c>
      <c r="BL48" s="386">
        <f t="shared" si="32"/>
        <v>8370.3982960000012</v>
      </c>
      <c r="BM48" s="386">
        <f t="shared" si="33"/>
        <v>0</v>
      </c>
      <c r="BN48" s="386">
        <f t="shared" si="10"/>
        <v>11650</v>
      </c>
      <c r="BO48" s="386">
        <f t="shared" si="11"/>
        <v>0</v>
      </c>
      <c r="BP48" s="386">
        <f t="shared" si="12"/>
        <v>2129.1296000000002</v>
      </c>
      <c r="BQ48" s="386">
        <f t="shared" si="13"/>
        <v>497.94160000000005</v>
      </c>
      <c r="BR48" s="386">
        <f t="shared" si="14"/>
        <v>4217.0502400000005</v>
      </c>
      <c r="BS48" s="386">
        <f t="shared" si="15"/>
        <v>247.59716800000004</v>
      </c>
      <c r="BT48" s="386">
        <f t="shared" si="16"/>
        <v>0</v>
      </c>
      <c r="BU48" s="386">
        <f t="shared" si="17"/>
        <v>190.07632800000002</v>
      </c>
      <c r="BV48" s="386">
        <f t="shared" si="18"/>
        <v>958.10832000000016</v>
      </c>
      <c r="BW48" s="386">
        <f t="shared" si="19"/>
        <v>0</v>
      </c>
      <c r="BX48" s="386">
        <f t="shared" si="34"/>
        <v>8239.9032560000014</v>
      </c>
      <c r="BY48" s="386">
        <f t="shared" si="35"/>
        <v>0</v>
      </c>
      <c r="BZ48" s="386">
        <f t="shared" si="36"/>
        <v>0</v>
      </c>
      <c r="CA48" s="386">
        <f t="shared" si="37"/>
        <v>0</v>
      </c>
      <c r="CB48" s="386">
        <f t="shared" si="38"/>
        <v>0</v>
      </c>
      <c r="CC48" s="386">
        <f t="shared" si="20"/>
        <v>0</v>
      </c>
      <c r="CD48" s="386">
        <f t="shared" si="21"/>
        <v>0</v>
      </c>
      <c r="CE48" s="386">
        <f t="shared" si="22"/>
        <v>0</v>
      </c>
      <c r="CF48" s="386">
        <f t="shared" si="23"/>
        <v>-168.26992000000001</v>
      </c>
      <c r="CG48" s="386">
        <f t="shared" si="24"/>
        <v>0</v>
      </c>
      <c r="CH48" s="386">
        <f t="shared" si="25"/>
        <v>37.77488000000001</v>
      </c>
      <c r="CI48" s="386">
        <f t="shared" si="26"/>
        <v>0</v>
      </c>
      <c r="CJ48" s="386">
        <f t="shared" si="39"/>
        <v>-130.49504000000002</v>
      </c>
      <c r="CK48" s="386" t="str">
        <f t="shared" si="40"/>
        <v/>
      </c>
      <c r="CL48" s="386" t="str">
        <f t="shared" si="41"/>
        <v/>
      </c>
      <c r="CM48" s="386" t="str">
        <f t="shared" si="42"/>
        <v/>
      </c>
      <c r="CN48" s="386" t="str">
        <f t="shared" si="43"/>
        <v>0229-15</v>
      </c>
    </row>
    <row r="50" spans="41:91" ht="21" x14ac:dyDescent="0.35">
      <c r="AQ50" s="251" t="s">
        <v>434</v>
      </c>
    </row>
    <row r="51" spans="41:91" ht="15.75" thickBot="1" x14ac:dyDescent="0.3">
      <c r="AR51" t="s">
        <v>426</v>
      </c>
      <c r="AS51" s="386">
        <f>SUMIFS(AS2:AS48,G2:G48,"LEAF",E2:E48,"0229",F2:F48,"15",AT2:AT48,1)</f>
        <v>36.049999999999997</v>
      </c>
      <c r="AT51" s="386">
        <f>SUMIFS(AS2:AS48,G2:G48,"LEAF",E2:E48,"0229",F2:F48,"15",AT2:AT48,3)</f>
        <v>0</v>
      </c>
      <c r="AU51" s="386">
        <f>SUMIFS(AU2:AU48,G2:G48,"LEAF",E2:E48,"0229",F2:F48,"15")</f>
        <v>36.049999999999997</v>
      </c>
      <c r="AV51" s="386">
        <f>SUMIFS(AV2:AV48,G2:G48,"LEAF",E2:E48,"0229",F2:F48,"15")</f>
        <v>0</v>
      </c>
      <c r="AW51" s="386">
        <f>SUMIFS(AW2:AW48,G2:G48,"LEAF",E2:E48,"0229",F2:F48,"15")</f>
        <v>44</v>
      </c>
      <c r="AX51" s="386">
        <f>SUMIFS(AX2:AX48,G2:G48,"LEAF",E2:E48,"0229",F2:F48,"15")</f>
        <v>1574495.5200000003</v>
      </c>
      <c r="AY51" s="386">
        <f>SUMIFS(AY2:AY48,G2:G48,"LEAF",E2:E48,"0229",F2:F48,"15")</f>
        <v>1430975.52</v>
      </c>
      <c r="AZ51" s="386">
        <f>SUMIFS(AZ2:AZ48,G2:G48,"LEAF",E2:E48,"0229",F2:F48,"15")</f>
        <v>0</v>
      </c>
      <c r="BA51" s="386">
        <f>SUMIFS(BA2:BA48,G2:G48,"LEAF",E2:E48,"0229",F2:F48,"15")</f>
        <v>0</v>
      </c>
      <c r="BB51" s="386">
        <f>SUMIFS(BB2:BB48,G2:G48,"LEAF",E2:E48,"0229",F2:F48,"15")</f>
        <v>426390</v>
      </c>
      <c r="BC51" s="386">
        <f>SUMIFS(BC2:BC48,G2:G48,"LEAF",E2:E48,"0229",F2:F48,"15")</f>
        <v>0</v>
      </c>
      <c r="BD51" s="386">
        <f>SUMIFS(BD2:BD48,G2:G48,"LEAF",E2:E48,"0229",F2:F48,"15")</f>
        <v>88720.482239999998</v>
      </c>
      <c r="BE51" s="386">
        <f>SUMIFS(BE2:BE48,G2:G48,"LEAF",E2:E48,"0229",F2:F48,"15")</f>
        <v>20749.145039999999</v>
      </c>
      <c r="BF51" s="386">
        <f>SUMIFS(BF2:BF48,G2:G48,"LEAF",E2:E48,"0229",F2:F48,"15")</f>
        <v>175332.64153600001</v>
      </c>
      <c r="BG51" s="386">
        <f>SUMIFS(BG2:BG48,G2:G48,"LEAF",E2:E48,"0229",F2:F48,"15")</f>
        <v>10317.333499199998</v>
      </c>
      <c r="BH51" s="386">
        <f>SUMIFS(BH2:BH48,G2:G48,"LEAF",E2:E48,"0229",F2:F48,"15")</f>
        <v>7011.7800480000014</v>
      </c>
      <c r="BI51" s="386">
        <f>SUMIFS(BI2:BI48,G2:G48,"LEAF",E2:E48,"0229",F2:F48,"15")</f>
        <v>6468.3400392000012</v>
      </c>
      <c r="BJ51" s="386">
        <f>SUMIFS(BJ2:BJ48,G2:G48,"LEAF",E2:E48,"0229",F2:F48,"15")</f>
        <v>38350.143936</v>
      </c>
      <c r="BK51" s="386">
        <f>SUMIFS(BK2:BK48,G2:G48,"LEAF",E2:E48,"0229",F2:F48,"15")</f>
        <v>0</v>
      </c>
      <c r="BL51" s="386">
        <f>SUMIFS(BL2:BL48,G2:G48,"LEAF",E2:E48,"0229",F2:F48,"15")</f>
        <v>346949.8663384</v>
      </c>
      <c r="BM51" s="386">
        <f>SUMIFS(BM2:BM48,G2:G48,"LEAF",E2:E48,"0229",F2:F48,"15")</f>
        <v>0</v>
      </c>
      <c r="BN51" s="386">
        <f>SUMIFS(BN2:BN48,G2:G48,"LEAF",E2:E48,"0229",F2:F48,"15")</f>
        <v>426390</v>
      </c>
      <c r="BO51" s="386">
        <f>SUMIFS(BO2:BO48,G2:G48,"LEAF",E2:E48,"0229",F2:F48,"15")</f>
        <v>0</v>
      </c>
      <c r="BP51" s="386">
        <f>SUMIFS(BP2:BP48,G2:G48,"LEAF",E2:E48,"0229",F2:F48,"15")</f>
        <v>88720.482239999998</v>
      </c>
      <c r="BQ51" s="386">
        <f>SUMIFS(BQ2:BQ48,G2:G48,"LEAF",E2:E48,"0229",F2:F48,"15")</f>
        <v>20749.145039999999</v>
      </c>
      <c r="BR51" s="386">
        <f>SUMIFS(BR2:BR48,G2:G48,"LEAF",E2:E48,"0229",F2:F48,"15")</f>
        <v>175332.64153600001</v>
      </c>
      <c r="BS51" s="386">
        <f>SUMIFS(BS2:BS48,G2:G48,"LEAF",E2:E48,"0229",F2:F48,"15")</f>
        <v>10317.333499199998</v>
      </c>
      <c r="BT51" s="386">
        <f>SUMIFS(BT2:BT48,G2:G48,"LEAF",E2:E48,"0229",F2:F48,"15")</f>
        <v>0</v>
      </c>
      <c r="BU51" s="386">
        <f>SUMIFS(BU2:BU48,G2:G48,"LEAF",E2:E48,"0229",F2:F48,"15")</f>
        <v>6468.3400392000012</v>
      </c>
      <c r="BV51" s="386">
        <f>SUMIFS(BV2:BV48,G2:G48,"LEAF",E2:E48,"0229",F2:F48,"15")</f>
        <v>39924.217008000014</v>
      </c>
      <c r="BW51" s="386">
        <f>SUMIFS(BW2:BW48,G2:G48,"LEAF",E2:E48,"0229",F2:F48,"15")</f>
        <v>0</v>
      </c>
      <c r="BX51" s="386">
        <f>SUMIFS(BX2:BX48,G2:G48,"LEAF",E2:E48,"0229",F2:F48,"15")</f>
        <v>341512.15936240007</v>
      </c>
      <c r="BY51" s="386">
        <f>SUMIFS(BY2:BY48,G2:G48,"LEAF",E2:E48,"0229",F2:F48,"15")</f>
        <v>0</v>
      </c>
      <c r="BZ51" s="386">
        <f>SUMIFS(BZ2:BZ48,G2:G48,"LEAF",E2:E48,"0229",F2:F48,"15")</f>
        <v>0</v>
      </c>
      <c r="CA51" s="386">
        <f>SUMIFS(CA2:CA48,G2:G48,"LEAF",E2:E48,"0229",F2:F48,"15")</f>
        <v>0</v>
      </c>
      <c r="CB51" s="386">
        <f>SUMIFS(CB2:CB48,G2:G48,"LEAF",E2:E48,"0229",F2:F48,"15")</f>
        <v>0</v>
      </c>
      <c r="CC51" s="386">
        <f>SUMIFS(CC2:CC48,G2:G48,"LEAF",E2:E48,"0229",F2:F48,"15")</f>
        <v>0</v>
      </c>
      <c r="CD51" s="386">
        <f>SUMIFS(CD2:CD48,G2:G48,"LEAF",E2:E48,"0229",F2:F48,"15")</f>
        <v>0</v>
      </c>
      <c r="CE51" s="386">
        <f>SUMIFS(CE2:CE48,G2:G48,"LEAF",E2:E48,"0229",F2:F48,"15")</f>
        <v>0</v>
      </c>
      <c r="CF51" s="386">
        <f>SUMIFS(CF2:CF48,G2:G48,"LEAF",E2:E48,"0229",F2:F48,"15")</f>
        <v>-7011.7800480000014</v>
      </c>
      <c r="CG51" s="386">
        <f>SUMIFS(CG2:CG48,G2:G48,"LEAF",E2:E48,"0229",F2:F48,"15")</f>
        <v>0</v>
      </c>
      <c r="CH51" s="386">
        <f>SUMIFS(CH2:CH48,G2:G48,"LEAF",E2:E48,"0229",F2:F48,"15")</f>
        <v>1574.0730720000004</v>
      </c>
      <c r="CI51" s="386">
        <f>SUMIFS(CI2:CI48,G2:G48,"LEAF",E2:E48,"0229",F2:F48,"15")</f>
        <v>0</v>
      </c>
      <c r="CJ51" s="386">
        <f>SUMIFS(CJ2:CJ48,G2:G48,"LEAF",E2:E48,"0229",F2:F48,"15")</f>
        <v>-5437.7069760000004</v>
      </c>
      <c r="CK51" s="386">
        <f>SUMIFS(CK2:CK48,G2:G48,"LEAF",E2:E48,"0229",F2:F48,"15")</f>
        <v>0</v>
      </c>
      <c r="CL51" s="386">
        <f>SUMIFS(CL2:CL48,G2:G48,"LEAF",E2:E48,"0229",F2:F48,"15")</f>
        <v>119747.84</v>
      </c>
      <c r="CM51" s="386">
        <f>SUMIFS(CM2:CM48,G2:G48,"LEAF",E2:E48,"0229",F2:F48,"15")</f>
        <v>16317.92</v>
      </c>
    </row>
    <row r="52" spans="41:91" ht="18.75" x14ac:dyDescent="0.3">
      <c r="AQ52" s="392" t="s">
        <v>427</v>
      </c>
      <c r="AS52" s="393">
        <f t="shared" ref="AS52:CM52" si="44">SUM(AS51:AS51)</f>
        <v>36.049999999999997</v>
      </c>
      <c r="AT52" s="393">
        <f t="shared" si="44"/>
        <v>0</v>
      </c>
      <c r="AU52" s="393">
        <f t="shared" si="44"/>
        <v>36.049999999999997</v>
      </c>
      <c r="AV52" s="393">
        <f t="shared" si="44"/>
        <v>0</v>
      </c>
      <c r="AW52" s="393">
        <f t="shared" si="44"/>
        <v>44</v>
      </c>
      <c r="AX52" s="393">
        <f t="shared" si="44"/>
        <v>1574495.5200000003</v>
      </c>
      <c r="AY52" s="393">
        <f t="shared" si="44"/>
        <v>1430975.52</v>
      </c>
      <c r="AZ52" s="393">
        <f t="shared" si="44"/>
        <v>0</v>
      </c>
      <c r="BA52" s="393">
        <f t="shared" si="44"/>
        <v>0</v>
      </c>
      <c r="BB52" s="393">
        <f t="shared" si="44"/>
        <v>426390</v>
      </c>
      <c r="BC52" s="393">
        <f t="shared" si="44"/>
        <v>0</v>
      </c>
      <c r="BD52" s="393">
        <f t="shared" si="44"/>
        <v>88720.482239999998</v>
      </c>
      <c r="BE52" s="393">
        <f t="shared" si="44"/>
        <v>20749.145039999999</v>
      </c>
      <c r="BF52" s="393">
        <f t="shared" si="44"/>
        <v>175332.64153600001</v>
      </c>
      <c r="BG52" s="393">
        <f t="shared" si="44"/>
        <v>10317.333499199998</v>
      </c>
      <c r="BH52" s="393">
        <f t="shared" si="44"/>
        <v>7011.7800480000014</v>
      </c>
      <c r="BI52" s="393">
        <f t="shared" si="44"/>
        <v>6468.3400392000012</v>
      </c>
      <c r="BJ52" s="393">
        <f t="shared" si="44"/>
        <v>38350.143936</v>
      </c>
      <c r="BK52" s="393">
        <f t="shared" si="44"/>
        <v>0</v>
      </c>
      <c r="BL52" s="393">
        <f t="shared" si="44"/>
        <v>346949.8663384</v>
      </c>
      <c r="BM52" s="393">
        <f t="shared" si="44"/>
        <v>0</v>
      </c>
      <c r="BN52" s="393">
        <f t="shared" si="44"/>
        <v>426390</v>
      </c>
      <c r="BO52" s="393">
        <f t="shared" si="44"/>
        <v>0</v>
      </c>
      <c r="BP52" s="393">
        <f t="shared" si="44"/>
        <v>88720.482239999998</v>
      </c>
      <c r="BQ52" s="393">
        <f t="shared" si="44"/>
        <v>20749.145039999999</v>
      </c>
      <c r="BR52" s="393">
        <f t="shared" si="44"/>
        <v>175332.64153600001</v>
      </c>
      <c r="BS52" s="393">
        <f t="shared" si="44"/>
        <v>10317.333499199998</v>
      </c>
      <c r="BT52" s="393">
        <f t="shared" si="44"/>
        <v>0</v>
      </c>
      <c r="BU52" s="393">
        <f t="shared" si="44"/>
        <v>6468.3400392000012</v>
      </c>
      <c r="BV52" s="393">
        <f t="shared" si="44"/>
        <v>39924.217008000014</v>
      </c>
      <c r="BW52" s="393">
        <f t="shared" si="44"/>
        <v>0</v>
      </c>
      <c r="BX52" s="393">
        <f t="shared" si="44"/>
        <v>341512.15936240007</v>
      </c>
      <c r="BY52" s="393">
        <f t="shared" si="44"/>
        <v>0</v>
      </c>
      <c r="BZ52" s="393">
        <f t="shared" si="44"/>
        <v>0</v>
      </c>
      <c r="CA52" s="393">
        <f t="shared" si="44"/>
        <v>0</v>
      </c>
      <c r="CB52" s="393">
        <f t="shared" si="44"/>
        <v>0</v>
      </c>
      <c r="CC52" s="393">
        <f t="shared" si="44"/>
        <v>0</v>
      </c>
      <c r="CD52" s="393">
        <f t="shared" si="44"/>
        <v>0</v>
      </c>
      <c r="CE52" s="393">
        <f t="shared" si="44"/>
        <v>0</v>
      </c>
      <c r="CF52" s="393">
        <f t="shared" si="44"/>
        <v>-7011.7800480000014</v>
      </c>
      <c r="CG52" s="393">
        <f t="shared" si="44"/>
        <v>0</v>
      </c>
      <c r="CH52" s="393">
        <f t="shared" si="44"/>
        <v>1574.0730720000004</v>
      </c>
      <c r="CI52" s="393">
        <f t="shared" si="44"/>
        <v>0</v>
      </c>
      <c r="CJ52" s="393">
        <f t="shared" si="44"/>
        <v>-5437.7069760000004</v>
      </c>
      <c r="CK52" s="393">
        <f t="shared" si="44"/>
        <v>0</v>
      </c>
      <c r="CL52" s="393">
        <f t="shared" si="44"/>
        <v>119747.84</v>
      </c>
      <c r="CM52" s="393">
        <f t="shared" si="44"/>
        <v>16317.92</v>
      </c>
    </row>
    <row r="54" spans="41:91" ht="21" x14ac:dyDescent="0.35">
      <c r="AO54" s="251" t="s">
        <v>97</v>
      </c>
      <c r="AP54" s="251"/>
      <c r="AQ54" s="251"/>
    </row>
    <row r="56" spans="41:91" ht="21" x14ac:dyDescent="0.35">
      <c r="AO56" s="252"/>
      <c r="AP56" s="252"/>
      <c r="AQ56" s="252"/>
    </row>
    <row r="57" spans="41:91" ht="15.75" x14ac:dyDescent="0.25">
      <c r="AS57" s="373" t="s">
        <v>83</v>
      </c>
      <c r="AT57" s="474" t="s">
        <v>437</v>
      </c>
      <c r="AU57" s="474"/>
      <c r="AV57" s="475" t="s">
        <v>435</v>
      </c>
      <c r="AW57" s="474" t="s">
        <v>438</v>
      </c>
      <c r="AX57" s="474"/>
      <c r="AY57" s="475" t="s">
        <v>436</v>
      </c>
      <c r="AZ57" s="474" t="s">
        <v>439</v>
      </c>
      <c r="BA57" s="474"/>
    </row>
    <row r="58" spans="41:91" ht="15.75" x14ac:dyDescent="0.25">
      <c r="AS58" s="249"/>
      <c r="AT58" s="373" t="s">
        <v>94</v>
      </c>
      <c r="AU58" s="372" t="s">
        <v>96</v>
      </c>
      <c r="AV58" s="476"/>
      <c r="AW58" s="373" t="s">
        <v>98</v>
      </c>
      <c r="AX58" s="372" t="s">
        <v>95</v>
      </c>
      <c r="AY58" s="476"/>
      <c r="AZ58" s="373" t="s">
        <v>98</v>
      </c>
      <c r="BA58" s="372" t="s">
        <v>95</v>
      </c>
    </row>
    <row r="59" spans="41:91" x14ac:dyDescent="0.25">
      <c r="AO59" s="391" t="s">
        <v>440</v>
      </c>
    </row>
    <row r="60" spans="41:91" x14ac:dyDescent="0.25">
      <c r="AQ60" t="s">
        <v>431</v>
      </c>
      <c r="AS60" s="386">
        <f>SUM(SUMIFS(AS2:AS48,CN2:CN48,AQ60,E2:E48,"0229",F2:F48,"15",AT2:AT48,{1,3}))</f>
        <v>36.049999999999997</v>
      </c>
      <c r="AT60" s="386">
        <f>SUMPRODUCT(--(CN2:CN48=AQ60),--(N2:N48&lt;&gt;"NG"),--(AG2:AG48&lt;&gt;"D"),--(AR2:AR48&lt;&gt;6),--(AR2:AR48&lt;&gt;36),--(AR2:AR48&lt;&gt;56),T2:T48)+SUMPRODUCT(--(CN2:CN48=AQ60),--(N2:N48&lt;&gt;"NG"),--(AG2:AG48&lt;&gt;"D"),--(AR2:AR48&lt;&gt;6),--(AR2:AR48&lt;&gt;36),--(AR2:AR48&lt;&gt;56),U2:U48)</f>
        <v>1529179.7099999997</v>
      </c>
      <c r="AU60" s="386">
        <f>SUMPRODUCT(--(CN2:CN48=AQ60),--(N2:N48&lt;&gt;"NG"),--(AG2:AG48&lt;&gt;"D"),--(AR2:AR48&lt;&gt;6),--(AR2:AR48&lt;&gt;36),--(AR2:AR48&lt;&gt;56),V2:V48)</f>
        <v>795339.02000000014</v>
      </c>
      <c r="AV60" s="386">
        <f>SUMPRODUCT(--(CN2:CN48=AQ60),AY2:AY48)+SUMPRODUCT(--(CN2:CN48=AQ60),AZ2:AZ48)</f>
        <v>1430975.52</v>
      </c>
      <c r="AW60" s="386">
        <f>SUMPRODUCT(--(CN2:CN48=AQ60),BB2:BB48)+SUMPRODUCT(--(CN2:CN48=AQ60),BC2:BC48)</f>
        <v>426390</v>
      </c>
      <c r="AX60" s="386">
        <f>SUMPRODUCT(--(CN2:CN48=AQ60),BL2:BL48)+SUMPRODUCT(--(CN2:CN48=AQ60),BM2:BM48)</f>
        <v>346949.8663384</v>
      </c>
      <c r="AY60" s="386">
        <f>SUMPRODUCT(--(CN2:CN48=AQ60),AY2:AY48)+SUMPRODUCT(--(CN2:CN48=AQ60),AZ2:AZ48)+SUMPRODUCT(--(CN2:CN48=AQ60),BA2:BA48)</f>
        <v>1430975.52</v>
      </c>
      <c r="AZ60" s="386">
        <f>SUMPRODUCT(--(CN2:CN48=AQ60),BN2:BN48)+SUMPRODUCT(--(CN2:CN48=AQ60),BO2:BO48)</f>
        <v>426390</v>
      </c>
      <c r="BA60" s="386">
        <f>SUMPRODUCT(--(CN2:CN48=AQ60),BX2:BX48)+SUMPRODUCT(--(CN2:CN48=AQ60),BY2:BY48)</f>
        <v>341512.15936240007</v>
      </c>
    </row>
    <row r="61" spans="41:91" x14ac:dyDescent="0.25">
      <c r="AP61" t="s">
        <v>441</v>
      </c>
      <c r="AS61" s="397">
        <f t="shared" ref="AS61:BA61" si="45">SUM(AS60:AS60)</f>
        <v>36.049999999999997</v>
      </c>
      <c r="AT61" s="397">
        <f t="shared" si="45"/>
        <v>1529179.7099999997</v>
      </c>
      <c r="AU61" s="397">
        <f t="shared" si="45"/>
        <v>795339.02000000014</v>
      </c>
      <c r="AV61" s="397">
        <f t="shared" si="45"/>
        <v>1430975.52</v>
      </c>
      <c r="AW61" s="397">
        <f t="shared" si="45"/>
        <v>426390</v>
      </c>
      <c r="AX61" s="397">
        <f t="shared" si="45"/>
        <v>346949.8663384</v>
      </c>
      <c r="AY61" s="397">
        <f t="shared" si="45"/>
        <v>1430975.52</v>
      </c>
      <c r="AZ61" s="397">
        <f t="shared" si="45"/>
        <v>426390</v>
      </c>
      <c r="BA61" s="397">
        <f t="shared" si="45"/>
        <v>341512.15936240007</v>
      </c>
    </row>
    <row r="62" spans="41:91" x14ac:dyDescent="0.25">
      <c r="AS62" s="386"/>
      <c r="AT62" s="386"/>
      <c r="AU62" s="386"/>
      <c r="AV62" s="386"/>
      <c r="AW62" s="386"/>
      <c r="AX62" s="386"/>
      <c r="AY62" s="386"/>
      <c r="AZ62" s="386"/>
      <c r="BA62" s="386"/>
    </row>
    <row r="63" spans="41:91" x14ac:dyDescent="0.25">
      <c r="AO63" s="395" t="s">
        <v>442</v>
      </c>
      <c r="AS63" s="398">
        <f t="shared" ref="AS63:BA63" si="46">SUM(AS61)</f>
        <v>36.049999999999997</v>
      </c>
      <c r="AT63" s="398">
        <f t="shared" si="46"/>
        <v>1529179.7099999997</v>
      </c>
      <c r="AU63" s="398">
        <f t="shared" si="46"/>
        <v>795339.02000000014</v>
      </c>
      <c r="AV63" s="398">
        <f t="shared" si="46"/>
        <v>1430975.52</v>
      </c>
      <c r="AW63" s="398">
        <f t="shared" si="46"/>
        <v>426390</v>
      </c>
      <c r="AX63" s="398">
        <f t="shared" si="46"/>
        <v>346949.8663384</v>
      </c>
      <c r="AY63" s="398">
        <f t="shared" si="46"/>
        <v>1430975.52</v>
      </c>
      <c r="AZ63" s="398">
        <f t="shared" si="46"/>
        <v>426390</v>
      </c>
      <c r="BA63" s="398">
        <f t="shared" si="46"/>
        <v>341512.15936240007</v>
      </c>
    </row>
    <row r="64" spans="41:91" x14ac:dyDescent="0.25">
      <c r="AS64" s="386"/>
      <c r="AT64" s="386"/>
      <c r="AU64" s="386"/>
      <c r="AV64" s="386"/>
      <c r="AW64" s="386"/>
      <c r="AX64" s="386"/>
      <c r="AY64" s="386"/>
      <c r="AZ64" s="386"/>
      <c r="BA64" s="386"/>
    </row>
    <row r="65" spans="41:114" x14ac:dyDescent="0.25">
      <c r="AO65" s="391" t="s">
        <v>443</v>
      </c>
      <c r="AS65" s="386"/>
      <c r="AT65" s="386"/>
      <c r="AU65" s="386"/>
      <c r="AV65" s="386"/>
      <c r="AW65" s="386"/>
      <c r="AX65" s="386"/>
      <c r="AY65" s="386"/>
      <c r="AZ65" s="386"/>
      <c r="BA65" s="386"/>
    </row>
    <row r="66" spans="41:114" x14ac:dyDescent="0.25">
      <c r="AQ66" t="s">
        <v>431</v>
      </c>
      <c r="AS66" s="386"/>
      <c r="AT66" s="386">
        <f>SUMIF(CN2:CN48,AQ66,CL2:CL48)</f>
        <v>119747.84</v>
      </c>
      <c r="AU66" s="386">
        <f>SUMIF(CN2:CN48,AQ66,CM2:CM48)</f>
        <v>16317.92</v>
      </c>
      <c r="AV66" s="386">
        <f>SUMIF(CN2:CN48,AQ66,CL2:CL48)</f>
        <v>119747.84</v>
      </c>
      <c r="AW66" s="386">
        <v>0</v>
      </c>
      <c r="AX66" s="386">
        <f>SUMIF(CN2:CN48,AQ66,CM2:CM48)</f>
        <v>16317.92</v>
      </c>
      <c r="AY66" s="386">
        <f>SUMIF(CN2:CN48,AQ66,CL2:CL48)</f>
        <v>119747.84</v>
      </c>
      <c r="AZ66" s="386">
        <v>0</v>
      </c>
      <c r="BA66" s="386">
        <f>SUMIF(CN2:CN48,AQ66,CM2:CM48)</f>
        <v>16317.92</v>
      </c>
    </row>
    <row r="67" spans="41:114" x14ac:dyDescent="0.25">
      <c r="AP67" t="s">
        <v>441</v>
      </c>
      <c r="AS67" s="397"/>
      <c r="AT67" s="397">
        <f t="shared" ref="AT67:BA67" si="47">SUM(AT66:AT66)</f>
        <v>119747.84</v>
      </c>
      <c r="AU67" s="397">
        <f t="shared" si="47"/>
        <v>16317.92</v>
      </c>
      <c r="AV67" s="397">
        <f t="shared" si="47"/>
        <v>119747.84</v>
      </c>
      <c r="AW67" s="397">
        <f t="shared" si="47"/>
        <v>0</v>
      </c>
      <c r="AX67" s="397">
        <f t="shared" si="47"/>
        <v>16317.92</v>
      </c>
      <c r="AY67" s="397">
        <f t="shared" si="47"/>
        <v>119747.84</v>
      </c>
      <c r="AZ67" s="397">
        <f t="shared" si="47"/>
        <v>0</v>
      </c>
      <c r="BA67" s="397">
        <f t="shared" si="47"/>
        <v>16317.92</v>
      </c>
    </row>
    <row r="68" spans="41:114" x14ac:dyDescent="0.25">
      <c r="AS68" s="386"/>
      <c r="AT68" s="386"/>
      <c r="AU68" s="386"/>
      <c r="AV68" s="386"/>
      <c r="AW68" s="386"/>
      <c r="AX68" s="386"/>
      <c r="AY68" s="386"/>
      <c r="AZ68" s="386"/>
      <c r="BA68" s="386"/>
    </row>
    <row r="69" spans="41:114" x14ac:dyDescent="0.25">
      <c r="AO69" s="395" t="s">
        <v>444</v>
      </c>
      <c r="AS69" s="398">
        <f t="shared" ref="AS69:BA69" si="48">SUM(AS67)</f>
        <v>0</v>
      </c>
      <c r="AT69" s="398">
        <f t="shared" si="48"/>
        <v>119747.84</v>
      </c>
      <c r="AU69" s="398">
        <f t="shared" si="48"/>
        <v>16317.92</v>
      </c>
      <c r="AV69" s="398">
        <f t="shared" si="48"/>
        <v>119747.84</v>
      </c>
      <c r="AW69" s="398">
        <f t="shared" si="48"/>
        <v>0</v>
      </c>
      <c r="AX69" s="398">
        <f t="shared" si="48"/>
        <v>16317.92</v>
      </c>
      <c r="AY69" s="398">
        <f t="shared" si="48"/>
        <v>119747.84</v>
      </c>
      <c r="AZ69" s="398">
        <f t="shared" si="48"/>
        <v>0</v>
      </c>
      <c r="BA69" s="398">
        <f t="shared" si="48"/>
        <v>16317.92</v>
      </c>
      <c r="DD69" s="391"/>
      <c r="DJ69" s="391"/>
    </row>
    <row r="70" spans="41:114" x14ac:dyDescent="0.25">
      <c r="AS70" s="386"/>
      <c r="AT70" s="386"/>
      <c r="AU70" s="386"/>
      <c r="AV70" s="386"/>
      <c r="AW70" s="386"/>
      <c r="AX70" s="386"/>
      <c r="AY70" s="386"/>
      <c r="AZ70" s="386"/>
      <c r="BA70" s="386"/>
    </row>
    <row r="71" spans="41:114" x14ac:dyDescent="0.25">
      <c r="AO71" s="396" t="s">
        <v>445</v>
      </c>
      <c r="AS71" s="399">
        <f t="shared" ref="AS71:BA71" si="49">SUM(AS63,AS69)</f>
        <v>36.049999999999997</v>
      </c>
      <c r="AT71" s="400">
        <f t="shared" si="49"/>
        <v>1648927.5499999998</v>
      </c>
      <c r="AU71" s="400">
        <f t="shared" si="49"/>
        <v>811656.94000000018</v>
      </c>
      <c r="AV71" s="400">
        <f t="shared" si="49"/>
        <v>1550723.36</v>
      </c>
      <c r="AW71" s="400">
        <f t="shared" si="49"/>
        <v>426390</v>
      </c>
      <c r="AX71" s="400">
        <f t="shared" si="49"/>
        <v>363267.78633839998</v>
      </c>
      <c r="AY71" s="400">
        <f t="shared" si="49"/>
        <v>1550723.36</v>
      </c>
      <c r="AZ71" s="400">
        <f t="shared" si="49"/>
        <v>426390</v>
      </c>
      <c r="BA71" s="400">
        <f t="shared" si="49"/>
        <v>357830.07936240005</v>
      </c>
    </row>
  </sheetData>
  <mergeCells count="5">
    <mergeCell ref="AT57:AU57"/>
    <mergeCell ref="AV57:AV58"/>
    <mergeCell ref="AW57:AX57"/>
    <mergeCell ref="AY57:AY58"/>
    <mergeCell ref="AZ57:BA57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zoomScaleNormal="100" workbookViewId="0">
      <selection activeCell="D12" sqref="D12"/>
    </sheetView>
  </sheetViews>
  <sheetFormatPr defaultColWidth="9.140625" defaultRowHeight="19.5" x14ac:dyDescent="0.3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6" width="14.28515625" style="1" bestFit="1" customWidth="1"/>
    <col min="7" max="7" width="12" style="1" bestFit="1" customWidth="1"/>
    <col min="8" max="8" width="15" style="1" bestFit="1" customWidth="1"/>
    <col min="9" max="10" width="9.140625" style="1"/>
    <col min="11" max="11" width="9.85546875" style="1" bestFit="1" customWidth="1"/>
    <col min="12" max="12" width="16.42578125" style="1" bestFit="1" customWidth="1"/>
    <col min="13" max="14" width="15.85546875" style="1" bestFit="1" customWidth="1"/>
    <col min="15" max="15" width="16.42578125" style="1" bestFit="1" customWidth="1"/>
    <col min="16" max="16384" width="9.140625" style="1"/>
  </cols>
  <sheetData>
    <row r="1" spans="1:15" x14ac:dyDescent="0.3">
      <c r="A1" s="477"/>
      <c r="B1" s="477"/>
      <c r="C1" s="477"/>
      <c r="D1" s="477"/>
      <c r="E1" s="477"/>
    </row>
    <row r="2" spans="1:15" ht="28.5" customHeight="1" x14ac:dyDescent="0.3">
      <c r="A2" s="2" t="s">
        <v>10</v>
      </c>
      <c r="B2" s="2"/>
      <c r="C2" s="2"/>
      <c r="D2" s="2"/>
      <c r="E2" s="2"/>
    </row>
    <row r="3" spans="1:15" x14ac:dyDescent="0.3">
      <c r="A3" s="3"/>
      <c r="B3" s="3"/>
      <c r="C3" s="4" t="s">
        <v>0</v>
      </c>
      <c r="D3" s="4" t="s">
        <v>1</v>
      </c>
      <c r="E3" s="3"/>
    </row>
    <row r="4" spans="1:15" ht="39" x14ac:dyDescent="0.3">
      <c r="A4" s="3"/>
      <c r="B4" s="225"/>
      <c r="C4" s="5">
        <f>D4-1</f>
        <v>2022</v>
      </c>
      <c r="D4" s="6">
        <f>FiscalYear</f>
        <v>2023</v>
      </c>
      <c r="E4" s="7" t="str">
        <f>"DIFFERENCE "&amp;D4&amp;" - "&amp;C4</f>
        <v>DIFFERENCE 2023 - 2022</v>
      </c>
      <c r="F4" s="247" t="str">
        <f>"MAX "&amp;C4</f>
        <v>MAX 2022</v>
      </c>
      <c r="G4" s="247" t="str">
        <f>"MAX "&amp;D4</f>
        <v>MAX 2023</v>
      </c>
    </row>
    <row r="5" spans="1:15" x14ac:dyDescent="0.3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137700</v>
      </c>
      <c r="G5" s="248">
        <v>142800</v>
      </c>
    </row>
    <row r="6" spans="1:15" x14ac:dyDescent="0.3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 x14ac:dyDescent="0.3">
      <c r="A7" s="3"/>
      <c r="B7" s="130" t="s">
        <v>4</v>
      </c>
      <c r="C7" s="226">
        <v>4.8999999999999998E-3</v>
      </c>
      <c r="D7" s="226">
        <v>0</v>
      </c>
      <c r="E7" s="313">
        <f t="shared" si="0"/>
        <v>-4.8999999999999998E-3</v>
      </c>
    </row>
    <row r="8" spans="1:15" x14ac:dyDescent="0.3">
      <c r="A8" s="3"/>
      <c r="B8" s="130" t="s">
        <v>5</v>
      </c>
      <c r="C8" s="235">
        <v>2.6800000000000001E-2</v>
      </c>
      <c r="D8" s="234">
        <v>2.7900000000000001E-2</v>
      </c>
      <c r="E8" s="314">
        <f t="shared" si="0"/>
        <v>1.1000000000000003E-3</v>
      </c>
    </row>
    <row r="9" spans="1:15" x14ac:dyDescent="0.3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 x14ac:dyDescent="0.3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 x14ac:dyDescent="0.3">
      <c r="A11" s="3"/>
      <c r="B11" s="130" t="s">
        <v>8</v>
      </c>
      <c r="C11" s="348">
        <v>5.535E-3</v>
      </c>
      <c r="D11" s="348">
        <v>5.535E-3</v>
      </c>
      <c r="E11" s="313">
        <f t="shared" si="0"/>
        <v>0</v>
      </c>
    </row>
    <row r="12" spans="1:15" x14ac:dyDescent="0.3">
      <c r="A12" s="3"/>
      <c r="B12" s="233" t="s">
        <v>11</v>
      </c>
      <c r="C12" s="234">
        <f>SUM(C5:C11)</f>
        <v>0.120945</v>
      </c>
      <c r="D12" s="234">
        <f>SUM(D5:D11)</f>
        <v>0.11714499999999999</v>
      </c>
      <c r="E12" s="315">
        <f>D12-C12</f>
        <v>-3.8000000000000117E-3</v>
      </c>
      <c r="M12" s="320"/>
    </row>
    <row r="13" spans="1:15" x14ac:dyDescent="0.3">
      <c r="A13" s="3"/>
      <c r="B13" s="231" t="s">
        <v>9</v>
      </c>
      <c r="C13" s="226">
        <f>SUM(C5:C8)</f>
        <v>0.1082</v>
      </c>
      <c r="D13" s="226">
        <f>SUM(D5:D8)</f>
        <v>0.10439999999999999</v>
      </c>
      <c r="E13" s="313">
        <f t="shared" si="0"/>
        <v>-3.8000000000000117E-3</v>
      </c>
      <c r="F13" s="8"/>
    </row>
    <row r="14" spans="1:15" x14ac:dyDescent="0.3">
      <c r="A14" s="230"/>
      <c r="B14" s="232" t="s">
        <v>102</v>
      </c>
      <c r="C14" s="226">
        <f>SUM(C5:C6,C8:C9)</f>
        <v>0.11051</v>
      </c>
      <c r="D14" s="226">
        <f>SUM(D5:D6,D8:D9)</f>
        <v>0.11160999999999999</v>
      </c>
      <c r="E14" s="313">
        <f>D14-C14</f>
        <v>1.0999999999999899E-3</v>
      </c>
      <c r="M14" s="320"/>
    </row>
    <row r="15" spans="1:15" x14ac:dyDescent="0.3">
      <c r="A15" s="3"/>
      <c r="B15" s="231" t="s">
        <v>12</v>
      </c>
      <c r="C15" s="228">
        <v>11650</v>
      </c>
      <c r="D15" s="228">
        <v>11650</v>
      </c>
      <c r="E15" s="311">
        <f t="shared" si="0"/>
        <v>0</v>
      </c>
      <c r="L15" s="8"/>
      <c r="O15" s="9"/>
    </row>
    <row r="16" spans="1:15" x14ac:dyDescent="0.3">
      <c r="A16" s="3"/>
      <c r="B16" s="231" t="s">
        <v>82</v>
      </c>
      <c r="C16" s="229">
        <v>9320</v>
      </c>
      <c r="D16" s="229">
        <v>9320</v>
      </c>
      <c r="E16" s="312">
        <f>PTHealthBY-PTHealth</f>
        <v>0</v>
      </c>
      <c r="H16" s="319"/>
      <c r="L16" s="8"/>
      <c r="O16" s="9"/>
    </row>
    <row r="17" spans="1:11" x14ac:dyDescent="0.3">
      <c r="B17" s="130"/>
      <c r="D17" s="1" t="s">
        <v>45</v>
      </c>
      <c r="K17" s="319"/>
    </row>
    <row r="18" spans="1:11" ht="12" customHeight="1" x14ac:dyDescent="0.3">
      <c r="C18" s="1" t="s">
        <v>45</v>
      </c>
    </row>
    <row r="19" spans="1:11" ht="39" x14ac:dyDescent="0.3">
      <c r="B19" s="10" t="s">
        <v>81</v>
      </c>
      <c r="C19" s="227">
        <f>C4</f>
        <v>2022</v>
      </c>
      <c r="D19" s="227">
        <f>BudgetYear</f>
        <v>2023</v>
      </c>
      <c r="E19" s="11" t="str">
        <f>E4</f>
        <v>DIFFERENCE 2023 - 2022</v>
      </c>
    </row>
    <row r="20" spans="1:11" x14ac:dyDescent="0.3">
      <c r="A20" s="1" t="s">
        <v>68</v>
      </c>
      <c r="B20" s="216" t="s">
        <v>75</v>
      </c>
      <c r="C20" s="362">
        <v>0.11940000000000001</v>
      </c>
      <c r="D20" s="362">
        <v>0.11940000000000001</v>
      </c>
      <c r="E20" s="363">
        <f>D20-C20</f>
        <v>0</v>
      </c>
    </row>
    <row r="21" spans="1:11" x14ac:dyDescent="0.3">
      <c r="A21" s="1" t="s">
        <v>70</v>
      </c>
      <c r="B21" s="1" t="s">
        <v>76</v>
      </c>
      <c r="C21" s="362">
        <v>0.12280000000000001</v>
      </c>
      <c r="D21" s="362">
        <v>0.12280000000000001</v>
      </c>
      <c r="E21" s="363">
        <f t="shared" ref="E21" si="1">D21-C21</f>
        <v>0</v>
      </c>
    </row>
    <row r="22" spans="1:11" x14ac:dyDescent="0.3">
      <c r="A22" s="1" t="s">
        <v>71</v>
      </c>
      <c r="B22" s="1" t="s">
        <v>77</v>
      </c>
      <c r="C22" s="362">
        <v>0.11940000000000001</v>
      </c>
      <c r="D22" s="362">
        <v>0.11940000000000001</v>
      </c>
      <c r="E22" s="363">
        <f>D22-C22</f>
        <v>0</v>
      </c>
    </row>
    <row r="23" spans="1:11" hidden="1" x14ac:dyDescent="0.3">
      <c r="A23" s="1" t="s">
        <v>72</v>
      </c>
      <c r="B23" s="1" t="s">
        <v>78</v>
      </c>
      <c r="C23" s="362">
        <v>0</v>
      </c>
      <c r="D23" s="362">
        <v>0</v>
      </c>
      <c r="E23" s="363">
        <v>0</v>
      </c>
    </row>
    <row r="24" spans="1:11" x14ac:dyDescent="0.3">
      <c r="A24" s="1" t="s">
        <v>69</v>
      </c>
      <c r="B24" s="1" t="s">
        <v>79</v>
      </c>
      <c r="C24" s="362">
        <v>0.62529999999999997</v>
      </c>
      <c r="D24" s="362">
        <v>0.62529999999999997</v>
      </c>
      <c r="E24" s="363">
        <f>D24-C24</f>
        <v>0</v>
      </c>
    </row>
    <row r="25" spans="1:11" x14ac:dyDescent="0.3">
      <c r="A25" s="1" t="s">
        <v>74</v>
      </c>
      <c r="B25" s="1" t="s">
        <v>80</v>
      </c>
      <c r="C25" s="362">
        <v>0.1084</v>
      </c>
      <c r="D25" s="362">
        <v>0.1084</v>
      </c>
      <c r="E25" s="363">
        <f>D25-C25</f>
        <v>0</v>
      </c>
    </row>
    <row r="26" spans="1:11" x14ac:dyDescent="0.3">
      <c r="A26" s="1" t="s">
        <v>73</v>
      </c>
      <c r="B26" s="1" t="s">
        <v>80</v>
      </c>
      <c r="C26" s="362">
        <v>0.1084</v>
      </c>
      <c r="D26" s="362">
        <v>0.1084</v>
      </c>
      <c r="E26" s="363">
        <f>D26-C26</f>
        <v>0</v>
      </c>
    </row>
    <row r="28" spans="1:11" x14ac:dyDescent="0.3">
      <c r="A28" s="478" t="s">
        <v>110</v>
      </c>
      <c r="B28" s="478"/>
      <c r="C28" s="478"/>
      <c r="D28" s="478"/>
      <c r="E28" s="478"/>
    </row>
    <row r="29" spans="1:11" x14ac:dyDescent="0.3">
      <c r="A29" s="478" t="s">
        <v>111</v>
      </c>
      <c r="B29" s="478"/>
      <c r="C29" s="478"/>
      <c r="D29" s="478"/>
      <c r="E29" s="478"/>
    </row>
    <row r="30" spans="1:11" ht="12.75" customHeight="1" x14ac:dyDescent="0.3">
      <c r="A30" s="247"/>
      <c r="B30" s="247"/>
      <c r="C30" s="247"/>
      <c r="D30" s="247"/>
      <c r="E30" s="247"/>
    </row>
    <row r="31" spans="1:11" x14ac:dyDescent="0.3">
      <c r="A31" s="316" t="s">
        <v>88</v>
      </c>
      <c r="B31" s="316"/>
      <c r="C31" s="247"/>
      <c r="D31" s="247"/>
      <c r="E31" s="247"/>
    </row>
    <row r="32" spans="1:11" x14ac:dyDescent="0.3">
      <c r="A32" s="316"/>
      <c r="B32" s="316" t="s">
        <v>89</v>
      </c>
      <c r="C32" s="247"/>
      <c r="D32" s="247"/>
      <c r="E32" s="247"/>
    </row>
    <row r="33" spans="1:5" x14ac:dyDescent="0.3">
      <c r="A33" s="316"/>
      <c r="B33" s="316" t="s">
        <v>90</v>
      </c>
      <c r="C33" s="247"/>
      <c r="D33" s="247"/>
      <c r="E33" s="247"/>
    </row>
    <row r="34" spans="1:5" x14ac:dyDescent="0.3">
      <c r="A34" s="316"/>
      <c r="B34" s="316" t="s">
        <v>91</v>
      </c>
      <c r="C34" s="247"/>
      <c r="D34" s="247"/>
      <c r="E34" s="247"/>
    </row>
    <row r="35" spans="1:5" x14ac:dyDescent="0.3">
      <c r="A35" s="316"/>
      <c r="B35" s="316" t="s">
        <v>92</v>
      </c>
      <c r="C35" s="247"/>
      <c r="D35" s="247"/>
      <c r="E35" s="247"/>
    </row>
    <row r="36" spans="1:5" x14ac:dyDescent="0.3">
      <c r="A36" s="316"/>
      <c r="B36" s="316" t="s">
        <v>93</v>
      </c>
      <c r="C36" s="247"/>
      <c r="D36" s="247"/>
      <c r="E36" s="247"/>
    </row>
    <row r="38" spans="1:5" x14ac:dyDescent="0.3">
      <c r="B38" s="317" t="s">
        <v>103</v>
      </c>
      <c r="C38" s="318">
        <v>0.01</v>
      </c>
    </row>
    <row r="39" spans="1:5" x14ac:dyDescent="0.3">
      <c r="B39" s="341" t="s">
        <v>104</v>
      </c>
      <c r="C39" s="340">
        <v>0.01</v>
      </c>
    </row>
    <row r="40" spans="1:5" x14ac:dyDescent="0.3">
      <c r="B40" s="342" t="s">
        <v>109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67"/>
      <c r="N1" s="468"/>
      <c r="AA1" s="337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113</v>
      </c>
      <c r="M2" s="469"/>
      <c r="N2" s="470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114</v>
      </c>
      <c r="M3" s="467"/>
      <c r="N3" s="468"/>
      <c r="AA3" s="337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7">
        <v>2023</v>
      </c>
      <c r="N4" s="468"/>
      <c r="AA4" s="337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69"/>
      <c r="J5" s="471"/>
      <c r="K5" s="471"/>
      <c r="L5" s="470"/>
      <c r="M5" s="352" t="s">
        <v>115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37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256" t="s">
        <v>21</v>
      </c>
      <c r="C8" s="472" t="s">
        <v>22</v>
      </c>
      <c r="D8" s="473"/>
      <c r="E8" s="332" t="s">
        <v>23</v>
      </c>
      <c r="F8" s="49" t="s">
        <v>24</v>
      </c>
      <c r="G8" s="50" t="str">
        <f>"FY "&amp;[0]!FiscalYear-1&amp;" SALARY"</f>
        <v>FY 2022 SALARY</v>
      </c>
      <c r="H8" s="50" t="str">
        <f>"FY "&amp;[0]!FiscalYear-1&amp;" HEALTH BENEFITS"</f>
        <v>FY 2022 HEALTH BENEFITS</v>
      </c>
      <c r="I8" s="50" t="str">
        <f>"FY "&amp;[0]!FiscalYear-1&amp;" VAR BENEFITS"</f>
        <v>FY 2022 VAR BENEFITS</v>
      </c>
      <c r="J8" s="50" t="str">
        <f>"FY "&amp;[0]!FiscalYear-1&amp;" TOTAL"</f>
        <v>FY 2022 TOTAL</v>
      </c>
      <c r="K8" s="50" t="str">
        <f>"FY "&amp;[0]!FiscalYear&amp;" SALARY CHANGE"</f>
        <v>FY 2023 SALARY CHANGE</v>
      </c>
      <c r="L8" s="50" t="str">
        <f>"FY "&amp;[0]!FiscalYear&amp;" CHG HEALTH BENEFITS"</f>
        <v>FY 2023 CHG HEALTH BENEFITS</v>
      </c>
      <c r="M8" s="50" t="str">
        <f>"FY "&amp;[0]!FiscalYear&amp;"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3" t="s">
        <v>105</v>
      </c>
      <c r="AB8" s="463"/>
      <c r="AC8" s="46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4" t="s">
        <v>26</v>
      </c>
      <c r="D9" s="46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3" t="s">
        <v>27</v>
      </c>
      <c r="D10" s="466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3" t="s">
        <v>28</v>
      </c>
      <c r="D11" s="466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3" t="s">
        <v>29</v>
      </c>
      <c r="D12" s="444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3" t="s">
        <v>30</v>
      </c>
      <c r="D13" s="466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"&amp;[0]!FiscalYear-1</f>
        <v>FY 2022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3" t="s">
        <v>32</v>
      </c>
      <c r="D16" s="454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IF([0]!OrigApprop=0,"ERROR! Enter Original Appropriation amount in DU 3.00!","Calculated "&amp;IF([0]!AdjustedTotal&gt;0,"overfunding ","underfunding ")&amp;"is "&amp;TEXT([0]!AdjustedTotal/[0]!AppropTotal,"#.0%;(#.0% );0% ;")&amp;" of Original Appropriation")</f>
        <v>ERROR! Enter Original Appropriation amount in DU 3.00!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5" t="s">
        <v>34</v>
      </c>
      <c r="D17" s="45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7" t="s">
        <v>35</v>
      </c>
      <c r="D18" s="45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59" t="s">
        <v>37</v>
      </c>
      <c r="D37" s="46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1" t="s">
        <v>107</v>
      </c>
      <c r="AB37" s="462"/>
      <c r="AC37" s="46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3" t="str">
        <f>perm_name</f>
        <v>Permanent Positions</v>
      </c>
      <c r="D38" s="444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3" t="str">
        <f>Group_name</f>
        <v>Board &amp; Group Positions</v>
      </c>
      <c r="D39" s="444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3" t="s">
        <v>38</v>
      </c>
      <c r="D41" s="444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5"/>
      <c r="D42" s="44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7" t="s">
        <v>39</v>
      </c>
      <c r="D43" s="448"/>
      <c r="E43" s="203" t="s">
        <v>40</v>
      </c>
      <c r="F43" s="205">
        <f>ROUND(F51-F41,2)</f>
        <v>0</v>
      </c>
      <c r="G43" s="206">
        <f>ROUND(G51-G41,-2)</f>
        <v>0</v>
      </c>
      <c r="H43" s="159">
        <f>ROUND(H51-H41,-2)</f>
        <v>0</v>
      </c>
      <c r="I43" s="159">
        <f>ROUND(I51-I41,-2)</f>
        <v>0</v>
      </c>
      <c r="J43" s="159">
        <f>SUM(G43:I43)</f>
        <v>0</v>
      </c>
      <c r="K43" s="424" t="str">
        <f>IF(E51=0,"ERROR! Enter Original Appropriation amount in DU 3.00!","Calculated "&amp;IF(J43&gt;0,"overfunding ","underfunding ")&amp;"is "&amp;TEXT(J43/J51,"#.0%;(#.0% );0% ;")&amp;" of Original Appropriation")</f>
        <v>ERROR! Enter Original Appropriation amount in DU 3.00!</v>
      </c>
      <c r="L43" s="425"/>
      <c r="M43" s="425"/>
      <c r="N43" s="426"/>
      <c r="O43"/>
      <c r="P43"/>
      <c r="Q43"/>
      <c r="R43"/>
      <c r="S43"/>
      <c r="T43"/>
      <c r="U43"/>
      <c r="V43"/>
      <c r="W43"/>
      <c r="X43"/>
      <c r="Y43"/>
      <c r="Z43" s="344"/>
      <c r="AA43" s="451" t="s">
        <v>108</v>
      </c>
      <c r="AB43" s="452"/>
      <c r="AC43" s="45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9"/>
      <c r="D44" s="450"/>
      <c r="E44" s="204" t="s">
        <v>41</v>
      </c>
      <c r="F44" s="205">
        <f>ROUND(F60-F41,2)</f>
        <v>0</v>
      </c>
      <c r="G44" s="206">
        <f>ROUND(G60-G41,-2)</f>
        <v>0</v>
      </c>
      <c r="H44" s="159">
        <f>ROUND(H60-H41,-2)</f>
        <v>0</v>
      </c>
      <c r="I44" s="159">
        <f>ROUND(I60-I41,-2)</f>
        <v>0</v>
      </c>
      <c r="J44" s="159">
        <f>SUM(G44:I44)</f>
        <v>0</v>
      </c>
      <c r="K44" s="424" t="str">
        <f>IF(E51=0,"ERROR! Enter Original Appropriation amount in DU 3.00!","Calculated "&amp;IF(J44&gt;0,"overfunding ","underfunding ")&amp;"is "&amp;TEXT(J44/J60,"#.0%;(#.0% );0% ;")&amp;" of Estimated Expenditures")</f>
        <v>ERROR! Enter Original Appropriation amount in DU 3.00!</v>
      </c>
      <c r="L44" s="425"/>
      <c r="M44" s="425"/>
      <c r="N44" s="426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>
        <f>ROUND(G67-G41-G63,-2)</f>
        <v>0</v>
      </c>
      <c r="H45" s="206">
        <f>ROUND(H67-H41-H63,-2)</f>
        <v>0</v>
      </c>
      <c r="I45" s="206">
        <f>ROUND(I67-I41-I63,-2)</f>
        <v>0</v>
      </c>
      <c r="J45" s="159">
        <f>SUM(G45:I45)</f>
        <v>0</v>
      </c>
      <c r="K45" s="424" t="str">
        <f>IF(J67=0,"Program has a zero base",IF(E51=0,"ERROR! Enter Original Appropriation amount in DU 3.00!","Calculated "&amp;IF(J45&gt;0,"overfunding ","underfunding ")&amp;"is "&amp;TEXT(J45/J67,"#.0%;(#.0% );0% ;")&amp;" of the Base"))</f>
        <v>Program has a zero base</v>
      </c>
      <c r="L45" s="425"/>
      <c r="M45" s="425"/>
      <c r="N45" s="426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7" t="s">
        <v>100</v>
      </c>
      <c r="F46" s="428"/>
      <c r="G46" s="428"/>
      <c r="H46" s="428"/>
      <c r="I46" s="428"/>
      <c r="J46" s="429"/>
      <c r="K46" s="433" t="str">
        <f>IF(OR(J45&lt;0,F45&lt;0),"You may not have sufficient funding or authorized FTP, and may need to make additional adjustments to finalize this form.  Please contact both your DFM and LSO analysts.","")</f>
        <v/>
      </c>
      <c r="L46" s="434"/>
      <c r="M46" s="434"/>
      <c r="N46" s="435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0"/>
      <c r="F47" s="431"/>
      <c r="G47" s="431"/>
      <c r="H47" s="431"/>
      <c r="I47" s="431"/>
      <c r="J47" s="432"/>
      <c r="K47" s="436"/>
      <c r="L47" s="437"/>
      <c r="M47" s="437"/>
      <c r="N47" s="438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39"/>
      <c r="D50" s="440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1" t="s">
        <v>47</v>
      </c>
      <c r="D53" s="442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8" t="s">
        <v>48</v>
      </c>
      <c r="D54" s="409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1" t="s">
        <v>49</v>
      </c>
      <c r="D55" s="422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9" t="s">
        <v>51</v>
      </c>
      <c r="D57" s="423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8" t="s">
        <v>52</v>
      </c>
      <c r="D58" s="409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1" t="s">
        <v>66</v>
      </c>
      <c r="D59" s="422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9" t="s">
        <v>54</v>
      </c>
      <c r="D61" s="423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8" t="s">
        <v>67</v>
      </c>
      <c r="D62" s="409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8" t="s">
        <v>55</v>
      </c>
      <c r="D63" s="409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3" t="s">
        <v>56</v>
      </c>
      <c r="D64" s="414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5"/>
      <c r="D65" s="416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7"/>
      <c r="D66" s="418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9" t="s">
        <v>58</v>
      </c>
      <c r="D68" s="420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9" t="s">
        <v>59</v>
      </c>
      <c r="D69" s="420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6"/>
      <c r="D70" s="407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8" t="s">
        <v>60</v>
      </c>
      <c r="D71" s="409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8" t="s">
        <v>101</v>
      </c>
      <c r="D72" s="410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8" t="s">
        <v>61</v>
      </c>
      <c r="D73" s="410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114" t="s">
        <v>62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1" t="s">
        <v>64</v>
      </c>
      <c r="D76" s="412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4"/>
      <c r="D77" s="405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4"/>
      <c r="D78" s="405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4"/>
      <c r="D79" s="405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  <mergeCell ref="M1:N1"/>
    <mergeCell ref="M2:N2"/>
    <mergeCell ref="M3:N3"/>
    <mergeCell ref="M4:N4"/>
    <mergeCell ref="I5:L5"/>
    <mergeCell ref="C64:D64"/>
    <mergeCell ref="C57:D57"/>
    <mergeCell ref="C58:D58"/>
    <mergeCell ref="C59:D59"/>
    <mergeCell ref="K45:N45"/>
    <mergeCell ref="K46:N47"/>
    <mergeCell ref="E46:J47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</mergeCells>
  <conditionalFormatting sqref="K44">
    <cfRule type="expression" dxfId="5" priority="5">
      <formula>$J$44&lt;0</formula>
    </cfRule>
  </conditionalFormatting>
  <conditionalFormatting sqref="K43">
    <cfRule type="expression" dxfId="4" priority="4">
      <formula>$J$43&lt;0</formula>
    </cfRule>
  </conditionalFormatting>
  <conditionalFormatting sqref="L16">
    <cfRule type="expression" dxfId="3" priority="3">
      <formula>$J$16&lt;0</formula>
    </cfRule>
  </conditionalFormatting>
  <conditionalFormatting sqref="K45">
    <cfRule type="expression" dxfId="2" priority="2">
      <formula>$J$44&lt;0</formula>
    </cfRule>
  </conditionalFormatting>
  <conditionalFormatting sqref="K43:N45">
    <cfRule type="containsText" dxfId="1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10"/>
  <sheetViews>
    <sheetView workbookViewId="0">
      <selection activeCell="A2" sqref="A2:L10"/>
    </sheetView>
  </sheetViews>
  <sheetFormatPr defaultRowHeight="15" x14ac:dyDescent="0.25"/>
  <cols>
    <col min="1" max="1" width="9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9.5703125" customWidth="1"/>
    <col min="8" max="8" width="13.7109375" customWidth="1"/>
    <col min="9" max="9" width="0" hidden="1" customWidth="1"/>
    <col min="10" max="10" width="18.42578125" customWidth="1"/>
    <col min="11" max="11" width="16.42578125" customWidth="1"/>
    <col min="12" max="12" width="16.140625" customWidth="1"/>
  </cols>
  <sheetData>
    <row r="1" spans="1:12" x14ac:dyDescent="0.25">
      <c r="A1" s="394" t="s">
        <v>433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39" x14ac:dyDescent="0.25">
      <c r="A2" s="472" t="s">
        <v>22</v>
      </c>
      <c r="B2" s="473"/>
      <c r="C2" s="370" t="s">
        <v>23</v>
      </c>
      <c r="D2" s="49" t="s">
        <v>24</v>
      </c>
      <c r="E2" s="50" t="str">
        <f>"FY "&amp;'LEAF|0229-15'!FiscalYear-1&amp;" SALARY"</f>
        <v>FY 2022 SALARY</v>
      </c>
      <c r="F2" s="50" t="str">
        <f>"FY "&amp;'LEAF|0229-15'!FiscalYear-1&amp;" HEALTH BENEFITS"</f>
        <v>FY 2022 HEALTH BENEFITS</v>
      </c>
      <c r="G2" s="50" t="str">
        <f>"FY "&amp;'LEAF|0229-15'!FiscalYear-1&amp;" VAR BENEFITS"</f>
        <v>FY 2022 VAR BENEFITS</v>
      </c>
      <c r="H2" s="50" t="str">
        <f>"FY "&amp;'LEAF|0229-15'!FiscalYear-1&amp;" TOTAL"</f>
        <v>FY 2022 TOTAL</v>
      </c>
      <c r="I2" s="50" t="str">
        <f>"FY "&amp;'LEAF|0229-15'!FiscalYear&amp;" SALARY CHANGE"</f>
        <v>FY 2023 SALARY CHANGE</v>
      </c>
      <c r="J2" s="50" t="str">
        <f>"FY "&amp;'LEAF|0229-15'!FiscalYear&amp;" CHG HEALTH BENEFITS"</f>
        <v>FY 2023 CHG HEALTH BENEFITS</v>
      </c>
      <c r="K2" s="50" t="str">
        <f>"FY "&amp;'LEAF|0229-15'!FiscalYear&amp;" CHG VAR BENEFITS"</f>
        <v>FY 2023 CHG VAR BENEFITS</v>
      </c>
      <c r="L2" s="50" t="s">
        <v>25</v>
      </c>
    </row>
    <row r="3" spans="1:12" x14ac:dyDescent="0.25">
      <c r="A3" s="464" t="s">
        <v>26</v>
      </c>
      <c r="B3" s="465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 x14ac:dyDescent="0.25">
      <c r="A4" s="443" t="s">
        <v>27</v>
      </c>
      <c r="B4" s="466"/>
      <c r="C4" s="217">
        <v>1</v>
      </c>
      <c r="D4" s="288">
        <f>[0]!LEAF022915col_INC_FTI</f>
        <v>36.049999999999997</v>
      </c>
      <c r="E4" s="218">
        <f>[0]!LEAF022915col_FTI_SALARY_PERM</f>
        <v>1430975.52</v>
      </c>
      <c r="F4" s="218">
        <f>[0]!LEAF022915col_HEALTH_PERM</f>
        <v>426390</v>
      </c>
      <c r="G4" s="218">
        <f>[0]!LEAF022915col_TOT_VB_PERM</f>
        <v>346949.8663384</v>
      </c>
      <c r="H4" s="219">
        <f>SUM(E4:G4)</f>
        <v>2204315.3863384002</v>
      </c>
      <c r="I4" s="219">
        <f>[0]!LEAF022915col_1_27TH_PP</f>
        <v>0</v>
      </c>
      <c r="J4" s="218">
        <f>[0]!LEAF022915col_HEALTH_PERM_CHG</f>
        <v>0</v>
      </c>
      <c r="K4" s="218">
        <f>[0]!LEAF022915col_TOT_VB_PERM_CHG</f>
        <v>-5437.7069760000004</v>
      </c>
      <c r="L4" s="218">
        <f>SUM(J4:K4)</f>
        <v>-5437.7069760000004</v>
      </c>
    </row>
    <row r="5" spans="1:12" x14ac:dyDescent="0.25">
      <c r="A5" s="443" t="s">
        <v>28</v>
      </c>
      <c r="B5" s="466"/>
      <c r="C5" s="217">
        <v>2</v>
      </c>
      <c r="D5" s="288"/>
      <c r="E5" s="218">
        <f>[0]!LEAF022915col_Group_Salary</f>
        <v>119747.84</v>
      </c>
      <c r="F5" s="218">
        <v>0</v>
      </c>
      <c r="G5" s="218">
        <f>[0]!LEAF022915col_Group_Ben</f>
        <v>16317.92</v>
      </c>
      <c r="H5" s="219">
        <f>SUM(E5:G5)</f>
        <v>136065.76</v>
      </c>
      <c r="I5" s="268"/>
      <c r="J5" s="218"/>
      <c r="K5" s="218"/>
      <c r="L5" s="218"/>
    </row>
    <row r="6" spans="1:12" x14ac:dyDescent="0.25">
      <c r="A6" s="443" t="s">
        <v>29</v>
      </c>
      <c r="B6" s="444"/>
      <c r="C6" s="217">
        <v>3</v>
      </c>
      <c r="D6" s="288">
        <f>[0]!LEAF022915col_TOTAL_ELECT_PCN_FTI</f>
        <v>0</v>
      </c>
      <c r="E6" s="218">
        <f>[0]!LEAF022915col_FTI_SALARY_ELECT</f>
        <v>0</v>
      </c>
      <c r="F6" s="218">
        <f>[0]!LEAF022915col_HEALTH_ELECT</f>
        <v>0</v>
      </c>
      <c r="G6" s="218">
        <f>[0]!LEAF022915col_TOT_VB_ELECT</f>
        <v>0</v>
      </c>
      <c r="H6" s="219">
        <f>SUM(E6:G6)</f>
        <v>0</v>
      </c>
      <c r="I6" s="268"/>
      <c r="J6" s="218">
        <f>[0]!LEAF022915col_HEALTH_ELECT_CHG</f>
        <v>0</v>
      </c>
      <c r="K6" s="218">
        <f>[0]!LEAF022915col_TOT_VB_ELECT_CHG</f>
        <v>0</v>
      </c>
      <c r="L6" s="219">
        <f>SUM(J6:K6)</f>
        <v>0</v>
      </c>
    </row>
    <row r="7" spans="1:12" x14ac:dyDescent="0.25">
      <c r="A7" s="443" t="s">
        <v>30</v>
      </c>
      <c r="B7" s="466"/>
      <c r="C7" s="217"/>
      <c r="D7" s="220">
        <f>SUM(D4:D6)</f>
        <v>36.049999999999997</v>
      </c>
      <c r="E7" s="221">
        <f>SUM(E4:E6)</f>
        <v>1550723.36</v>
      </c>
      <c r="F7" s="221">
        <f>SUM(F4:F6)</f>
        <v>426390</v>
      </c>
      <c r="G7" s="221">
        <f>SUM(G4:G6)</f>
        <v>363267.78633839998</v>
      </c>
      <c r="H7" s="219">
        <f>SUM(E7:G7)</f>
        <v>2340381.1463384</v>
      </c>
      <c r="I7" s="268"/>
      <c r="J7" s="219">
        <f>SUM(J4:J6)</f>
        <v>0</v>
      </c>
      <c r="K7" s="219">
        <f>SUM(K4:K6)</f>
        <v>-5437.7069760000004</v>
      </c>
      <c r="L7" s="219">
        <f>SUM(L4:L6)</f>
        <v>-5437.7069760000004</v>
      </c>
    </row>
    <row r="8" spans="1:12" x14ac:dyDescent="0.25">
      <c r="A8" s="365"/>
      <c r="B8" s="371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 x14ac:dyDescent="0.25">
      <c r="A9" s="157" t="str">
        <f>"FY "&amp;'LEAF|0229-15'!FiscalYear-1</f>
        <v>FY 2022</v>
      </c>
      <c r="B9" s="158" t="s">
        <v>31</v>
      </c>
      <c r="C9" s="355">
        <v>2745800</v>
      </c>
      <c r="D9" s="55">
        <v>40.090000000000003</v>
      </c>
      <c r="E9" s="223">
        <f>IF('LEAF|0229-15'!OrigApprop=0,0,(E7/H7)*'LEAF|0229-15'!OrigApprop)</f>
        <v>1819351.6079847668</v>
      </c>
      <c r="F9" s="223">
        <f>IF('LEAF|0229-15'!OrigApprop=0,0,(F7/H7)*'LEAF|0229-15'!OrigApprop)</f>
        <v>500252.5609265503</v>
      </c>
      <c r="G9" s="223">
        <f>IF(E9=0,0,(G7/H7)*'LEAF|0229-15'!OrigApprop)</f>
        <v>426195.83108868287</v>
      </c>
      <c r="H9" s="223">
        <f>SUM(E9:G9)</f>
        <v>2745800</v>
      </c>
      <c r="I9" s="268"/>
      <c r="J9" s="224"/>
      <c r="K9" s="224"/>
      <c r="L9" s="224"/>
    </row>
    <row r="10" spans="1:12" x14ac:dyDescent="0.25">
      <c r="A10" s="453" t="s">
        <v>32</v>
      </c>
      <c r="B10" s="454"/>
      <c r="C10" s="160" t="s">
        <v>33</v>
      </c>
      <c r="D10" s="161">
        <f>D9-D7</f>
        <v>4.0400000000000063</v>
      </c>
      <c r="E10" s="162">
        <f>E9-E7</f>
        <v>268628.24798476673</v>
      </c>
      <c r="F10" s="162">
        <f>F9-F7</f>
        <v>73862.560926550301</v>
      </c>
      <c r="G10" s="162">
        <f>G9-G7</f>
        <v>62928.04475028289</v>
      </c>
      <c r="H10" s="162">
        <f>H9-H7</f>
        <v>405418.85366160003</v>
      </c>
      <c r="I10" s="269"/>
      <c r="J10" s="56" t="str">
        <f>IF('LEAF|0229-15'!OrigApprop=0,"ERROR! Enter Original Appropriation amount in DU 3.00!","Calculated "&amp;IF('LEAF|0229-15'!AdjustedTotal&gt;0,"overfunding ","underfunding ")&amp;"is "&amp;TEXT('LEAF|0229-15'!AdjustedTotal/'LEAF|0229-15'!AppropTotal,"#.0%;(#.0% );0% ;")&amp;" of Original Appropriation")</f>
        <v>Calculated overfunding is 14.8% of Original Appropriation</v>
      </c>
      <c r="K10" s="163"/>
      <c r="L10" s="164"/>
    </row>
  </sheetData>
  <mergeCells count="7">
    <mergeCell ref="A10:B10"/>
    <mergeCell ref="A2:B2"/>
    <mergeCell ref="A3:B3"/>
    <mergeCell ref="A4:B4"/>
    <mergeCell ref="A5:B5"/>
    <mergeCell ref="A6:B6"/>
    <mergeCell ref="A7:B7"/>
  </mergeCells>
  <conditionalFormatting sqref="J10">
    <cfRule type="expression" dxfId="0" priority="1">
      <formula>$J$16&lt;0</formula>
    </cfRule>
  </conditionalFormatting>
  <pageMargins left="0.7" right="0.7" top="0.75" bottom="0.75" header="0.3" footer="0.3"/>
  <pageSetup scale="66" orientation="landscape" r:id="rId1"/>
  <headerFooter>
    <oddHeader>&amp;L&amp;"Arial"&amp;14 Idaho State Police&amp;R&amp;"Arial"&amp;10 Agency 331</oddHeader>
    <oddFooter>&amp;L&amp;"Arial"&amp;10 B6:Summary by Program, by Fund&amp;R&amp;"Arial"&amp;10 FY 2022 Request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19"/>
  <sheetViews>
    <sheetView workbookViewId="0">
      <selection activeCell="E8" sqref="E8:M19"/>
    </sheetView>
  </sheetViews>
  <sheetFormatPr defaultRowHeight="15" x14ac:dyDescent="0.25"/>
  <cols>
    <col min="1" max="1" width="2.7109375" customWidth="1"/>
    <col min="2" max="2" width="9.5703125" bestFit="1" customWidth="1"/>
    <col min="3" max="3" width="7.7109375" bestFit="1" customWidth="1"/>
    <col min="4" max="4" width="5.7109375" customWidth="1"/>
    <col min="5" max="5" width="6.7109375" bestFit="1" customWidth="1"/>
    <col min="6" max="6" width="13.42578125" bestFit="1" customWidth="1"/>
    <col min="7" max="7" width="14" bestFit="1" customWidth="1"/>
    <col min="8" max="8" width="13.42578125" bestFit="1" customWidth="1"/>
    <col min="9" max="9" width="15.42578125" bestFit="1" customWidth="1"/>
    <col min="10" max="10" width="17" bestFit="1" customWidth="1"/>
    <col min="11" max="11" width="13.42578125" bestFit="1" customWidth="1"/>
    <col min="12" max="12" width="15.42578125" bestFit="1" customWidth="1"/>
    <col min="13" max="13" width="17" bestFit="1" customWidth="1"/>
  </cols>
  <sheetData>
    <row r="2" spans="1:13" ht="21" x14ac:dyDescent="0.35">
      <c r="A2" s="251" t="s">
        <v>97</v>
      </c>
      <c r="B2" s="251"/>
      <c r="C2" s="251"/>
    </row>
    <row r="4" spans="1:13" ht="21" x14ac:dyDescent="0.35">
      <c r="A4" s="252"/>
      <c r="B4" s="252"/>
      <c r="C4" s="252"/>
    </row>
    <row r="5" spans="1:13" ht="15.75" customHeight="1" x14ac:dyDescent="0.25">
      <c r="E5" s="255" t="s">
        <v>83</v>
      </c>
      <c r="F5" s="474" t="s">
        <v>437</v>
      </c>
      <c r="G5" s="474"/>
      <c r="H5" s="475" t="s">
        <v>435</v>
      </c>
      <c r="I5" s="474" t="s">
        <v>438</v>
      </c>
      <c r="J5" s="474"/>
      <c r="K5" s="475" t="s">
        <v>436</v>
      </c>
      <c r="L5" s="474" t="s">
        <v>439</v>
      </c>
      <c r="M5" s="474"/>
    </row>
    <row r="6" spans="1:13" ht="15.75" x14ac:dyDescent="0.25">
      <c r="E6" s="249"/>
      <c r="F6" s="253" t="s">
        <v>94</v>
      </c>
      <c r="G6" s="254" t="s">
        <v>96</v>
      </c>
      <c r="H6" s="476"/>
      <c r="I6" s="253" t="s">
        <v>98</v>
      </c>
      <c r="J6" s="254" t="s">
        <v>95</v>
      </c>
      <c r="K6" s="476"/>
      <c r="L6" s="278" t="s">
        <v>98</v>
      </c>
      <c r="M6" s="254" t="s">
        <v>95</v>
      </c>
    </row>
    <row r="7" spans="1:13" x14ac:dyDescent="0.25">
      <c r="A7" s="391" t="s">
        <v>440</v>
      </c>
      <c r="D7" s="250"/>
    </row>
    <row r="8" spans="1:13" x14ac:dyDescent="0.25">
      <c r="C8" t="s">
        <v>431</v>
      </c>
      <c r="D8" s="250"/>
      <c r="E8" s="401">
        <f>Data!AS60</f>
        <v>36.049999999999997</v>
      </c>
      <c r="F8" s="401">
        <f>Data!AT60</f>
        <v>1529179.7099999997</v>
      </c>
      <c r="G8" s="401">
        <f>Data!AU60</f>
        <v>795339.02000000014</v>
      </c>
      <c r="H8" s="401">
        <f>Data!AV60</f>
        <v>1430975.52</v>
      </c>
      <c r="I8" s="401">
        <f>Data!AW60</f>
        <v>426390</v>
      </c>
      <c r="J8" s="401">
        <f>Data!AX60</f>
        <v>346949.8663384</v>
      </c>
      <c r="K8" s="401">
        <f>Data!AY60</f>
        <v>1430975.52</v>
      </c>
      <c r="L8" s="401">
        <f>Data!AZ60</f>
        <v>426390</v>
      </c>
      <c r="M8" s="401">
        <f>Data!BA60</f>
        <v>341512.15936240007</v>
      </c>
    </row>
    <row r="9" spans="1:13" x14ac:dyDescent="0.25">
      <c r="B9" t="s">
        <v>441</v>
      </c>
      <c r="D9" s="250"/>
      <c r="E9" s="402">
        <f>Data!AS61</f>
        <v>36.049999999999997</v>
      </c>
      <c r="F9" s="402">
        <f>Data!AT61</f>
        <v>1529179.7099999997</v>
      </c>
      <c r="G9" s="402">
        <f>Data!AU61</f>
        <v>795339.02000000014</v>
      </c>
      <c r="H9" s="402">
        <f>Data!AV61</f>
        <v>1430975.52</v>
      </c>
      <c r="I9" s="402">
        <f>Data!AW61</f>
        <v>426390</v>
      </c>
      <c r="J9" s="402">
        <f>Data!AX61</f>
        <v>346949.8663384</v>
      </c>
      <c r="K9" s="402">
        <f>Data!AY61</f>
        <v>1430975.52</v>
      </c>
      <c r="L9" s="402">
        <f>Data!AZ61</f>
        <v>426390</v>
      </c>
      <c r="M9" s="402">
        <f>Data!BA61</f>
        <v>341512.15936240007</v>
      </c>
    </row>
    <row r="10" spans="1:13" x14ac:dyDescent="0.25">
      <c r="D10" s="250"/>
      <c r="E10" s="401">
        <f>Data!AS62</f>
        <v>0</v>
      </c>
      <c r="F10" s="401">
        <f>Data!AT62</f>
        <v>0</v>
      </c>
      <c r="G10" s="401">
        <f>Data!AU62</f>
        <v>0</v>
      </c>
      <c r="H10" s="401">
        <f>Data!AV62</f>
        <v>0</v>
      </c>
      <c r="I10" s="401">
        <f>Data!AW62</f>
        <v>0</v>
      </c>
      <c r="J10" s="401">
        <f>Data!AX62</f>
        <v>0</v>
      </c>
      <c r="K10" s="401">
        <f>Data!AY62</f>
        <v>0</v>
      </c>
      <c r="L10" s="401">
        <f>Data!AZ62</f>
        <v>0</v>
      </c>
      <c r="M10" s="401">
        <f>Data!BA62</f>
        <v>0</v>
      </c>
    </row>
    <row r="11" spans="1:13" x14ac:dyDescent="0.25">
      <c r="A11" s="395" t="s">
        <v>442</v>
      </c>
      <c r="D11" s="250"/>
      <c r="E11" s="403">
        <f>Data!AS63</f>
        <v>36.049999999999997</v>
      </c>
      <c r="F11" s="403">
        <f>Data!AT63</f>
        <v>1529179.7099999997</v>
      </c>
      <c r="G11" s="403">
        <f>Data!AU63</f>
        <v>795339.02000000014</v>
      </c>
      <c r="H11" s="403">
        <f>Data!AV63</f>
        <v>1430975.52</v>
      </c>
      <c r="I11" s="403">
        <f>Data!AW63</f>
        <v>426390</v>
      </c>
      <c r="J11" s="403">
        <f>Data!AX63</f>
        <v>346949.8663384</v>
      </c>
      <c r="K11" s="403">
        <f>Data!AY63</f>
        <v>1430975.52</v>
      </c>
      <c r="L11" s="403">
        <f>Data!AZ63</f>
        <v>426390</v>
      </c>
      <c r="M11" s="403">
        <f>Data!BA63</f>
        <v>341512.15936240007</v>
      </c>
    </row>
    <row r="12" spans="1:13" x14ac:dyDescent="0.25">
      <c r="D12" s="250"/>
      <c r="E12" s="401">
        <f>Data!AS64</f>
        <v>0</v>
      </c>
      <c r="F12" s="401">
        <f>Data!AT64</f>
        <v>0</v>
      </c>
      <c r="G12" s="401">
        <f>Data!AU64</f>
        <v>0</v>
      </c>
      <c r="H12" s="401">
        <f>Data!AV64</f>
        <v>0</v>
      </c>
      <c r="I12" s="401">
        <f>Data!AW64</f>
        <v>0</v>
      </c>
      <c r="J12" s="401">
        <f>Data!AX64</f>
        <v>0</v>
      </c>
      <c r="K12" s="401">
        <f>Data!AY64</f>
        <v>0</v>
      </c>
      <c r="L12" s="401">
        <f>Data!AZ64</f>
        <v>0</v>
      </c>
      <c r="M12" s="401">
        <f>Data!BA64</f>
        <v>0</v>
      </c>
    </row>
    <row r="13" spans="1:13" x14ac:dyDescent="0.25">
      <c r="A13" s="391" t="s">
        <v>443</v>
      </c>
      <c r="D13" s="250"/>
      <c r="E13" s="401">
        <f>Data!AS65</f>
        <v>0</v>
      </c>
      <c r="F13" s="401">
        <f>Data!AT65</f>
        <v>0</v>
      </c>
      <c r="G13" s="401">
        <f>Data!AU65</f>
        <v>0</v>
      </c>
      <c r="H13" s="401">
        <f>Data!AV65</f>
        <v>0</v>
      </c>
      <c r="I13" s="401">
        <f>Data!AW65</f>
        <v>0</v>
      </c>
      <c r="J13" s="401">
        <f>Data!AX65</f>
        <v>0</v>
      </c>
      <c r="K13" s="401">
        <f>Data!AY65</f>
        <v>0</v>
      </c>
      <c r="L13" s="401">
        <f>Data!AZ65</f>
        <v>0</v>
      </c>
      <c r="M13" s="401">
        <f>Data!BA65</f>
        <v>0</v>
      </c>
    </row>
    <row r="14" spans="1:13" x14ac:dyDescent="0.25">
      <c r="C14" t="s">
        <v>431</v>
      </c>
      <c r="E14" s="401">
        <f>Data!AS66</f>
        <v>0</v>
      </c>
      <c r="F14" s="401">
        <f>Data!AT66</f>
        <v>119747.84</v>
      </c>
      <c r="G14" s="401">
        <f>Data!AU66</f>
        <v>16317.92</v>
      </c>
      <c r="H14" s="401">
        <f>Data!AV66</f>
        <v>119747.84</v>
      </c>
      <c r="I14" s="401">
        <f>Data!AW66</f>
        <v>0</v>
      </c>
      <c r="J14" s="401">
        <f>Data!AX66</f>
        <v>16317.92</v>
      </c>
      <c r="K14" s="401">
        <f>Data!AY66</f>
        <v>119747.84</v>
      </c>
      <c r="L14" s="401">
        <f>Data!AZ66</f>
        <v>0</v>
      </c>
      <c r="M14" s="401">
        <f>Data!BA66</f>
        <v>16317.92</v>
      </c>
    </row>
    <row r="15" spans="1:13" x14ac:dyDescent="0.25">
      <c r="B15" t="s">
        <v>441</v>
      </c>
      <c r="E15" s="402">
        <f>Data!AS67</f>
        <v>0</v>
      </c>
      <c r="F15" s="402">
        <f>Data!AT67</f>
        <v>119747.84</v>
      </c>
      <c r="G15" s="402">
        <f>Data!AU67</f>
        <v>16317.92</v>
      </c>
      <c r="H15" s="402">
        <f>Data!AV67</f>
        <v>119747.84</v>
      </c>
      <c r="I15" s="402">
        <f>Data!AW67</f>
        <v>0</v>
      </c>
      <c r="J15" s="402">
        <f>Data!AX67</f>
        <v>16317.92</v>
      </c>
      <c r="K15" s="402">
        <f>Data!AY67</f>
        <v>119747.84</v>
      </c>
      <c r="L15" s="402">
        <f>Data!AZ67</f>
        <v>0</v>
      </c>
      <c r="M15" s="402">
        <f>Data!BA67</f>
        <v>16317.92</v>
      </c>
    </row>
    <row r="16" spans="1:13" x14ac:dyDescent="0.25">
      <c r="E16" s="401">
        <f>Data!AS68</f>
        <v>0</v>
      </c>
      <c r="F16" s="401">
        <f>Data!AT68</f>
        <v>0</v>
      </c>
      <c r="G16" s="401">
        <f>Data!AU68</f>
        <v>0</v>
      </c>
      <c r="H16" s="401">
        <f>Data!AV68</f>
        <v>0</v>
      </c>
      <c r="I16" s="401">
        <f>Data!AW68</f>
        <v>0</v>
      </c>
      <c r="J16" s="401">
        <f>Data!AX68</f>
        <v>0</v>
      </c>
      <c r="K16" s="401">
        <f>Data!AY68</f>
        <v>0</v>
      </c>
      <c r="L16" s="401">
        <f>Data!AZ68</f>
        <v>0</v>
      </c>
      <c r="M16" s="401">
        <f>Data!BA68</f>
        <v>0</v>
      </c>
    </row>
    <row r="17" spans="1:13" x14ac:dyDescent="0.25">
      <c r="A17" s="395" t="s">
        <v>444</v>
      </c>
      <c r="E17" s="403">
        <f>Data!AS69</f>
        <v>0</v>
      </c>
      <c r="F17" s="403">
        <f>Data!AT69</f>
        <v>119747.84</v>
      </c>
      <c r="G17" s="403">
        <f>Data!AU69</f>
        <v>16317.92</v>
      </c>
      <c r="H17" s="403">
        <f>Data!AV69</f>
        <v>119747.84</v>
      </c>
      <c r="I17" s="403">
        <f>Data!AW69</f>
        <v>0</v>
      </c>
      <c r="J17" s="403">
        <f>Data!AX69</f>
        <v>16317.92</v>
      </c>
      <c r="K17" s="403">
        <f>Data!AY69</f>
        <v>119747.84</v>
      </c>
      <c r="L17" s="403">
        <f>Data!AZ69</f>
        <v>0</v>
      </c>
      <c r="M17" s="403">
        <f>Data!BA69</f>
        <v>16317.92</v>
      </c>
    </row>
    <row r="18" spans="1:13" x14ac:dyDescent="0.25">
      <c r="E18" s="401">
        <f>Data!AS70</f>
        <v>0</v>
      </c>
      <c r="F18" s="401">
        <f>Data!AT70</f>
        <v>0</v>
      </c>
      <c r="G18" s="401">
        <f>Data!AU70</f>
        <v>0</v>
      </c>
      <c r="H18" s="401">
        <f>Data!AV70</f>
        <v>0</v>
      </c>
      <c r="I18" s="401">
        <f>Data!AW70</f>
        <v>0</v>
      </c>
      <c r="J18" s="401">
        <f>Data!AX70</f>
        <v>0</v>
      </c>
      <c r="K18" s="401">
        <f>Data!AY70</f>
        <v>0</v>
      </c>
      <c r="L18" s="401">
        <f>Data!AZ70</f>
        <v>0</v>
      </c>
      <c r="M18" s="401">
        <f>Data!BA70</f>
        <v>0</v>
      </c>
    </row>
    <row r="19" spans="1:13" x14ac:dyDescent="0.25">
      <c r="A19" s="396" t="s">
        <v>445</v>
      </c>
      <c r="E19" s="399">
        <f>Data!AS71</f>
        <v>36.049999999999997</v>
      </c>
      <c r="F19" s="400">
        <f>Data!AT71</f>
        <v>1648927.5499999998</v>
      </c>
      <c r="G19" s="400">
        <f>Data!AU71</f>
        <v>811656.94000000018</v>
      </c>
      <c r="H19" s="400">
        <f>Data!AV71</f>
        <v>1550723.36</v>
      </c>
      <c r="I19" s="400">
        <f>Data!AW71</f>
        <v>426390</v>
      </c>
      <c r="J19" s="400">
        <f>Data!AX71</f>
        <v>363267.78633839998</v>
      </c>
      <c r="K19" s="400">
        <f>Data!AY71</f>
        <v>1550723.36</v>
      </c>
      <c r="L19" s="400">
        <f>Data!AZ71</f>
        <v>426390</v>
      </c>
      <c r="M19" s="400">
        <f>Data!BA71</f>
        <v>357830.07936240005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81" orientation="landscape" horizontalDpi="1200" verticalDpi="1200" r:id="rId1"/>
  <headerFooter>
    <oddHeader>&amp;L&amp;"Arial"&amp;14 Idaho State Police&amp;R&amp;"Arial"&amp;10 Agency 331</oddHeader>
    <oddFooter>&amp;L&amp;"Arial"&amp;10 B6:Summary by Fund&amp;R&amp;"Arial"&amp;10 FY 2022 Request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289</vt:i4>
      </vt:variant>
    </vt:vector>
  </HeadingPairs>
  <TitlesOfParts>
    <vt:vector size="295" baseType="lpstr">
      <vt:lpstr>LEAF|0229-15</vt:lpstr>
      <vt:lpstr>Data</vt:lpstr>
      <vt:lpstr>Benefits</vt:lpstr>
      <vt:lpstr>B6</vt:lpstr>
      <vt:lpstr>Summary</vt:lpstr>
      <vt:lpstr>FundSummary</vt:lpstr>
      <vt:lpstr>'LEAF|0229-15'!AdjGroupHlth</vt:lpstr>
      <vt:lpstr>AdjGroupHlth</vt:lpstr>
      <vt:lpstr>'LEAF|0229-15'!AdjGroupSalary</vt:lpstr>
      <vt:lpstr>AdjGroupSalary</vt:lpstr>
      <vt:lpstr>'LEAF|0229-15'!AdjGroupVB</vt:lpstr>
      <vt:lpstr>AdjGroupVB</vt:lpstr>
      <vt:lpstr>'LEAF|0229-15'!AdjGroupVBBY</vt:lpstr>
      <vt:lpstr>AdjGroupVBBY</vt:lpstr>
      <vt:lpstr>'LEAF|0229-15'!AdjPermHlth</vt:lpstr>
      <vt:lpstr>AdjPermHlth</vt:lpstr>
      <vt:lpstr>'LEAF|0229-15'!AdjPermHlthBY</vt:lpstr>
      <vt:lpstr>AdjPermHlthBY</vt:lpstr>
      <vt:lpstr>'LEAF|0229-15'!AdjPermSalary</vt:lpstr>
      <vt:lpstr>AdjPermSalary</vt:lpstr>
      <vt:lpstr>'LEAF|0229-15'!AdjPermVB</vt:lpstr>
      <vt:lpstr>AdjPermVB</vt:lpstr>
      <vt:lpstr>'LEAF|0229-15'!AdjPermVBBY</vt:lpstr>
      <vt:lpstr>AdjPermVBBY</vt:lpstr>
      <vt:lpstr>'LEAF|0229-15'!AdjustedTotal</vt:lpstr>
      <vt:lpstr>AdjustedTotal</vt:lpstr>
      <vt:lpstr>'LEAF|0229-15'!AgencyNum</vt:lpstr>
      <vt:lpstr>AgencyNum</vt:lpstr>
      <vt:lpstr>'LEAF|0229-15'!AppropFTP</vt:lpstr>
      <vt:lpstr>AppropFTP</vt:lpstr>
      <vt:lpstr>'LEAF|0229-15'!AppropTotal</vt:lpstr>
      <vt:lpstr>AppropTotal</vt:lpstr>
      <vt:lpstr>'LEAF|0229-15'!AtZHealth</vt:lpstr>
      <vt:lpstr>AtZHealth</vt:lpstr>
      <vt:lpstr>'LEAF|0229-15'!AtZSalary</vt:lpstr>
      <vt:lpstr>AtZSalary</vt:lpstr>
      <vt:lpstr>'LEAF|0229-15'!AtZTotal</vt:lpstr>
      <vt:lpstr>AtZTotal</vt:lpstr>
      <vt:lpstr>'LEAF|0229-15'!AtZVarBen</vt:lpstr>
      <vt:lpstr>AtZVarBen</vt:lpstr>
      <vt:lpstr>'LEAF|0229-15'!BudgetUnit</vt:lpstr>
      <vt:lpstr>BudgetUnit</vt:lpstr>
      <vt:lpstr>BudgetYear</vt:lpstr>
      <vt:lpstr>CECGroup</vt:lpstr>
      <vt:lpstr>'LEAF|0229-15'!CECOrigElectSalary</vt:lpstr>
      <vt:lpstr>CECOrigElectSalary</vt:lpstr>
      <vt:lpstr>'LEAF|0229-15'!CECOrigElectVB</vt:lpstr>
      <vt:lpstr>CECOrigElectVB</vt:lpstr>
      <vt:lpstr>'LEAF|0229-15'!CECOrigGroupSalary</vt:lpstr>
      <vt:lpstr>CECOrigGroupSalary</vt:lpstr>
      <vt:lpstr>'LEAF|0229-15'!CECOrigGroupVB</vt:lpstr>
      <vt:lpstr>CECOrigGroupVB</vt:lpstr>
      <vt:lpstr>'LEAF|0229-15'!CECOrigPermSalary</vt:lpstr>
      <vt:lpstr>CECOrigPermSalary</vt:lpstr>
      <vt:lpstr>'LEAF|0229-15'!CECOrigPermVB</vt:lpstr>
      <vt:lpstr>CECOrigPermVB</vt:lpstr>
      <vt:lpstr>CECPerm</vt:lpstr>
      <vt:lpstr>'LEAF|0229-15'!CECpermCalc</vt:lpstr>
      <vt:lpstr>CECpermCalc</vt:lpstr>
      <vt:lpstr>'LEAF|0229-15'!Department</vt:lpstr>
      <vt:lpstr>Department</vt:lpstr>
      <vt:lpstr>DHR</vt:lpstr>
      <vt:lpstr>DHRBY</vt:lpstr>
      <vt:lpstr>DHRCHG</vt:lpstr>
      <vt:lpstr>'LEAF|0229-15'!Division</vt:lpstr>
      <vt:lpstr>Division</vt:lpstr>
      <vt:lpstr>'LEAF|0229-15'!DUCECElect</vt:lpstr>
      <vt:lpstr>DUCECElect</vt:lpstr>
      <vt:lpstr>'LEAF|0229-15'!DUCECGroup</vt:lpstr>
      <vt:lpstr>DUCECGroup</vt:lpstr>
      <vt:lpstr>'LEAF|0229-15'!DUCECPerm</vt:lpstr>
      <vt:lpstr>DUCECPerm</vt:lpstr>
      <vt:lpstr>'LEAF|0229-15'!DUEleven</vt:lpstr>
      <vt:lpstr>DUEleven</vt:lpstr>
      <vt:lpstr>'LEAF|0229-15'!DUHealthBen</vt:lpstr>
      <vt:lpstr>DUHealthBen</vt:lpstr>
      <vt:lpstr>'LEAF|0229-15'!DUNine</vt:lpstr>
      <vt:lpstr>DUNine</vt:lpstr>
      <vt:lpstr>'LEAF|0229-15'!DUThirteen</vt:lpstr>
      <vt:lpstr>DUThirteen</vt:lpstr>
      <vt:lpstr>'LEAF|0229-15'!DUVariableBen</vt:lpstr>
      <vt:lpstr>DUVariableBen</vt:lpstr>
      <vt:lpstr>'LEAF|0229-15'!Elect_chg_health</vt:lpstr>
      <vt:lpstr>Elect_chg_health</vt:lpstr>
      <vt:lpstr>'LEAF|0229-15'!Elect_chg_Var</vt:lpstr>
      <vt:lpstr>Elect_chg_Var</vt:lpstr>
      <vt:lpstr>'LEAF|0229-15'!elect_FTP</vt:lpstr>
      <vt:lpstr>elect_FTP</vt:lpstr>
      <vt:lpstr>'LEAF|0229-15'!Elect_health</vt:lpstr>
      <vt:lpstr>Elect_health</vt:lpstr>
      <vt:lpstr>'LEAF|0229-15'!Elect_name</vt:lpstr>
      <vt:lpstr>Elect_name</vt:lpstr>
      <vt:lpstr>'LEAF|0229-15'!Elect_salary</vt:lpstr>
      <vt:lpstr>Elect_salary</vt:lpstr>
      <vt:lpstr>'LEAF|0229-15'!Elect_Var</vt:lpstr>
      <vt:lpstr>Elect_Var</vt:lpstr>
      <vt:lpstr>'LEAF|0229-15'!Elect_VarBen</vt:lpstr>
      <vt:lpstr>Elect_VarBen</vt:lpstr>
      <vt:lpstr>ElectVB</vt:lpstr>
      <vt:lpstr>ElectVBBY</vt:lpstr>
      <vt:lpstr>ElectVBCHG</vt:lpstr>
      <vt:lpstr>FillRate_Avg</vt:lpstr>
      <vt:lpstr>'LEAF|0229-15'!FiscalYear</vt:lpstr>
      <vt:lpstr>FiscalYear</vt:lpstr>
      <vt:lpstr>'LEAF|0229-15'!FundName</vt:lpstr>
      <vt:lpstr>FundName</vt:lpstr>
      <vt:lpstr>'LEAF|0229-15'!FundNum</vt:lpstr>
      <vt:lpstr>FundNum</vt:lpstr>
      <vt:lpstr>'LEAF|0229-15'!FundNumber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'LEAF|0229-15'!Group_name</vt:lpstr>
      <vt:lpstr>Group_name</vt:lpstr>
      <vt:lpstr>'LEAF|0229-15'!GroupFxdBen</vt:lpstr>
      <vt:lpstr>GroupFxdBen</vt:lpstr>
      <vt:lpstr>'LEAF|0229-15'!GroupSalary</vt:lpstr>
      <vt:lpstr>GroupSalary</vt:lpstr>
      <vt:lpstr>'LEAF|0229-15'!GroupVarBen</vt:lpstr>
      <vt:lpstr>GroupVarBen</vt:lpstr>
      <vt:lpstr>GroupVB</vt:lpstr>
      <vt:lpstr>GroupVBBY</vt:lpstr>
      <vt:lpstr>GroupVBCHG</vt:lpstr>
      <vt:lpstr>Health</vt:lpstr>
      <vt:lpstr>HealthBY</vt:lpstr>
      <vt:lpstr>HealthCHG</vt:lpstr>
      <vt:lpstr>LEAF022915col_1_27TH_PP</vt:lpstr>
      <vt:lpstr>LEAF022915col_DHR</vt:lpstr>
      <vt:lpstr>LEAF022915col_DHR_BY</vt:lpstr>
      <vt:lpstr>LEAF022915col_DHR_CHG</vt:lpstr>
      <vt:lpstr>LEAF022915col_FTI_SALARY_ELECT</vt:lpstr>
      <vt:lpstr>LEAF022915col_FTI_SALARY_PERM</vt:lpstr>
      <vt:lpstr>LEAF022915col_FTI_SALARY_SSDI</vt:lpstr>
      <vt:lpstr>LEAF022915col_Group_Ben</vt:lpstr>
      <vt:lpstr>LEAF022915col_Group_Salary</vt:lpstr>
      <vt:lpstr>LEAF022915col_HEALTH_ELECT</vt:lpstr>
      <vt:lpstr>LEAF022915col_HEALTH_ELECT_BY</vt:lpstr>
      <vt:lpstr>LEAF022915col_HEALTH_ELECT_CHG</vt:lpstr>
      <vt:lpstr>LEAF022915col_HEALTH_PERM</vt:lpstr>
      <vt:lpstr>LEAF022915col_HEALTH_PERM_BY</vt:lpstr>
      <vt:lpstr>LEAF022915col_HEALTH_PERM_CHG</vt:lpstr>
      <vt:lpstr>LEAF022915col_INC_FTI</vt:lpstr>
      <vt:lpstr>LEAF022915col_LIFE_INS</vt:lpstr>
      <vt:lpstr>LEAF022915col_LIFE_INS_BY</vt:lpstr>
      <vt:lpstr>LEAF022915col_LIFE_INS_CHG</vt:lpstr>
      <vt:lpstr>LEAF022915col_RETIREMENT</vt:lpstr>
      <vt:lpstr>LEAF022915col_RETIREMENT_BY</vt:lpstr>
      <vt:lpstr>LEAF022915col_RETIREMENT_CHG</vt:lpstr>
      <vt:lpstr>LEAF022915col_ROWS_PER_PCN</vt:lpstr>
      <vt:lpstr>LEAF022915col_SICK</vt:lpstr>
      <vt:lpstr>LEAF022915col_SICK_BY</vt:lpstr>
      <vt:lpstr>LEAF022915col_SICK_CHG</vt:lpstr>
      <vt:lpstr>LEAF022915col_SSDI</vt:lpstr>
      <vt:lpstr>LEAF022915col_SSDI_BY</vt:lpstr>
      <vt:lpstr>LEAF022915col_SSDI_CHG</vt:lpstr>
      <vt:lpstr>LEAF022915col_SSHI</vt:lpstr>
      <vt:lpstr>LEAF022915col_SSHI_BY</vt:lpstr>
      <vt:lpstr>LEAF022915col_SSHI_CHGv</vt:lpstr>
      <vt:lpstr>LEAF022915col_TOT_VB_ELECT</vt:lpstr>
      <vt:lpstr>LEAF022915col_TOT_VB_ELECT_BY</vt:lpstr>
      <vt:lpstr>LEAF022915col_TOT_VB_ELECT_CHG</vt:lpstr>
      <vt:lpstr>LEAF022915col_TOT_VB_PERM</vt:lpstr>
      <vt:lpstr>LEAF022915col_TOT_VB_PERM_BY</vt:lpstr>
      <vt:lpstr>LEAF022915col_TOT_VB_PERM_CHG</vt:lpstr>
      <vt:lpstr>LEAF022915col_TOTAL_ELECT_PCN_FTI</vt:lpstr>
      <vt:lpstr>LEAF022915col_TOTAL_ELECT_PCN_FTI_ALT</vt:lpstr>
      <vt:lpstr>LEAF022915col_TOTAL_PERM_PCN_FTI</vt:lpstr>
      <vt:lpstr>LEAF022915col_UNEMP_INS</vt:lpstr>
      <vt:lpstr>LEAF022915col_UNEMP_INS_BY</vt:lpstr>
      <vt:lpstr>LEAF022915col_UNEMP_INS_CHG</vt:lpstr>
      <vt:lpstr>LEAF022915col_WORKERS_COMP</vt:lpstr>
      <vt:lpstr>LEAF022915col_WORKERS_COMP_BY</vt:lpstr>
      <vt:lpstr>LEAF022915col_WORKERS_COMP_CHG</vt:lpstr>
      <vt:lpstr>Life</vt:lpstr>
      <vt:lpstr>LifeBY</vt:lpstr>
      <vt:lpstr>LifeCHG</vt:lpstr>
      <vt:lpstr>'LEAF|0229-15'!LUMAFund</vt:lpstr>
      <vt:lpstr>LUMAFund</vt:lpstr>
      <vt:lpstr>MAXSSDI</vt:lpstr>
      <vt:lpstr>MAXSSDIBY</vt:lpstr>
      <vt:lpstr>'LEAF|0229-15'!NEW_AdjGroup</vt:lpstr>
      <vt:lpstr>NEW_AdjGroup</vt:lpstr>
      <vt:lpstr>'LEAF|0229-15'!NEW_AdjGroupSalary</vt:lpstr>
      <vt:lpstr>NEW_AdjGroupSalary</vt:lpstr>
      <vt:lpstr>'LEAF|0229-15'!NEW_AdjGroupVB</vt:lpstr>
      <vt:lpstr>NEW_AdjGroupVB</vt:lpstr>
      <vt:lpstr>'LEAF|0229-15'!NEW_AdjONLYGroup</vt:lpstr>
      <vt:lpstr>NEW_AdjONLYGroup</vt:lpstr>
      <vt:lpstr>'LEAF|0229-15'!NEW_AdjONLYGroupSalary</vt:lpstr>
      <vt:lpstr>NEW_AdjONLYGroupSalary</vt:lpstr>
      <vt:lpstr>'LEAF|0229-15'!NEW_AdjONLYGroupVB</vt:lpstr>
      <vt:lpstr>NEW_AdjONLYGroupVB</vt:lpstr>
      <vt:lpstr>'LEAF|0229-15'!NEW_AdjONLYPerm</vt:lpstr>
      <vt:lpstr>NEW_AdjONLYPerm</vt:lpstr>
      <vt:lpstr>'LEAF|0229-15'!NEW_AdjONLYPermSalary</vt:lpstr>
      <vt:lpstr>NEW_AdjONLYPermSalary</vt:lpstr>
      <vt:lpstr>'LEAF|0229-15'!NEW_AdjONLYPermVB</vt:lpstr>
      <vt:lpstr>NEW_AdjONLYPermVB</vt:lpstr>
      <vt:lpstr>'LEAF|0229-15'!NEW_AdjPerm</vt:lpstr>
      <vt:lpstr>NEW_AdjPerm</vt:lpstr>
      <vt:lpstr>'LEAF|0229-15'!NEW_AdjPermSalary</vt:lpstr>
      <vt:lpstr>NEW_AdjPermSalary</vt:lpstr>
      <vt:lpstr>'LEAF|0229-15'!NEW_AdjPermVB</vt:lpstr>
      <vt:lpstr>NEW_AdjPermVB</vt:lpstr>
      <vt:lpstr>'LEAF|0229-15'!NEW_GroupFilled</vt:lpstr>
      <vt:lpstr>NEW_GroupFilled</vt:lpstr>
      <vt:lpstr>'LEAF|0229-15'!NEW_GroupSalaryFilled</vt:lpstr>
      <vt:lpstr>NEW_GroupSalaryFilled</vt:lpstr>
      <vt:lpstr>'LEAF|0229-15'!NEW_GroupVBFilled</vt:lpstr>
      <vt:lpstr>NEW_GroupVBFilled</vt:lpstr>
      <vt:lpstr>'LEAF|0229-15'!NEW_PermFilled</vt:lpstr>
      <vt:lpstr>NEW_PermFilled</vt:lpstr>
      <vt:lpstr>'LEAF|0229-15'!NEW_PermSalaryFilled</vt:lpstr>
      <vt:lpstr>NEW_PermSalaryFilled</vt:lpstr>
      <vt:lpstr>'LEAF|0229-15'!NEW_PermVBFilled</vt:lpstr>
      <vt:lpstr>NEW_PermVBFilled</vt:lpstr>
      <vt:lpstr>'LEAF|0229-15'!OneTimePC_Total</vt:lpstr>
      <vt:lpstr>OneTimePC_Total</vt:lpstr>
      <vt:lpstr>'LEAF|0229-15'!OrigApprop</vt:lpstr>
      <vt:lpstr>OrigApprop</vt:lpstr>
      <vt:lpstr>'LEAF|0229-15'!perm_name</vt:lpstr>
      <vt:lpstr>perm_name</vt:lpstr>
      <vt:lpstr>'LEAF|0229-15'!PermFTP</vt:lpstr>
      <vt:lpstr>PermFTP</vt:lpstr>
      <vt:lpstr>'LEAF|0229-15'!PermFxdBen</vt:lpstr>
      <vt:lpstr>PermFxdBen</vt:lpstr>
      <vt:lpstr>'LEAF|0229-15'!PermFxdBenChg</vt:lpstr>
      <vt:lpstr>PermFxdBenChg</vt:lpstr>
      <vt:lpstr>'LEAF|0229-15'!PermFxdChg</vt:lpstr>
      <vt:lpstr>PermFxdChg</vt:lpstr>
      <vt:lpstr>'LEAF|0229-15'!PermSalary</vt:lpstr>
      <vt:lpstr>PermSalary</vt:lpstr>
      <vt:lpstr>'LEAF|0229-15'!PermVarBen</vt:lpstr>
      <vt:lpstr>PermVarBen</vt:lpstr>
      <vt:lpstr>'LEAF|0229-15'!PermVarBenChg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'LEAF|0229-15'!Print_Area</vt:lpstr>
      <vt:lpstr>'LEAF|0229-15'!Prog_Unadjusted_Total</vt:lpstr>
      <vt:lpstr>Prog_Unadjusted_Total</vt:lpstr>
      <vt:lpstr>'LEAF|0229-15'!Program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'LEAF|0229-15'!RoundedAppropSalary</vt:lpstr>
      <vt:lpstr>RoundedAppropSalary</vt:lpstr>
      <vt:lpstr>'LEAF|0229-15'!SalaryChg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332 B6</dc:title>
  <dc:subject>B6</dc:subject>
  <dc:creator>Shane Winslow</dc:creator>
  <cp:lastModifiedBy>Christine Otto</cp:lastModifiedBy>
  <cp:lastPrinted>2019-06-21T15:46:35Z</cp:lastPrinted>
  <dcterms:created xsi:type="dcterms:W3CDTF">2013-05-01T19:55:41Z</dcterms:created>
  <dcterms:modified xsi:type="dcterms:W3CDTF">2021-07-15T15:53:19Z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