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02EE63B7-16ED-4B14-90CC-D9AF88354941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PRAA|0001-00" sheetId="12" r:id="rId1"/>
    <sheet name="PRAA|0125-00" sheetId="13" r:id="rId2"/>
    <sheet name="PRAA|0243-00" sheetId="14" r:id="rId3"/>
    <sheet name="PRAA|0247-00" sheetId="15" r:id="rId4"/>
    <sheet name="PRAB|0250-00" sheetId="16" r:id="rId5"/>
    <sheet name="PRBA|0001-00" sheetId="17" r:id="rId6"/>
    <sheet name="PRBA|0243-00" sheetId="18" r:id="rId7"/>
    <sheet name="PRBA|0247-00" sheetId="19" r:id="rId8"/>
    <sheet name="PRBA|0349-00" sheetId="20" r:id="rId9"/>
    <sheet name="PRBA|0496-00" sheetId="21" r:id="rId10"/>
    <sheet name="PRBB|0250-00" sheetId="22" r:id="rId11"/>
    <sheet name="PRBB|0348-00" sheetId="23" r:id="rId12"/>
    <sheet name="PRBD|0410-00" sheetId="24" r:id="rId13"/>
    <sheet name="Data" sheetId="5" r:id="rId14"/>
    <sheet name="Benefits" sheetId="7" r:id="rId15"/>
    <sheet name="B6" sheetId="9" r:id="rId16"/>
    <sheet name="Summary" sheetId="10" r:id="rId17"/>
    <sheet name="FundSummary" sheetId="11" r:id="rId18"/>
  </sheets>
  <definedNames>
    <definedName name="AdjGroupHlth" localSheetId="0">'PRAA|0001-00'!$H$39</definedName>
    <definedName name="AdjGroupHlth" localSheetId="1">'PRAA|0125-00'!$H$39</definedName>
    <definedName name="AdjGroupHlth" localSheetId="2">'PRAA|0243-00'!$H$39</definedName>
    <definedName name="AdjGroupHlth" localSheetId="3">'PRAA|0247-00'!$H$39</definedName>
    <definedName name="AdjGroupHlth" localSheetId="4">'PRAB|0250-00'!$H$39</definedName>
    <definedName name="AdjGroupHlth" localSheetId="5">'PRBA|0001-00'!$H$39</definedName>
    <definedName name="AdjGroupHlth" localSheetId="6">'PRBA|0243-00'!$H$39</definedName>
    <definedName name="AdjGroupHlth" localSheetId="7">'PRBA|0247-00'!$H$39</definedName>
    <definedName name="AdjGroupHlth" localSheetId="8">'PRBA|0349-00'!$H$39</definedName>
    <definedName name="AdjGroupHlth" localSheetId="9">'PRBA|0496-00'!$H$39</definedName>
    <definedName name="AdjGroupHlth" localSheetId="10">'PRBB|0250-00'!$H$39</definedName>
    <definedName name="AdjGroupHlth" localSheetId="11">'PRBB|0348-00'!$H$39</definedName>
    <definedName name="AdjGroupHlth" localSheetId="12">'PRBD|0410-00'!$H$39</definedName>
    <definedName name="AdjGroupHlth">'B6'!$H$39</definedName>
    <definedName name="AdjGroupSalary" localSheetId="0">'PRAA|0001-00'!$G$39</definedName>
    <definedName name="AdjGroupSalary" localSheetId="1">'PRAA|0125-00'!$G$39</definedName>
    <definedName name="AdjGroupSalary" localSheetId="2">'PRAA|0243-00'!$G$39</definedName>
    <definedName name="AdjGroupSalary" localSheetId="3">'PRAA|0247-00'!$G$39</definedName>
    <definedName name="AdjGroupSalary" localSheetId="4">'PRAB|0250-00'!$G$39</definedName>
    <definedName name="AdjGroupSalary" localSheetId="5">'PRBA|0001-00'!$G$39</definedName>
    <definedName name="AdjGroupSalary" localSheetId="6">'PRBA|0243-00'!$G$39</definedName>
    <definedName name="AdjGroupSalary" localSheetId="7">'PRBA|0247-00'!$G$39</definedName>
    <definedName name="AdjGroupSalary" localSheetId="8">'PRBA|0349-00'!$G$39</definedName>
    <definedName name="AdjGroupSalary" localSheetId="9">'PRBA|0496-00'!$G$39</definedName>
    <definedName name="AdjGroupSalary" localSheetId="10">'PRBB|0250-00'!$G$39</definedName>
    <definedName name="AdjGroupSalary" localSheetId="11">'PRBB|0348-00'!$G$39</definedName>
    <definedName name="AdjGroupSalary" localSheetId="12">'PRBD|0410-00'!$G$39</definedName>
    <definedName name="AdjGroupSalary">'B6'!$G$39</definedName>
    <definedName name="AdjGroupVB" localSheetId="0">'PRAA|0001-00'!$I$39</definedName>
    <definedName name="AdjGroupVB" localSheetId="1">'PRAA|0125-00'!$I$39</definedName>
    <definedName name="AdjGroupVB" localSheetId="2">'PRAA|0243-00'!$I$39</definedName>
    <definedName name="AdjGroupVB" localSheetId="3">'PRAA|0247-00'!$I$39</definedName>
    <definedName name="AdjGroupVB" localSheetId="4">'PRAB|0250-00'!$I$39</definedName>
    <definedName name="AdjGroupVB" localSheetId="5">'PRBA|0001-00'!$I$39</definedName>
    <definedName name="AdjGroupVB" localSheetId="6">'PRBA|0243-00'!$I$39</definedName>
    <definedName name="AdjGroupVB" localSheetId="7">'PRBA|0247-00'!$I$39</definedName>
    <definedName name="AdjGroupVB" localSheetId="8">'PRBA|0349-00'!$I$39</definedName>
    <definedName name="AdjGroupVB" localSheetId="9">'PRBA|0496-00'!$I$39</definedName>
    <definedName name="AdjGroupVB" localSheetId="10">'PRBB|0250-00'!$I$39</definedName>
    <definedName name="AdjGroupVB" localSheetId="11">'PRBB|0348-00'!$I$39</definedName>
    <definedName name="AdjGroupVB" localSheetId="12">'PRBD|0410-00'!$I$39</definedName>
    <definedName name="AdjGroupVB">'B6'!$I$39</definedName>
    <definedName name="AdjGroupVBBY" localSheetId="0">'PRAA|0001-00'!$M$39</definedName>
    <definedName name="AdjGroupVBBY" localSheetId="1">'PRAA|0125-00'!$M$39</definedName>
    <definedName name="AdjGroupVBBY" localSheetId="2">'PRAA|0243-00'!$M$39</definedName>
    <definedName name="AdjGroupVBBY" localSheetId="3">'PRAA|0247-00'!$M$39</definedName>
    <definedName name="AdjGroupVBBY" localSheetId="4">'PRAB|0250-00'!$M$39</definedName>
    <definedName name="AdjGroupVBBY" localSheetId="5">'PRBA|0001-00'!$M$39</definedName>
    <definedName name="AdjGroupVBBY" localSheetId="6">'PRBA|0243-00'!$M$39</definedName>
    <definedName name="AdjGroupVBBY" localSheetId="7">'PRBA|0247-00'!$M$39</definedName>
    <definedName name="AdjGroupVBBY" localSheetId="8">'PRBA|0349-00'!$M$39</definedName>
    <definedName name="AdjGroupVBBY" localSheetId="9">'PRBA|0496-00'!$M$39</definedName>
    <definedName name="AdjGroupVBBY" localSheetId="10">'PRBB|0250-00'!$M$39</definedName>
    <definedName name="AdjGroupVBBY" localSheetId="11">'PRBB|0348-00'!$M$39</definedName>
    <definedName name="AdjGroupVBBY" localSheetId="12">'PRBD|0410-00'!$M$39</definedName>
    <definedName name="AdjGroupVBBY">'B6'!$M$39</definedName>
    <definedName name="AdjPermHlth" localSheetId="0">'PRAA|0001-00'!$H$38</definedName>
    <definedName name="AdjPermHlth" localSheetId="1">'PRAA|0125-00'!$H$38</definedName>
    <definedName name="AdjPermHlth" localSheetId="2">'PRAA|0243-00'!$H$38</definedName>
    <definedName name="AdjPermHlth" localSheetId="3">'PRAA|0247-00'!$H$38</definedName>
    <definedName name="AdjPermHlth" localSheetId="4">'PRAB|0250-00'!$H$38</definedName>
    <definedName name="AdjPermHlth" localSheetId="5">'PRBA|0001-00'!$H$38</definedName>
    <definedName name="AdjPermHlth" localSheetId="6">'PRBA|0243-00'!$H$38</definedName>
    <definedName name="AdjPermHlth" localSheetId="7">'PRBA|0247-00'!$H$38</definedName>
    <definedName name="AdjPermHlth" localSheetId="8">'PRBA|0349-00'!$H$38</definedName>
    <definedName name="AdjPermHlth" localSheetId="9">'PRBA|0496-00'!$H$38</definedName>
    <definedName name="AdjPermHlth" localSheetId="10">'PRBB|0250-00'!$H$38</definedName>
    <definedName name="AdjPermHlth" localSheetId="11">'PRBB|0348-00'!$H$38</definedName>
    <definedName name="AdjPermHlth" localSheetId="12">'PRBD|0410-00'!$H$38</definedName>
    <definedName name="AdjPermHlth">'B6'!$H$38</definedName>
    <definedName name="AdjPermHlthBY" localSheetId="0">'PRAA|0001-00'!$L$38</definedName>
    <definedName name="AdjPermHlthBY" localSheetId="1">'PRAA|0125-00'!$L$38</definedName>
    <definedName name="AdjPermHlthBY" localSheetId="2">'PRAA|0243-00'!$L$38</definedName>
    <definedName name="AdjPermHlthBY" localSheetId="3">'PRAA|0247-00'!$L$38</definedName>
    <definedName name="AdjPermHlthBY" localSheetId="4">'PRAB|0250-00'!$L$38</definedName>
    <definedName name="AdjPermHlthBY" localSheetId="5">'PRBA|0001-00'!$L$38</definedName>
    <definedName name="AdjPermHlthBY" localSheetId="6">'PRBA|0243-00'!$L$38</definedName>
    <definedName name="AdjPermHlthBY" localSheetId="7">'PRBA|0247-00'!$L$38</definedName>
    <definedName name="AdjPermHlthBY" localSheetId="8">'PRBA|0349-00'!$L$38</definedName>
    <definedName name="AdjPermHlthBY" localSheetId="9">'PRBA|0496-00'!$L$38</definedName>
    <definedName name="AdjPermHlthBY" localSheetId="10">'PRBB|0250-00'!$L$38</definedName>
    <definedName name="AdjPermHlthBY" localSheetId="11">'PRBB|0348-00'!$L$38</definedName>
    <definedName name="AdjPermHlthBY" localSheetId="12">'PRBD|0410-00'!$L$38</definedName>
    <definedName name="AdjPermHlthBY">'B6'!$L$38</definedName>
    <definedName name="AdjPermSalary" localSheetId="0">'PRAA|0001-00'!$G$38</definedName>
    <definedName name="AdjPermSalary" localSheetId="1">'PRAA|0125-00'!$G$38</definedName>
    <definedName name="AdjPermSalary" localSheetId="2">'PRAA|0243-00'!$G$38</definedName>
    <definedName name="AdjPermSalary" localSheetId="3">'PRAA|0247-00'!$G$38</definedName>
    <definedName name="AdjPermSalary" localSheetId="4">'PRAB|0250-00'!$G$38</definedName>
    <definedName name="AdjPermSalary" localSheetId="5">'PRBA|0001-00'!$G$38</definedName>
    <definedName name="AdjPermSalary" localSheetId="6">'PRBA|0243-00'!$G$38</definedName>
    <definedName name="AdjPermSalary" localSheetId="7">'PRBA|0247-00'!$G$38</definedName>
    <definedName name="AdjPermSalary" localSheetId="8">'PRBA|0349-00'!$G$38</definedName>
    <definedName name="AdjPermSalary" localSheetId="9">'PRBA|0496-00'!$G$38</definedName>
    <definedName name="AdjPermSalary" localSheetId="10">'PRBB|0250-00'!$G$38</definedName>
    <definedName name="AdjPermSalary" localSheetId="11">'PRBB|0348-00'!$G$38</definedName>
    <definedName name="AdjPermSalary" localSheetId="12">'PRBD|0410-00'!$G$38</definedName>
    <definedName name="AdjPermSalary">'B6'!$G$38</definedName>
    <definedName name="AdjPermVB" localSheetId="0">'PRAA|0001-00'!$I$38</definedName>
    <definedName name="AdjPermVB" localSheetId="1">'PRAA|0125-00'!$I$38</definedName>
    <definedName name="AdjPermVB" localSheetId="2">'PRAA|0243-00'!$I$38</definedName>
    <definedName name="AdjPermVB" localSheetId="3">'PRAA|0247-00'!$I$38</definedName>
    <definedName name="AdjPermVB" localSheetId="4">'PRAB|0250-00'!$I$38</definedName>
    <definedName name="AdjPermVB" localSheetId="5">'PRBA|0001-00'!$I$38</definedName>
    <definedName name="AdjPermVB" localSheetId="6">'PRBA|0243-00'!$I$38</definedName>
    <definedName name="AdjPermVB" localSheetId="7">'PRBA|0247-00'!$I$38</definedName>
    <definedName name="AdjPermVB" localSheetId="8">'PRBA|0349-00'!$I$38</definedName>
    <definedName name="AdjPermVB" localSheetId="9">'PRBA|0496-00'!$I$38</definedName>
    <definedName name="AdjPermVB" localSheetId="10">'PRBB|0250-00'!$I$38</definedName>
    <definedName name="AdjPermVB" localSheetId="11">'PRBB|0348-00'!$I$38</definedName>
    <definedName name="AdjPermVB" localSheetId="12">'PRBD|0410-00'!$I$38</definedName>
    <definedName name="AdjPermVB">'B6'!$I$38</definedName>
    <definedName name="AdjPermVBBY" localSheetId="0">'PRAA|0001-00'!$M$38</definedName>
    <definedName name="AdjPermVBBY" localSheetId="1">'PRAA|0125-00'!$M$38</definedName>
    <definedName name="AdjPermVBBY" localSheetId="2">'PRAA|0243-00'!$M$38</definedName>
    <definedName name="AdjPermVBBY" localSheetId="3">'PRAA|0247-00'!$M$38</definedName>
    <definedName name="AdjPermVBBY" localSheetId="4">'PRAB|0250-00'!$M$38</definedName>
    <definedName name="AdjPermVBBY" localSheetId="5">'PRBA|0001-00'!$M$38</definedName>
    <definedName name="AdjPermVBBY" localSheetId="6">'PRBA|0243-00'!$M$38</definedName>
    <definedName name="AdjPermVBBY" localSheetId="7">'PRBA|0247-00'!$M$38</definedName>
    <definedName name="AdjPermVBBY" localSheetId="8">'PRBA|0349-00'!$M$38</definedName>
    <definedName name="AdjPermVBBY" localSheetId="9">'PRBA|0496-00'!$M$38</definedName>
    <definedName name="AdjPermVBBY" localSheetId="10">'PRBB|0250-00'!$M$38</definedName>
    <definedName name="AdjPermVBBY" localSheetId="11">'PRBB|0348-00'!$M$38</definedName>
    <definedName name="AdjPermVBBY" localSheetId="12">'PRBD|0410-00'!$M$38</definedName>
    <definedName name="AdjPermVBBY">'B6'!$M$38</definedName>
    <definedName name="AdjustedTotal" localSheetId="0">'PRAA|0001-00'!$J$16</definedName>
    <definedName name="AdjustedTotal" localSheetId="1">'PRAA|0125-00'!$J$16</definedName>
    <definedName name="AdjustedTotal" localSheetId="2">'PRAA|0243-00'!$J$16</definedName>
    <definedName name="AdjustedTotal" localSheetId="3">'PRAA|0247-00'!$J$16</definedName>
    <definedName name="AdjustedTotal" localSheetId="4">'PRAB|0250-00'!$J$16</definedName>
    <definedName name="AdjustedTotal" localSheetId="5">'PRBA|0001-00'!$J$16</definedName>
    <definedName name="AdjustedTotal" localSheetId="6">'PRBA|0243-00'!$J$16</definedName>
    <definedName name="AdjustedTotal" localSheetId="7">'PRBA|0247-00'!$J$16</definedName>
    <definedName name="AdjustedTotal" localSheetId="8">'PRBA|0349-00'!$J$16</definedName>
    <definedName name="AdjustedTotal" localSheetId="9">'PRBA|0496-00'!$J$16</definedName>
    <definedName name="AdjustedTotal" localSheetId="10">'PRBB|0250-00'!$J$16</definedName>
    <definedName name="AdjustedTotal" localSheetId="11">'PRBB|0348-00'!$J$16</definedName>
    <definedName name="AdjustedTotal" localSheetId="12">'PRBD|0410-00'!$J$16</definedName>
    <definedName name="AdjustedTotal">'B6'!$J$16</definedName>
    <definedName name="AgencyNum" localSheetId="0">'PRAA|0001-00'!$M$1</definedName>
    <definedName name="AgencyNum" localSheetId="1">'PRAA|0125-00'!$M$1</definedName>
    <definedName name="AgencyNum" localSheetId="2">'PRAA|0243-00'!$M$1</definedName>
    <definedName name="AgencyNum" localSheetId="3">'PRAA|0247-00'!$M$1</definedName>
    <definedName name="AgencyNum" localSheetId="4">'PRAB|0250-00'!$M$1</definedName>
    <definedName name="AgencyNum" localSheetId="5">'PRBA|0001-00'!$M$1</definedName>
    <definedName name="AgencyNum" localSheetId="6">'PRBA|0243-00'!$M$1</definedName>
    <definedName name="AgencyNum" localSheetId="7">'PRBA|0247-00'!$M$1</definedName>
    <definedName name="AgencyNum" localSheetId="8">'PRBA|0349-00'!$M$1</definedName>
    <definedName name="AgencyNum" localSheetId="9">'PRBA|0496-00'!$M$1</definedName>
    <definedName name="AgencyNum" localSheetId="10">'PRBB|0250-00'!$M$1</definedName>
    <definedName name="AgencyNum" localSheetId="11">'PRBB|0348-00'!$M$1</definedName>
    <definedName name="AgencyNum" localSheetId="12">'PRBD|0410-00'!$M$1</definedName>
    <definedName name="AgencyNum">'B6'!$M$1</definedName>
    <definedName name="AppropFTP" localSheetId="0">'PRAA|0001-00'!$F$15</definedName>
    <definedName name="AppropFTP" localSheetId="1">'PRAA|0125-00'!$F$15</definedName>
    <definedName name="AppropFTP" localSheetId="2">'PRAA|0243-00'!$F$15</definedName>
    <definedName name="AppropFTP" localSheetId="3">'PRAA|0247-00'!$F$15</definedName>
    <definedName name="AppropFTP" localSheetId="4">'PRAB|0250-00'!$F$15</definedName>
    <definedName name="AppropFTP" localSheetId="5">'PRBA|0001-00'!$F$15</definedName>
    <definedName name="AppropFTP" localSheetId="6">'PRBA|0243-00'!$F$15</definedName>
    <definedName name="AppropFTP" localSheetId="7">'PRBA|0247-00'!$F$15</definedName>
    <definedName name="AppropFTP" localSheetId="8">'PRBA|0349-00'!$F$15</definedName>
    <definedName name="AppropFTP" localSheetId="9">'PRBA|0496-00'!$F$15</definedName>
    <definedName name="AppropFTP" localSheetId="10">'PRBB|0250-00'!$F$15</definedName>
    <definedName name="AppropFTP" localSheetId="11">'PRBB|0348-00'!$F$15</definedName>
    <definedName name="AppropFTP" localSheetId="12">'PRBD|0410-00'!$F$15</definedName>
    <definedName name="AppropFTP">'B6'!$F$15</definedName>
    <definedName name="AppropTotal" localSheetId="0">'PRAA|0001-00'!$J$15</definedName>
    <definedName name="AppropTotal" localSheetId="1">'PRAA|0125-00'!$J$15</definedName>
    <definedName name="AppropTotal" localSheetId="2">'PRAA|0243-00'!$J$15</definedName>
    <definedName name="AppropTotal" localSheetId="3">'PRAA|0247-00'!$J$15</definedName>
    <definedName name="AppropTotal" localSheetId="4">'PRAB|0250-00'!$J$15</definedName>
    <definedName name="AppropTotal" localSheetId="5">'PRBA|0001-00'!$J$15</definedName>
    <definedName name="AppropTotal" localSheetId="6">'PRBA|0243-00'!$J$15</definedName>
    <definedName name="AppropTotal" localSheetId="7">'PRBA|0247-00'!$J$15</definedName>
    <definedName name="AppropTotal" localSheetId="8">'PRBA|0349-00'!$J$15</definedName>
    <definedName name="AppropTotal" localSheetId="9">'PRBA|0496-00'!$J$15</definedName>
    <definedName name="AppropTotal" localSheetId="10">'PRBB|0250-00'!$J$15</definedName>
    <definedName name="AppropTotal" localSheetId="11">'PRBB|0348-00'!$J$15</definedName>
    <definedName name="AppropTotal" localSheetId="12">'PRBD|0410-00'!$J$15</definedName>
    <definedName name="AppropTotal">'B6'!$J$15</definedName>
    <definedName name="AtZHealth" localSheetId="0">'PRAA|0001-00'!$H$45</definedName>
    <definedName name="AtZHealth" localSheetId="1">'PRAA|0125-00'!$H$45</definedName>
    <definedName name="AtZHealth" localSheetId="2">'PRAA|0243-00'!$H$45</definedName>
    <definedName name="AtZHealth" localSheetId="3">'PRAA|0247-00'!$H$45</definedName>
    <definedName name="AtZHealth" localSheetId="4">'PRAB|0250-00'!$H$45</definedName>
    <definedName name="AtZHealth" localSheetId="5">'PRBA|0001-00'!$H$45</definedName>
    <definedName name="AtZHealth" localSheetId="6">'PRBA|0243-00'!$H$45</definedName>
    <definedName name="AtZHealth" localSheetId="7">'PRBA|0247-00'!$H$45</definedName>
    <definedName name="AtZHealth" localSheetId="8">'PRBA|0349-00'!$H$45</definedName>
    <definedName name="AtZHealth" localSheetId="9">'PRBA|0496-00'!$H$45</definedName>
    <definedName name="AtZHealth" localSheetId="10">'PRBB|0250-00'!$H$45</definedName>
    <definedName name="AtZHealth" localSheetId="11">'PRBB|0348-00'!$H$45</definedName>
    <definedName name="AtZHealth" localSheetId="12">'PRBD|0410-00'!$H$45</definedName>
    <definedName name="AtZHealth">'B6'!$H$45</definedName>
    <definedName name="AtZSalary" localSheetId="0">'PRAA|0001-00'!$G$45</definedName>
    <definedName name="AtZSalary" localSheetId="1">'PRAA|0125-00'!$G$45</definedName>
    <definedName name="AtZSalary" localSheetId="2">'PRAA|0243-00'!$G$45</definedName>
    <definedName name="AtZSalary" localSheetId="3">'PRAA|0247-00'!$G$45</definedName>
    <definedName name="AtZSalary" localSheetId="4">'PRAB|0250-00'!$G$45</definedName>
    <definedName name="AtZSalary" localSheetId="5">'PRBA|0001-00'!$G$45</definedName>
    <definedName name="AtZSalary" localSheetId="6">'PRBA|0243-00'!$G$45</definedName>
    <definedName name="AtZSalary" localSheetId="7">'PRBA|0247-00'!$G$45</definedName>
    <definedName name="AtZSalary" localSheetId="8">'PRBA|0349-00'!$G$45</definedName>
    <definedName name="AtZSalary" localSheetId="9">'PRBA|0496-00'!$G$45</definedName>
    <definedName name="AtZSalary" localSheetId="10">'PRBB|0250-00'!$G$45</definedName>
    <definedName name="AtZSalary" localSheetId="11">'PRBB|0348-00'!$G$45</definedName>
    <definedName name="AtZSalary" localSheetId="12">'PRBD|0410-00'!$G$45</definedName>
    <definedName name="AtZSalary">'B6'!$G$45</definedName>
    <definedName name="AtZTotal" localSheetId="0">'PRAA|0001-00'!$J$45</definedName>
    <definedName name="AtZTotal" localSheetId="1">'PRAA|0125-00'!$J$45</definedName>
    <definedName name="AtZTotal" localSheetId="2">'PRAA|0243-00'!$J$45</definedName>
    <definedName name="AtZTotal" localSheetId="3">'PRAA|0247-00'!$J$45</definedName>
    <definedName name="AtZTotal" localSheetId="4">'PRAB|0250-00'!$J$45</definedName>
    <definedName name="AtZTotal" localSheetId="5">'PRBA|0001-00'!$J$45</definedName>
    <definedName name="AtZTotal" localSheetId="6">'PRBA|0243-00'!$J$45</definedName>
    <definedName name="AtZTotal" localSheetId="7">'PRBA|0247-00'!$J$45</definedName>
    <definedName name="AtZTotal" localSheetId="8">'PRBA|0349-00'!$J$45</definedName>
    <definedName name="AtZTotal" localSheetId="9">'PRBA|0496-00'!$J$45</definedName>
    <definedName name="AtZTotal" localSheetId="10">'PRBB|0250-00'!$J$45</definedName>
    <definedName name="AtZTotal" localSheetId="11">'PRBB|0348-00'!$J$45</definedName>
    <definedName name="AtZTotal" localSheetId="12">'PRBD|0410-00'!$J$45</definedName>
    <definedName name="AtZTotal">'B6'!$J$45</definedName>
    <definedName name="AtZVarBen" localSheetId="0">'PRAA|0001-00'!$I$45</definedName>
    <definedName name="AtZVarBen" localSheetId="1">'PRAA|0125-00'!$I$45</definedName>
    <definedName name="AtZVarBen" localSheetId="2">'PRAA|0243-00'!$I$45</definedName>
    <definedName name="AtZVarBen" localSheetId="3">'PRAA|0247-00'!$I$45</definedName>
    <definedName name="AtZVarBen" localSheetId="4">'PRAB|0250-00'!$I$45</definedName>
    <definedName name="AtZVarBen" localSheetId="5">'PRBA|0001-00'!$I$45</definedName>
    <definedName name="AtZVarBen" localSheetId="6">'PRBA|0243-00'!$I$45</definedName>
    <definedName name="AtZVarBen" localSheetId="7">'PRBA|0247-00'!$I$45</definedName>
    <definedName name="AtZVarBen" localSheetId="8">'PRBA|0349-00'!$I$45</definedName>
    <definedName name="AtZVarBen" localSheetId="9">'PRBA|0496-00'!$I$45</definedName>
    <definedName name="AtZVarBen" localSheetId="10">'PRBB|0250-00'!$I$45</definedName>
    <definedName name="AtZVarBen" localSheetId="11">'PRBB|0348-00'!$I$45</definedName>
    <definedName name="AtZVarBen" localSheetId="12">'PRBD|0410-00'!$I$45</definedName>
    <definedName name="AtZVarBen">'B6'!$I$45</definedName>
    <definedName name="BudgetUnit" localSheetId="0">'PRAA|0001-00'!$M$3</definedName>
    <definedName name="BudgetUnit" localSheetId="1">'PRAA|0125-00'!$M$3</definedName>
    <definedName name="BudgetUnit" localSheetId="2">'PRAA|0243-00'!$M$3</definedName>
    <definedName name="BudgetUnit" localSheetId="3">'PRAA|0247-00'!$M$3</definedName>
    <definedName name="BudgetUnit" localSheetId="4">'PRAB|0250-00'!$M$3</definedName>
    <definedName name="BudgetUnit" localSheetId="5">'PRBA|0001-00'!$M$3</definedName>
    <definedName name="BudgetUnit" localSheetId="6">'PRBA|0243-00'!$M$3</definedName>
    <definedName name="BudgetUnit" localSheetId="7">'PRBA|0247-00'!$M$3</definedName>
    <definedName name="BudgetUnit" localSheetId="8">'PRBA|0349-00'!$M$3</definedName>
    <definedName name="BudgetUnit" localSheetId="9">'PRBA|0496-00'!$M$3</definedName>
    <definedName name="BudgetUnit" localSheetId="10">'PRBB|0250-00'!$M$3</definedName>
    <definedName name="BudgetUnit" localSheetId="11">'PRBB|0348-00'!$M$3</definedName>
    <definedName name="BudgetUnit" localSheetId="12">'PRBD|0410-00'!$M$3</definedName>
    <definedName name="BudgetUnit">'B6'!$M$3</definedName>
    <definedName name="BudgetYear">Benefits!$D$4</definedName>
    <definedName name="CECGroup">Benefits!$C$39</definedName>
    <definedName name="CECOrigElectSalary" localSheetId="0">'PRAA|0001-00'!$G$74</definedName>
    <definedName name="CECOrigElectSalary" localSheetId="1">'PRAA|0125-00'!$G$74</definedName>
    <definedName name="CECOrigElectSalary" localSheetId="2">'PRAA|0243-00'!$G$74</definedName>
    <definedName name="CECOrigElectSalary" localSheetId="3">'PRAA|0247-00'!$G$74</definedName>
    <definedName name="CECOrigElectSalary" localSheetId="4">'PRAB|0250-00'!$G$74</definedName>
    <definedName name="CECOrigElectSalary" localSheetId="5">'PRBA|0001-00'!$G$74</definedName>
    <definedName name="CECOrigElectSalary" localSheetId="6">'PRBA|0243-00'!$G$74</definedName>
    <definedName name="CECOrigElectSalary" localSheetId="7">'PRBA|0247-00'!$G$74</definedName>
    <definedName name="CECOrigElectSalary" localSheetId="8">'PRBA|0349-00'!$G$74</definedName>
    <definedName name="CECOrigElectSalary" localSheetId="9">'PRBA|0496-00'!$G$74</definedName>
    <definedName name="CECOrigElectSalary" localSheetId="10">'PRBB|0250-00'!$G$74</definedName>
    <definedName name="CECOrigElectSalary" localSheetId="11">'PRBB|0348-00'!$G$74</definedName>
    <definedName name="CECOrigElectSalary" localSheetId="12">'PRBD|0410-00'!$G$74</definedName>
    <definedName name="CECOrigElectSalary">'B6'!$G$74</definedName>
    <definedName name="CECOrigElectVB" localSheetId="0">'PRAA|0001-00'!$I$74</definedName>
    <definedName name="CECOrigElectVB" localSheetId="1">'PRAA|0125-00'!$I$74</definedName>
    <definedName name="CECOrigElectVB" localSheetId="2">'PRAA|0243-00'!$I$74</definedName>
    <definedName name="CECOrigElectVB" localSheetId="3">'PRAA|0247-00'!$I$74</definedName>
    <definedName name="CECOrigElectVB" localSheetId="4">'PRAB|0250-00'!$I$74</definedName>
    <definedName name="CECOrigElectVB" localSheetId="5">'PRBA|0001-00'!$I$74</definedName>
    <definedName name="CECOrigElectVB" localSheetId="6">'PRBA|0243-00'!$I$74</definedName>
    <definedName name="CECOrigElectVB" localSheetId="7">'PRBA|0247-00'!$I$74</definedName>
    <definedName name="CECOrigElectVB" localSheetId="8">'PRBA|0349-00'!$I$74</definedName>
    <definedName name="CECOrigElectVB" localSheetId="9">'PRBA|0496-00'!$I$74</definedName>
    <definedName name="CECOrigElectVB" localSheetId="10">'PRBB|0250-00'!$I$74</definedName>
    <definedName name="CECOrigElectVB" localSheetId="11">'PRBB|0348-00'!$I$74</definedName>
    <definedName name="CECOrigElectVB" localSheetId="12">'PRBD|0410-00'!$I$74</definedName>
    <definedName name="CECOrigElectVB">'B6'!$I$74</definedName>
    <definedName name="CECOrigGroupSalary" localSheetId="0">'PRAA|0001-00'!$G$73</definedName>
    <definedName name="CECOrigGroupSalary" localSheetId="1">'PRAA|0125-00'!$G$73</definedName>
    <definedName name="CECOrigGroupSalary" localSheetId="2">'PRAA|0243-00'!$G$73</definedName>
    <definedName name="CECOrigGroupSalary" localSheetId="3">'PRAA|0247-00'!$G$73</definedName>
    <definedName name="CECOrigGroupSalary" localSheetId="4">'PRAB|0250-00'!$G$73</definedName>
    <definedName name="CECOrigGroupSalary" localSheetId="5">'PRBA|0001-00'!$G$73</definedName>
    <definedName name="CECOrigGroupSalary" localSheetId="6">'PRBA|0243-00'!$G$73</definedName>
    <definedName name="CECOrigGroupSalary" localSheetId="7">'PRBA|0247-00'!$G$73</definedName>
    <definedName name="CECOrigGroupSalary" localSheetId="8">'PRBA|0349-00'!$G$73</definedName>
    <definedName name="CECOrigGroupSalary" localSheetId="9">'PRBA|0496-00'!$G$73</definedName>
    <definedName name="CECOrigGroupSalary" localSheetId="10">'PRBB|0250-00'!$G$73</definedName>
    <definedName name="CECOrigGroupSalary" localSheetId="11">'PRBB|0348-00'!$G$73</definedName>
    <definedName name="CECOrigGroupSalary" localSheetId="12">'PRBD|0410-00'!$G$73</definedName>
    <definedName name="CECOrigGroupSalary">'B6'!$G$73</definedName>
    <definedName name="CECOrigGroupVB" localSheetId="0">'PRAA|0001-00'!$I$73</definedName>
    <definedName name="CECOrigGroupVB" localSheetId="1">'PRAA|0125-00'!$I$73</definedName>
    <definedName name="CECOrigGroupVB" localSheetId="2">'PRAA|0243-00'!$I$73</definedName>
    <definedName name="CECOrigGroupVB" localSheetId="3">'PRAA|0247-00'!$I$73</definedName>
    <definedName name="CECOrigGroupVB" localSheetId="4">'PRAB|0250-00'!$I$73</definedName>
    <definedName name="CECOrigGroupVB" localSheetId="5">'PRBA|0001-00'!$I$73</definedName>
    <definedName name="CECOrigGroupVB" localSheetId="6">'PRBA|0243-00'!$I$73</definedName>
    <definedName name="CECOrigGroupVB" localSheetId="7">'PRBA|0247-00'!$I$73</definedName>
    <definedName name="CECOrigGroupVB" localSheetId="8">'PRBA|0349-00'!$I$73</definedName>
    <definedName name="CECOrigGroupVB" localSheetId="9">'PRBA|0496-00'!$I$73</definedName>
    <definedName name="CECOrigGroupVB" localSheetId="10">'PRBB|0250-00'!$I$73</definedName>
    <definedName name="CECOrigGroupVB" localSheetId="11">'PRBB|0348-00'!$I$73</definedName>
    <definedName name="CECOrigGroupVB" localSheetId="12">'PRBD|0410-00'!$I$73</definedName>
    <definedName name="CECOrigGroupVB">'B6'!$I$73</definedName>
    <definedName name="CECOrigPermSalary" localSheetId="0">'PRAA|0001-00'!$G$72</definedName>
    <definedName name="CECOrigPermSalary" localSheetId="1">'PRAA|0125-00'!$G$72</definedName>
    <definedName name="CECOrigPermSalary" localSheetId="2">'PRAA|0243-00'!$G$72</definedName>
    <definedName name="CECOrigPermSalary" localSheetId="3">'PRAA|0247-00'!$G$72</definedName>
    <definedName name="CECOrigPermSalary" localSheetId="4">'PRAB|0250-00'!$G$72</definedName>
    <definedName name="CECOrigPermSalary" localSheetId="5">'PRBA|0001-00'!$G$72</definedName>
    <definedName name="CECOrigPermSalary" localSheetId="6">'PRBA|0243-00'!$G$72</definedName>
    <definedName name="CECOrigPermSalary" localSheetId="7">'PRBA|0247-00'!$G$72</definedName>
    <definedName name="CECOrigPermSalary" localSheetId="8">'PRBA|0349-00'!$G$72</definedName>
    <definedName name="CECOrigPermSalary" localSheetId="9">'PRBA|0496-00'!$G$72</definedName>
    <definedName name="CECOrigPermSalary" localSheetId="10">'PRBB|0250-00'!$G$72</definedName>
    <definedName name="CECOrigPermSalary" localSheetId="11">'PRBB|0348-00'!$G$72</definedName>
    <definedName name="CECOrigPermSalary" localSheetId="12">'PRBD|0410-00'!$G$72</definedName>
    <definedName name="CECOrigPermSalary">'B6'!$G$72</definedName>
    <definedName name="CECOrigPermVB" localSheetId="0">'PRAA|0001-00'!$I$72</definedName>
    <definedName name="CECOrigPermVB" localSheetId="1">'PRAA|0125-00'!$I$72</definedName>
    <definedName name="CECOrigPermVB" localSheetId="2">'PRAA|0243-00'!$I$72</definedName>
    <definedName name="CECOrigPermVB" localSheetId="3">'PRAA|0247-00'!$I$72</definedName>
    <definedName name="CECOrigPermVB" localSheetId="4">'PRAB|0250-00'!$I$72</definedName>
    <definedName name="CECOrigPermVB" localSheetId="5">'PRBA|0001-00'!$I$72</definedName>
    <definedName name="CECOrigPermVB" localSheetId="6">'PRBA|0243-00'!$I$72</definedName>
    <definedName name="CECOrigPermVB" localSheetId="7">'PRBA|0247-00'!$I$72</definedName>
    <definedName name="CECOrigPermVB" localSheetId="8">'PRBA|0349-00'!$I$72</definedName>
    <definedName name="CECOrigPermVB" localSheetId="9">'PRBA|0496-00'!$I$72</definedName>
    <definedName name="CECOrigPermVB" localSheetId="10">'PRBB|0250-00'!$I$72</definedName>
    <definedName name="CECOrigPermVB" localSheetId="11">'PRBB|0348-00'!$I$72</definedName>
    <definedName name="CECOrigPermVB" localSheetId="12">'PRBD|0410-00'!$I$72</definedName>
    <definedName name="CECOrigPermVB">'B6'!$I$72</definedName>
    <definedName name="CECPerm">Benefits!$C$38</definedName>
    <definedName name="CECpermCalc" localSheetId="0">'PRAA|0001-00'!$E$72</definedName>
    <definedName name="CECpermCalc" localSheetId="1">'PRAA|0125-00'!$E$72</definedName>
    <definedName name="CECpermCalc" localSheetId="2">'PRAA|0243-00'!$E$72</definedName>
    <definedName name="CECpermCalc" localSheetId="3">'PRAA|0247-00'!$E$72</definedName>
    <definedName name="CECpermCalc" localSheetId="4">'PRAB|0250-00'!$E$72</definedName>
    <definedName name="CECpermCalc" localSheetId="5">'PRBA|0001-00'!$E$72</definedName>
    <definedName name="CECpermCalc" localSheetId="6">'PRBA|0243-00'!$E$72</definedName>
    <definedName name="CECpermCalc" localSheetId="7">'PRBA|0247-00'!$E$72</definedName>
    <definedName name="CECpermCalc" localSheetId="8">'PRBA|0349-00'!$E$72</definedName>
    <definedName name="CECpermCalc" localSheetId="9">'PRBA|0496-00'!$E$72</definedName>
    <definedName name="CECpermCalc" localSheetId="10">'PRBB|0250-00'!$E$72</definedName>
    <definedName name="CECpermCalc" localSheetId="11">'PRBB|0348-00'!$E$72</definedName>
    <definedName name="CECpermCalc" localSheetId="12">'PRBD|0410-00'!$E$72</definedName>
    <definedName name="CECpermCalc">'B6'!$E$72</definedName>
    <definedName name="Department" localSheetId="0">'PRAA|0001-00'!$D$1</definedName>
    <definedName name="Department" localSheetId="1">'PRAA|0125-00'!$D$1</definedName>
    <definedName name="Department" localSheetId="2">'PRAA|0243-00'!$D$1</definedName>
    <definedName name="Department" localSheetId="3">'PRAA|0247-00'!$D$1</definedName>
    <definedName name="Department" localSheetId="4">'PRAB|0250-00'!$D$1</definedName>
    <definedName name="Department" localSheetId="5">'PRBA|0001-00'!$D$1</definedName>
    <definedName name="Department" localSheetId="6">'PRBA|0243-00'!$D$1</definedName>
    <definedName name="Department" localSheetId="7">'PRBA|0247-00'!$D$1</definedName>
    <definedName name="Department" localSheetId="8">'PRBA|0349-00'!$D$1</definedName>
    <definedName name="Department" localSheetId="9">'PRBA|0496-00'!$D$1</definedName>
    <definedName name="Department" localSheetId="10">'PRBB|0250-00'!$D$1</definedName>
    <definedName name="Department" localSheetId="11">'PRBB|0348-00'!$D$1</definedName>
    <definedName name="Department" localSheetId="12">'PRBD|0410-00'!$D$1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'PRAA|0001-00'!$D$2</definedName>
    <definedName name="Division" localSheetId="1">'PRAA|0125-00'!$D$2</definedName>
    <definedName name="Division" localSheetId="2">'PRAA|0243-00'!$D$2</definedName>
    <definedName name="Division" localSheetId="3">'PRAA|0247-00'!$D$2</definedName>
    <definedName name="Division" localSheetId="4">'PRAB|0250-00'!$D$2</definedName>
    <definedName name="Division" localSheetId="5">'PRBA|0001-00'!$D$2</definedName>
    <definedName name="Division" localSheetId="6">'PRBA|0243-00'!$D$2</definedName>
    <definedName name="Division" localSheetId="7">'PRBA|0247-00'!$D$2</definedName>
    <definedName name="Division" localSheetId="8">'PRBA|0349-00'!$D$2</definedName>
    <definedName name="Division" localSheetId="9">'PRBA|0496-00'!$D$2</definedName>
    <definedName name="Division" localSheetId="10">'PRBB|0250-00'!$D$2</definedName>
    <definedName name="Division" localSheetId="11">'PRBB|0348-00'!$D$2</definedName>
    <definedName name="Division" localSheetId="12">'PRBD|0410-00'!$D$2</definedName>
    <definedName name="Division">'B6'!$D$2</definedName>
    <definedName name="DUCECElect" localSheetId="0">'PRAA|0001-00'!$J$74</definedName>
    <definedName name="DUCECElect" localSheetId="1">'PRAA|0125-00'!$J$74</definedName>
    <definedName name="DUCECElect" localSheetId="2">'PRAA|0243-00'!$J$74</definedName>
    <definedName name="DUCECElect" localSheetId="3">'PRAA|0247-00'!$J$74</definedName>
    <definedName name="DUCECElect" localSheetId="4">'PRAB|0250-00'!$J$74</definedName>
    <definedName name="DUCECElect" localSheetId="5">'PRBA|0001-00'!$J$74</definedName>
    <definedName name="DUCECElect" localSheetId="6">'PRBA|0243-00'!$J$74</definedName>
    <definedName name="DUCECElect" localSheetId="7">'PRBA|0247-00'!$J$74</definedName>
    <definedName name="DUCECElect" localSheetId="8">'PRBA|0349-00'!$J$74</definedName>
    <definedName name="DUCECElect" localSheetId="9">'PRBA|0496-00'!$J$74</definedName>
    <definedName name="DUCECElect" localSheetId="10">'PRBB|0250-00'!$J$74</definedName>
    <definedName name="DUCECElect" localSheetId="11">'PRBB|0348-00'!$J$74</definedName>
    <definedName name="DUCECElect" localSheetId="12">'PRBD|0410-00'!$J$74</definedName>
    <definedName name="DUCECElect">'B6'!$J$74</definedName>
    <definedName name="DUCECGroup" localSheetId="0">'PRAA|0001-00'!$J$73</definedName>
    <definedName name="DUCECGroup" localSheetId="1">'PRAA|0125-00'!$J$73</definedName>
    <definedName name="DUCECGroup" localSheetId="2">'PRAA|0243-00'!$J$73</definedName>
    <definedName name="DUCECGroup" localSheetId="3">'PRAA|0247-00'!$J$73</definedName>
    <definedName name="DUCECGroup" localSheetId="4">'PRAB|0250-00'!$J$73</definedName>
    <definedName name="DUCECGroup" localSheetId="5">'PRBA|0001-00'!$J$73</definedName>
    <definedName name="DUCECGroup" localSheetId="6">'PRBA|0243-00'!$J$73</definedName>
    <definedName name="DUCECGroup" localSheetId="7">'PRBA|0247-00'!$J$73</definedName>
    <definedName name="DUCECGroup" localSheetId="8">'PRBA|0349-00'!$J$73</definedName>
    <definedName name="DUCECGroup" localSheetId="9">'PRBA|0496-00'!$J$73</definedName>
    <definedName name="DUCECGroup" localSheetId="10">'PRBB|0250-00'!$J$73</definedName>
    <definedName name="DUCECGroup" localSheetId="11">'PRBB|0348-00'!$J$73</definedName>
    <definedName name="DUCECGroup" localSheetId="12">'PRBD|0410-00'!$J$73</definedName>
    <definedName name="DUCECGroup">'B6'!$J$73</definedName>
    <definedName name="DUCECPerm" localSheetId="0">'PRAA|0001-00'!$J$72</definedName>
    <definedName name="DUCECPerm" localSheetId="1">'PRAA|0125-00'!$J$72</definedName>
    <definedName name="DUCECPerm" localSheetId="2">'PRAA|0243-00'!$J$72</definedName>
    <definedName name="DUCECPerm" localSheetId="3">'PRAA|0247-00'!$J$72</definedName>
    <definedName name="DUCECPerm" localSheetId="4">'PRAB|0250-00'!$J$72</definedName>
    <definedName name="DUCECPerm" localSheetId="5">'PRBA|0001-00'!$J$72</definedName>
    <definedName name="DUCECPerm" localSheetId="6">'PRBA|0243-00'!$J$72</definedName>
    <definedName name="DUCECPerm" localSheetId="7">'PRBA|0247-00'!$J$72</definedName>
    <definedName name="DUCECPerm" localSheetId="8">'PRBA|0349-00'!$J$72</definedName>
    <definedName name="DUCECPerm" localSheetId="9">'PRBA|0496-00'!$J$72</definedName>
    <definedName name="DUCECPerm" localSheetId="10">'PRBB|0250-00'!$J$72</definedName>
    <definedName name="DUCECPerm" localSheetId="11">'PRBB|0348-00'!$J$72</definedName>
    <definedName name="DUCECPerm" localSheetId="12">'PRBD|0410-00'!$J$72</definedName>
    <definedName name="DUCECPerm">'B6'!$J$72</definedName>
    <definedName name="DUEleven" localSheetId="0">'PRAA|0001-00'!$J$75</definedName>
    <definedName name="DUEleven" localSheetId="1">'PRAA|0125-00'!$J$75</definedName>
    <definedName name="DUEleven" localSheetId="2">'PRAA|0243-00'!$J$75</definedName>
    <definedName name="DUEleven" localSheetId="3">'PRAA|0247-00'!$J$75</definedName>
    <definedName name="DUEleven" localSheetId="4">'PRAB|0250-00'!$J$75</definedName>
    <definedName name="DUEleven" localSheetId="5">'PRBA|0001-00'!$J$75</definedName>
    <definedName name="DUEleven" localSheetId="6">'PRBA|0243-00'!$J$75</definedName>
    <definedName name="DUEleven" localSheetId="7">'PRBA|0247-00'!$J$75</definedName>
    <definedName name="DUEleven" localSheetId="8">'PRBA|0349-00'!$J$75</definedName>
    <definedName name="DUEleven" localSheetId="9">'PRBA|0496-00'!$J$75</definedName>
    <definedName name="DUEleven" localSheetId="10">'PRBB|0250-00'!$J$75</definedName>
    <definedName name="DUEleven" localSheetId="11">'PRBB|0348-00'!$J$75</definedName>
    <definedName name="DUEleven" localSheetId="12">'PRBD|0410-00'!$J$75</definedName>
    <definedName name="DUEleven">'B6'!$J$75</definedName>
    <definedName name="DUHealthBen" localSheetId="0">'PRAA|0001-00'!$J$68</definedName>
    <definedName name="DUHealthBen" localSheetId="1">'PRAA|0125-00'!$J$68</definedName>
    <definedName name="DUHealthBen" localSheetId="2">'PRAA|0243-00'!$J$68</definedName>
    <definedName name="DUHealthBen" localSheetId="3">'PRAA|0247-00'!$J$68</definedName>
    <definedName name="DUHealthBen" localSheetId="4">'PRAB|0250-00'!$J$68</definedName>
    <definedName name="DUHealthBen" localSheetId="5">'PRBA|0001-00'!$J$68</definedName>
    <definedName name="DUHealthBen" localSheetId="6">'PRBA|0243-00'!$J$68</definedName>
    <definedName name="DUHealthBen" localSheetId="7">'PRBA|0247-00'!$J$68</definedName>
    <definedName name="DUHealthBen" localSheetId="8">'PRBA|0349-00'!$J$68</definedName>
    <definedName name="DUHealthBen" localSheetId="9">'PRBA|0496-00'!$J$68</definedName>
    <definedName name="DUHealthBen" localSheetId="10">'PRBB|0250-00'!$J$68</definedName>
    <definedName name="DUHealthBen" localSheetId="11">'PRBB|0348-00'!$J$68</definedName>
    <definedName name="DUHealthBen" localSheetId="12">'PRBD|0410-00'!$J$68</definedName>
    <definedName name="DUHealthBen">'B6'!$J$68</definedName>
    <definedName name="DUNine" localSheetId="0">'PRAA|0001-00'!$J$67</definedName>
    <definedName name="DUNine" localSheetId="1">'PRAA|0125-00'!$J$67</definedName>
    <definedName name="DUNine" localSheetId="2">'PRAA|0243-00'!$J$67</definedName>
    <definedName name="DUNine" localSheetId="3">'PRAA|0247-00'!$J$67</definedName>
    <definedName name="DUNine" localSheetId="4">'PRAB|0250-00'!$J$67</definedName>
    <definedName name="DUNine" localSheetId="5">'PRBA|0001-00'!$J$67</definedName>
    <definedName name="DUNine" localSheetId="6">'PRBA|0243-00'!$J$67</definedName>
    <definedName name="DUNine" localSheetId="7">'PRBA|0247-00'!$J$67</definedName>
    <definedName name="DUNine" localSheetId="8">'PRBA|0349-00'!$J$67</definedName>
    <definedName name="DUNine" localSheetId="9">'PRBA|0496-00'!$J$67</definedName>
    <definedName name="DUNine" localSheetId="10">'PRBB|0250-00'!$J$67</definedName>
    <definedName name="DUNine" localSheetId="11">'PRBB|0348-00'!$J$67</definedName>
    <definedName name="DUNine" localSheetId="12">'PRBD|0410-00'!$J$67</definedName>
    <definedName name="DUNine">'B6'!$J$67</definedName>
    <definedName name="DUThirteen" localSheetId="0">'PRAA|0001-00'!$J$80</definedName>
    <definedName name="DUThirteen" localSheetId="1">'PRAA|0125-00'!$J$80</definedName>
    <definedName name="DUThirteen" localSheetId="2">'PRAA|0243-00'!$J$80</definedName>
    <definedName name="DUThirteen" localSheetId="3">'PRAA|0247-00'!$J$80</definedName>
    <definedName name="DUThirteen" localSheetId="4">'PRAB|0250-00'!$J$80</definedName>
    <definedName name="DUThirteen" localSheetId="5">'PRBA|0001-00'!$J$80</definedName>
    <definedName name="DUThirteen" localSheetId="6">'PRBA|0243-00'!$J$80</definedName>
    <definedName name="DUThirteen" localSheetId="7">'PRBA|0247-00'!$J$80</definedName>
    <definedName name="DUThirteen" localSheetId="8">'PRBA|0349-00'!$J$80</definedName>
    <definedName name="DUThirteen" localSheetId="9">'PRBA|0496-00'!$J$80</definedName>
    <definedName name="DUThirteen" localSheetId="10">'PRBB|0250-00'!$J$80</definedName>
    <definedName name="DUThirteen" localSheetId="11">'PRBB|0348-00'!$J$80</definedName>
    <definedName name="DUThirteen" localSheetId="12">'PRBD|0410-00'!$J$80</definedName>
    <definedName name="DUThirteen">'B6'!$J$80</definedName>
    <definedName name="DUVariableBen" localSheetId="0">'PRAA|0001-00'!$J$69</definedName>
    <definedName name="DUVariableBen" localSheetId="1">'PRAA|0125-00'!$J$69</definedName>
    <definedName name="DUVariableBen" localSheetId="2">'PRAA|0243-00'!$J$69</definedName>
    <definedName name="DUVariableBen" localSheetId="3">'PRAA|0247-00'!$J$69</definedName>
    <definedName name="DUVariableBen" localSheetId="4">'PRAB|0250-00'!$J$69</definedName>
    <definedName name="DUVariableBen" localSheetId="5">'PRBA|0001-00'!$J$69</definedName>
    <definedName name="DUVariableBen" localSheetId="6">'PRBA|0243-00'!$J$69</definedName>
    <definedName name="DUVariableBen" localSheetId="7">'PRBA|0247-00'!$J$69</definedName>
    <definedName name="DUVariableBen" localSheetId="8">'PRBA|0349-00'!$J$69</definedName>
    <definedName name="DUVariableBen" localSheetId="9">'PRBA|0496-00'!$J$69</definedName>
    <definedName name="DUVariableBen" localSheetId="10">'PRBB|0250-00'!$J$69</definedName>
    <definedName name="DUVariableBen" localSheetId="11">'PRBB|0348-00'!$J$69</definedName>
    <definedName name="DUVariableBen" localSheetId="12">'PRBD|0410-00'!$J$69</definedName>
    <definedName name="DUVariableBen">'B6'!$J$69</definedName>
    <definedName name="Elect_chg_health" localSheetId="0">'PRAA|0001-00'!$L$12</definedName>
    <definedName name="Elect_chg_health" localSheetId="1">'PRAA|0125-00'!$L$12</definedName>
    <definedName name="Elect_chg_health" localSheetId="2">'PRAA|0243-00'!$L$12</definedName>
    <definedName name="Elect_chg_health" localSheetId="3">'PRAA|0247-00'!$L$12</definedName>
    <definedName name="Elect_chg_health" localSheetId="4">'PRAB|0250-00'!$L$12</definedName>
    <definedName name="Elect_chg_health" localSheetId="5">'PRBA|0001-00'!$L$12</definedName>
    <definedName name="Elect_chg_health" localSheetId="6">'PRBA|0243-00'!$L$12</definedName>
    <definedName name="Elect_chg_health" localSheetId="7">'PRBA|0247-00'!$L$12</definedName>
    <definedName name="Elect_chg_health" localSheetId="8">'PRBA|0349-00'!$L$12</definedName>
    <definedName name="Elect_chg_health" localSheetId="9">'PRBA|0496-00'!$L$12</definedName>
    <definedName name="Elect_chg_health" localSheetId="10">'PRBB|0250-00'!$L$12</definedName>
    <definedName name="Elect_chg_health" localSheetId="11">'PRBB|0348-00'!$L$12</definedName>
    <definedName name="Elect_chg_health" localSheetId="12">'PRBD|0410-00'!$L$12</definedName>
    <definedName name="Elect_chg_health">'B6'!$L$12</definedName>
    <definedName name="Elect_chg_Var" localSheetId="0">'PRAA|0001-00'!$M$12</definedName>
    <definedName name="Elect_chg_Var" localSheetId="1">'PRAA|0125-00'!$M$12</definedName>
    <definedName name="Elect_chg_Var" localSheetId="2">'PRAA|0243-00'!$M$12</definedName>
    <definedName name="Elect_chg_Var" localSheetId="3">'PRAA|0247-00'!$M$12</definedName>
    <definedName name="Elect_chg_Var" localSheetId="4">'PRAB|0250-00'!$M$12</definedName>
    <definedName name="Elect_chg_Var" localSheetId="5">'PRBA|0001-00'!$M$12</definedName>
    <definedName name="Elect_chg_Var" localSheetId="6">'PRBA|0243-00'!$M$12</definedName>
    <definedName name="Elect_chg_Var" localSheetId="7">'PRBA|0247-00'!$M$12</definedName>
    <definedName name="Elect_chg_Var" localSheetId="8">'PRBA|0349-00'!$M$12</definedName>
    <definedName name="Elect_chg_Var" localSheetId="9">'PRBA|0496-00'!$M$12</definedName>
    <definedName name="Elect_chg_Var" localSheetId="10">'PRBB|0250-00'!$M$12</definedName>
    <definedName name="Elect_chg_Var" localSheetId="11">'PRBB|0348-00'!$M$12</definedName>
    <definedName name="Elect_chg_Var" localSheetId="12">'PRBD|0410-00'!$M$12</definedName>
    <definedName name="Elect_chg_Var">'B6'!$M$12</definedName>
    <definedName name="elect_FTP" localSheetId="0">'PRAA|0001-00'!$F$12</definedName>
    <definedName name="elect_FTP" localSheetId="1">'PRAA|0125-00'!$F$12</definedName>
    <definedName name="elect_FTP" localSheetId="2">'PRAA|0243-00'!$F$12</definedName>
    <definedName name="elect_FTP" localSheetId="3">'PRAA|0247-00'!$F$12</definedName>
    <definedName name="elect_FTP" localSheetId="4">'PRAB|0250-00'!$F$12</definedName>
    <definedName name="elect_FTP" localSheetId="5">'PRBA|0001-00'!$F$12</definedName>
    <definedName name="elect_FTP" localSheetId="6">'PRBA|0243-00'!$F$12</definedName>
    <definedName name="elect_FTP" localSheetId="7">'PRBA|0247-00'!$F$12</definedName>
    <definedName name="elect_FTP" localSheetId="8">'PRBA|0349-00'!$F$12</definedName>
    <definedName name="elect_FTP" localSheetId="9">'PRBA|0496-00'!$F$12</definedName>
    <definedName name="elect_FTP" localSheetId="10">'PRBB|0250-00'!$F$12</definedName>
    <definedName name="elect_FTP" localSheetId="11">'PRBB|0348-00'!$F$12</definedName>
    <definedName name="elect_FTP" localSheetId="12">'PRBD|0410-00'!$F$12</definedName>
    <definedName name="elect_FTP">'B6'!$F$12</definedName>
    <definedName name="Elect_health" localSheetId="0">'PRAA|0001-00'!$H$12</definedName>
    <definedName name="Elect_health" localSheetId="1">'PRAA|0125-00'!$H$12</definedName>
    <definedName name="Elect_health" localSheetId="2">'PRAA|0243-00'!$H$12</definedName>
    <definedName name="Elect_health" localSheetId="3">'PRAA|0247-00'!$H$12</definedName>
    <definedName name="Elect_health" localSheetId="4">'PRAB|0250-00'!$H$12</definedName>
    <definedName name="Elect_health" localSheetId="5">'PRBA|0001-00'!$H$12</definedName>
    <definedName name="Elect_health" localSheetId="6">'PRBA|0243-00'!$H$12</definedName>
    <definedName name="Elect_health" localSheetId="7">'PRBA|0247-00'!$H$12</definedName>
    <definedName name="Elect_health" localSheetId="8">'PRBA|0349-00'!$H$12</definedName>
    <definedName name="Elect_health" localSheetId="9">'PRBA|0496-00'!$H$12</definedName>
    <definedName name="Elect_health" localSheetId="10">'PRBB|0250-00'!$H$12</definedName>
    <definedName name="Elect_health" localSheetId="11">'PRBB|0348-00'!$H$12</definedName>
    <definedName name="Elect_health" localSheetId="12">'PRBD|0410-00'!$H$12</definedName>
    <definedName name="Elect_health">'B6'!$H$12</definedName>
    <definedName name="Elect_name" localSheetId="0">'PRAA|0001-00'!$C$12</definedName>
    <definedName name="Elect_name" localSheetId="1">'PRAA|0125-00'!$C$12</definedName>
    <definedName name="Elect_name" localSheetId="2">'PRAA|0243-00'!$C$12</definedName>
    <definedName name="Elect_name" localSheetId="3">'PRAA|0247-00'!$C$12</definedName>
    <definedName name="Elect_name" localSheetId="4">'PRAB|0250-00'!$C$12</definedName>
    <definedName name="Elect_name" localSheetId="5">'PRBA|0001-00'!$C$12</definedName>
    <definedName name="Elect_name" localSheetId="6">'PRBA|0243-00'!$C$12</definedName>
    <definedName name="Elect_name" localSheetId="7">'PRBA|0247-00'!$C$12</definedName>
    <definedName name="Elect_name" localSheetId="8">'PRBA|0349-00'!$C$12</definedName>
    <definedName name="Elect_name" localSheetId="9">'PRBA|0496-00'!$C$12</definedName>
    <definedName name="Elect_name" localSheetId="10">'PRBB|0250-00'!$C$12</definedName>
    <definedName name="Elect_name" localSheetId="11">'PRBB|0348-00'!$C$12</definedName>
    <definedName name="Elect_name" localSheetId="12">'PRBD|0410-00'!$C$12</definedName>
    <definedName name="Elect_name">'B6'!$C$12</definedName>
    <definedName name="Elect_salary" localSheetId="0">'PRAA|0001-00'!$G$12</definedName>
    <definedName name="Elect_salary" localSheetId="1">'PRAA|0125-00'!$G$12</definedName>
    <definedName name="Elect_salary" localSheetId="2">'PRAA|0243-00'!$G$12</definedName>
    <definedName name="Elect_salary" localSheetId="3">'PRAA|0247-00'!$G$12</definedName>
    <definedName name="Elect_salary" localSheetId="4">'PRAB|0250-00'!$G$12</definedName>
    <definedName name="Elect_salary" localSheetId="5">'PRBA|0001-00'!$G$12</definedName>
    <definedName name="Elect_salary" localSheetId="6">'PRBA|0243-00'!$G$12</definedName>
    <definedName name="Elect_salary" localSheetId="7">'PRBA|0247-00'!$G$12</definedName>
    <definedName name="Elect_salary" localSheetId="8">'PRBA|0349-00'!$G$12</definedName>
    <definedName name="Elect_salary" localSheetId="9">'PRBA|0496-00'!$G$12</definedName>
    <definedName name="Elect_salary" localSheetId="10">'PRBB|0250-00'!$G$12</definedName>
    <definedName name="Elect_salary" localSheetId="11">'PRBB|0348-00'!$G$12</definedName>
    <definedName name="Elect_salary" localSheetId="12">'PRBD|0410-00'!$G$12</definedName>
    <definedName name="Elect_salary">'B6'!$G$12</definedName>
    <definedName name="Elect_Var" localSheetId="0">'PRAA|0001-00'!$I$12</definedName>
    <definedName name="Elect_Var" localSheetId="1">'PRAA|0125-00'!$I$12</definedName>
    <definedName name="Elect_Var" localSheetId="2">'PRAA|0243-00'!$I$12</definedName>
    <definedName name="Elect_Var" localSheetId="3">'PRAA|0247-00'!$I$12</definedName>
    <definedName name="Elect_Var" localSheetId="4">'PRAB|0250-00'!$I$12</definedName>
    <definedName name="Elect_Var" localSheetId="5">'PRBA|0001-00'!$I$12</definedName>
    <definedName name="Elect_Var" localSheetId="6">'PRBA|0243-00'!$I$12</definedName>
    <definedName name="Elect_Var" localSheetId="7">'PRBA|0247-00'!$I$12</definedName>
    <definedName name="Elect_Var" localSheetId="8">'PRBA|0349-00'!$I$12</definedName>
    <definedName name="Elect_Var" localSheetId="9">'PRBA|0496-00'!$I$12</definedName>
    <definedName name="Elect_Var" localSheetId="10">'PRBB|0250-00'!$I$12</definedName>
    <definedName name="Elect_Var" localSheetId="11">'PRBB|0348-00'!$I$12</definedName>
    <definedName name="Elect_Var" localSheetId="12">'PRBD|0410-00'!$I$12</definedName>
    <definedName name="Elect_Var">'B6'!$I$12</definedName>
    <definedName name="Elect_VarBen" localSheetId="0">'PRAA|0001-00'!$I$12</definedName>
    <definedName name="Elect_VarBen" localSheetId="1">'PRAA|0125-00'!$I$12</definedName>
    <definedName name="Elect_VarBen" localSheetId="2">'PRAA|0243-00'!$I$12</definedName>
    <definedName name="Elect_VarBen" localSheetId="3">'PRAA|0247-00'!$I$12</definedName>
    <definedName name="Elect_VarBen" localSheetId="4">'PRAB|0250-00'!$I$12</definedName>
    <definedName name="Elect_VarBen" localSheetId="5">'PRBA|0001-00'!$I$12</definedName>
    <definedName name="Elect_VarBen" localSheetId="6">'PRBA|0243-00'!$I$12</definedName>
    <definedName name="Elect_VarBen" localSheetId="7">'PRBA|0247-00'!$I$12</definedName>
    <definedName name="Elect_VarBen" localSheetId="8">'PRBA|0349-00'!$I$12</definedName>
    <definedName name="Elect_VarBen" localSheetId="9">'PRBA|0496-00'!$I$12</definedName>
    <definedName name="Elect_VarBen" localSheetId="10">'PRBB|0250-00'!$I$12</definedName>
    <definedName name="Elect_VarBen" localSheetId="11">'PRBB|0348-00'!$I$12</definedName>
    <definedName name="Elect_VarBen" localSheetId="12">'PRBD|0410-00'!$I$12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'PRAA|0001-00'!#REF!</definedName>
    <definedName name="FillRateAvg_B6" localSheetId="1">'PRAA|0125-00'!#REF!</definedName>
    <definedName name="FillRateAvg_B6" localSheetId="2">'PRAA|0243-00'!#REF!</definedName>
    <definedName name="FillRateAvg_B6" localSheetId="3">'PRAA|0247-00'!#REF!</definedName>
    <definedName name="FillRateAvg_B6" localSheetId="4">'PRAB|0250-00'!#REF!</definedName>
    <definedName name="FillRateAvg_B6" localSheetId="5">'PRBA|0001-00'!#REF!</definedName>
    <definedName name="FillRateAvg_B6" localSheetId="6">'PRBA|0243-00'!#REF!</definedName>
    <definedName name="FillRateAvg_B6" localSheetId="7">'PRBA|0247-00'!#REF!</definedName>
    <definedName name="FillRateAvg_B6" localSheetId="8">'PRBA|0349-00'!#REF!</definedName>
    <definedName name="FillRateAvg_B6" localSheetId="9">'PRBA|0496-00'!#REF!</definedName>
    <definedName name="FillRateAvg_B6" localSheetId="10">'PRBB|0250-00'!#REF!</definedName>
    <definedName name="FillRateAvg_B6" localSheetId="11">'PRBB|0348-00'!#REF!</definedName>
    <definedName name="FillRateAvg_B6" localSheetId="12">'PRBD|0410-00'!#REF!</definedName>
    <definedName name="FillRateAvg_B6">'B6'!#REF!</definedName>
    <definedName name="FiscalYear" localSheetId="0">'PRAA|0001-00'!$M$4</definedName>
    <definedName name="FiscalYear" localSheetId="1">'PRAA|0125-00'!$M$4</definedName>
    <definedName name="FiscalYear" localSheetId="2">'PRAA|0243-00'!$M$4</definedName>
    <definedName name="FiscalYear" localSheetId="3">'PRAA|0247-00'!$M$4</definedName>
    <definedName name="FiscalYear" localSheetId="4">'PRAB|0250-00'!$M$4</definedName>
    <definedName name="FiscalYear" localSheetId="5">'PRBA|0001-00'!$M$4</definedName>
    <definedName name="FiscalYear" localSheetId="6">'PRBA|0243-00'!$M$4</definedName>
    <definedName name="FiscalYear" localSheetId="7">'PRBA|0247-00'!$M$4</definedName>
    <definedName name="FiscalYear" localSheetId="8">'PRBA|0349-00'!$M$4</definedName>
    <definedName name="FiscalYear" localSheetId="9">'PRBA|0496-00'!$M$4</definedName>
    <definedName name="FiscalYear" localSheetId="10">'PRBB|0250-00'!$M$4</definedName>
    <definedName name="FiscalYear" localSheetId="11">'PRBB|0348-00'!$M$4</definedName>
    <definedName name="FiscalYear" localSheetId="12">'PRBD|0410-00'!$M$4</definedName>
    <definedName name="FiscalYear">'B6'!$M$4</definedName>
    <definedName name="FundName" localSheetId="0">'PRAA|0001-00'!$I$5</definedName>
    <definedName name="FundName" localSheetId="1">'PRAA|0125-00'!$I$5</definedName>
    <definedName name="FundName" localSheetId="2">'PRAA|0243-00'!$I$5</definedName>
    <definedName name="FundName" localSheetId="3">'PRAA|0247-00'!$I$5</definedName>
    <definedName name="FundName" localSheetId="4">'PRAB|0250-00'!$I$5</definedName>
    <definedName name="FundName" localSheetId="5">'PRBA|0001-00'!$I$5</definedName>
    <definedName name="FundName" localSheetId="6">'PRBA|0243-00'!$I$5</definedName>
    <definedName name="FundName" localSheetId="7">'PRBA|0247-00'!$I$5</definedName>
    <definedName name="FundName" localSheetId="8">'PRBA|0349-00'!$I$5</definedName>
    <definedName name="FundName" localSheetId="9">'PRBA|0496-00'!$I$5</definedName>
    <definedName name="FundName" localSheetId="10">'PRBB|0250-00'!$I$5</definedName>
    <definedName name="FundName" localSheetId="11">'PRBB|0348-00'!$I$5</definedName>
    <definedName name="FundName" localSheetId="12">'PRBD|0410-00'!$I$5</definedName>
    <definedName name="FundName">'B6'!$I$5</definedName>
    <definedName name="FundNum" localSheetId="0">'PRAA|0001-00'!$N$5</definedName>
    <definedName name="FundNum" localSheetId="1">'PRAA|0125-00'!$N$5</definedName>
    <definedName name="FundNum" localSheetId="2">'PRAA|0243-00'!$N$5</definedName>
    <definedName name="FundNum" localSheetId="3">'PRAA|0247-00'!$N$5</definedName>
    <definedName name="FundNum" localSheetId="4">'PRAB|0250-00'!$N$5</definedName>
    <definedName name="FundNum" localSheetId="5">'PRBA|0001-00'!$N$5</definedName>
    <definedName name="FundNum" localSheetId="6">'PRBA|0243-00'!$N$5</definedName>
    <definedName name="FundNum" localSheetId="7">'PRBA|0247-00'!$N$5</definedName>
    <definedName name="FundNum" localSheetId="8">'PRBA|0349-00'!$N$5</definedName>
    <definedName name="FundNum" localSheetId="9">'PRBA|0496-00'!$N$5</definedName>
    <definedName name="FundNum" localSheetId="10">'PRBB|0250-00'!$N$5</definedName>
    <definedName name="FundNum" localSheetId="11">'PRBB|0348-00'!$N$5</definedName>
    <definedName name="FundNum" localSheetId="12">'PRBD|0410-00'!$N$5</definedName>
    <definedName name="FundNum">'B6'!$N$5</definedName>
    <definedName name="FundNumber" localSheetId="0">'PRAA|0001-00'!$N$5</definedName>
    <definedName name="FundNumber" localSheetId="1">'PRAA|0125-00'!$N$5</definedName>
    <definedName name="FundNumber" localSheetId="2">'PRAA|0243-00'!$N$5</definedName>
    <definedName name="FundNumber" localSheetId="3">'PRAA|0247-00'!$N$5</definedName>
    <definedName name="FundNumber" localSheetId="4">'PRAB|0250-00'!$N$5</definedName>
    <definedName name="FundNumber" localSheetId="5">'PRBA|0001-00'!$N$5</definedName>
    <definedName name="FundNumber" localSheetId="6">'PRBA|0243-00'!$N$5</definedName>
    <definedName name="FundNumber" localSheetId="7">'PRBA|0247-00'!$N$5</definedName>
    <definedName name="FundNumber" localSheetId="8">'PRBA|0349-00'!$N$5</definedName>
    <definedName name="FundNumber" localSheetId="9">'PRBA|0496-00'!$N$5</definedName>
    <definedName name="FundNumber" localSheetId="10">'PRBB|0250-00'!$N$5</definedName>
    <definedName name="FundNumber" localSheetId="11">'PRBB|0348-00'!$N$5</definedName>
    <definedName name="FundNumber" localSheetId="12">'PRBD|0410-00'!$N$5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'PRAA|0001-00'!$C$11</definedName>
    <definedName name="Group_name" localSheetId="1">'PRAA|0125-00'!$C$11</definedName>
    <definedName name="Group_name" localSheetId="2">'PRAA|0243-00'!$C$11</definedName>
    <definedName name="Group_name" localSheetId="3">'PRAA|0247-00'!$C$11</definedName>
    <definedName name="Group_name" localSheetId="4">'PRAB|0250-00'!$C$11</definedName>
    <definedName name="Group_name" localSheetId="5">'PRBA|0001-00'!$C$11</definedName>
    <definedName name="Group_name" localSheetId="6">'PRBA|0243-00'!$C$11</definedName>
    <definedName name="Group_name" localSheetId="7">'PRBA|0247-00'!$C$11</definedName>
    <definedName name="Group_name" localSheetId="8">'PRBA|0349-00'!$C$11</definedName>
    <definedName name="Group_name" localSheetId="9">'PRBA|0496-00'!$C$11</definedName>
    <definedName name="Group_name" localSheetId="10">'PRBB|0250-00'!$C$11</definedName>
    <definedName name="Group_name" localSheetId="11">'PRBB|0348-00'!$C$11</definedName>
    <definedName name="Group_name" localSheetId="12">'PRBD|0410-00'!$C$11</definedName>
    <definedName name="Group_name">'B6'!$C$11</definedName>
    <definedName name="GroupFxdBen" localSheetId="0">'PRAA|0001-00'!$H$11</definedName>
    <definedName name="GroupFxdBen" localSheetId="1">'PRAA|0125-00'!$H$11</definedName>
    <definedName name="GroupFxdBen" localSheetId="2">'PRAA|0243-00'!$H$11</definedName>
    <definedName name="GroupFxdBen" localSheetId="3">'PRAA|0247-00'!$H$11</definedName>
    <definedName name="GroupFxdBen" localSheetId="4">'PRAB|0250-00'!$H$11</definedName>
    <definedName name="GroupFxdBen" localSheetId="5">'PRBA|0001-00'!$H$11</definedName>
    <definedName name="GroupFxdBen" localSheetId="6">'PRBA|0243-00'!$H$11</definedName>
    <definedName name="GroupFxdBen" localSheetId="7">'PRBA|0247-00'!$H$11</definedName>
    <definedName name="GroupFxdBen" localSheetId="8">'PRBA|0349-00'!$H$11</definedName>
    <definedName name="GroupFxdBen" localSheetId="9">'PRBA|0496-00'!$H$11</definedName>
    <definedName name="GroupFxdBen" localSheetId="10">'PRBB|0250-00'!$H$11</definedName>
    <definedName name="GroupFxdBen" localSheetId="11">'PRBB|0348-00'!$H$11</definedName>
    <definedName name="GroupFxdBen" localSheetId="12">'PRBD|0410-00'!$H$11</definedName>
    <definedName name="GroupFxdBen">'B6'!$H$11</definedName>
    <definedName name="GroupSalary" localSheetId="0">'PRAA|0001-00'!$G$11</definedName>
    <definedName name="GroupSalary" localSheetId="1">'PRAA|0125-00'!$G$11</definedName>
    <definedName name="GroupSalary" localSheetId="2">'PRAA|0243-00'!$G$11</definedName>
    <definedName name="GroupSalary" localSheetId="3">'PRAA|0247-00'!$G$11</definedName>
    <definedName name="GroupSalary" localSheetId="4">'PRAB|0250-00'!$G$11</definedName>
    <definedName name="GroupSalary" localSheetId="5">'PRBA|0001-00'!$G$11</definedName>
    <definedName name="GroupSalary" localSheetId="6">'PRBA|0243-00'!$G$11</definedName>
    <definedName name="GroupSalary" localSheetId="7">'PRBA|0247-00'!$G$11</definedName>
    <definedName name="GroupSalary" localSheetId="8">'PRBA|0349-00'!$G$11</definedName>
    <definedName name="GroupSalary" localSheetId="9">'PRBA|0496-00'!$G$11</definedName>
    <definedName name="GroupSalary" localSheetId="10">'PRBB|0250-00'!$G$11</definedName>
    <definedName name="GroupSalary" localSheetId="11">'PRBB|0348-00'!$G$11</definedName>
    <definedName name="GroupSalary" localSheetId="12">'PRBD|0410-00'!$G$11</definedName>
    <definedName name="GroupSalary">'B6'!$G$11</definedName>
    <definedName name="GroupVarBen" localSheetId="0">'PRAA|0001-00'!$I$11</definedName>
    <definedName name="GroupVarBen" localSheetId="1">'PRAA|0125-00'!$I$11</definedName>
    <definedName name="GroupVarBen" localSheetId="2">'PRAA|0243-00'!$I$11</definedName>
    <definedName name="GroupVarBen" localSheetId="3">'PRAA|0247-00'!$I$11</definedName>
    <definedName name="GroupVarBen" localSheetId="4">'PRAB|0250-00'!$I$11</definedName>
    <definedName name="GroupVarBen" localSheetId="5">'PRBA|0001-00'!$I$11</definedName>
    <definedName name="GroupVarBen" localSheetId="6">'PRBA|0243-00'!$I$11</definedName>
    <definedName name="GroupVarBen" localSheetId="7">'PRBA|0247-00'!$I$11</definedName>
    <definedName name="GroupVarBen" localSheetId="8">'PRBA|0349-00'!$I$11</definedName>
    <definedName name="GroupVarBen" localSheetId="9">'PRBA|0496-00'!$I$11</definedName>
    <definedName name="GroupVarBen" localSheetId="10">'PRBB|0250-00'!$I$11</definedName>
    <definedName name="GroupVarBen" localSheetId="11">'PRBB|0348-00'!$I$11</definedName>
    <definedName name="GroupVarBen" localSheetId="12">'PRBD|0410-00'!$I$11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'PRAA|0001-00'!$M$2</definedName>
    <definedName name="LUMAFund" localSheetId="1">'PRAA|0125-00'!$M$2</definedName>
    <definedName name="LUMAFund" localSheetId="2">'PRAA|0243-00'!$M$2</definedName>
    <definedName name="LUMAFund" localSheetId="3">'PRAA|0247-00'!$M$2</definedName>
    <definedName name="LUMAFund" localSheetId="4">'PRAB|0250-00'!$M$2</definedName>
    <definedName name="LUMAFund" localSheetId="5">'PRBA|0001-00'!$M$2</definedName>
    <definedName name="LUMAFund" localSheetId="6">'PRBA|0243-00'!$M$2</definedName>
    <definedName name="LUMAFund" localSheetId="7">'PRBA|0247-00'!$M$2</definedName>
    <definedName name="LUMAFund" localSheetId="8">'PRBA|0349-00'!$M$2</definedName>
    <definedName name="LUMAFund" localSheetId="9">'PRBA|0496-00'!$M$2</definedName>
    <definedName name="LUMAFund" localSheetId="10">'PRBB|0250-00'!$M$2</definedName>
    <definedName name="LUMAFund" localSheetId="11">'PRBB|0348-00'!$M$2</definedName>
    <definedName name="LUMAFund" localSheetId="12">'PRBD|0410-00'!$M$2</definedName>
    <definedName name="LUMAFund">'B6'!$M$2</definedName>
    <definedName name="MAXSSDI">Benefits!$F$5</definedName>
    <definedName name="MAXSSDIBY">Benefits!$G$5</definedName>
    <definedName name="NEW_AdjGroup" localSheetId="0">'PRAA|0001-00'!$AC$39</definedName>
    <definedName name="NEW_AdjGroup" localSheetId="1">'PRAA|0125-00'!$AC$39</definedName>
    <definedName name="NEW_AdjGroup" localSheetId="2">'PRAA|0243-00'!$AC$39</definedName>
    <definedName name="NEW_AdjGroup" localSheetId="3">'PRAA|0247-00'!$AC$39</definedName>
    <definedName name="NEW_AdjGroup" localSheetId="4">'PRAB|0250-00'!$AC$39</definedName>
    <definedName name="NEW_AdjGroup" localSheetId="5">'PRBA|0001-00'!$AC$39</definedName>
    <definedName name="NEW_AdjGroup" localSheetId="6">'PRBA|0243-00'!$AC$39</definedName>
    <definedName name="NEW_AdjGroup" localSheetId="7">'PRBA|0247-00'!$AC$39</definedName>
    <definedName name="NEW_AdjGroup" localSheetId="8">'PRBA|0349-00'!$AC$39</definedName>
    <definedName name="NEW_AdjGroup" localSheetId="9">'PRBA|0496-00'!$AC$39</definedName>
    <definedName name="NEW_AdjGroup" localSheetId="10">'PRBB|0250-00'!$AC$39</definedName>
    <definedName name="NEW_AdjGroup" localSheetId="11">'PRBB|0348-00'!$AC$39</definedName>
    <definedName name="NEW_AdjGroup" localSheetId="12">'PRBD|0410-00'!$AC$39</definedName>
    <definedName name="NEW_AdjGroup">'B6'!$AC$39</definedName>
    <definedName name="NEW_AdjGroupSalary" localSheetId="0">'PRAA|0001-00'!$AA$39</definedName>
    <definedName name="NEW_AdjGroupSalary" localSheetId="1">'PRAA|0125-00'!$AA$39</definedName>
    <definedName name="NEW_AdjGroupSalary" localSheetId="2">'PRAA|0243-00'!$AA$39</definedName>
    <definedName name="NEW_AdjGroupSalary" localSheetId="3">'PRAA|0247-00'!$AA$39</definedName>
    <definedName name="NEW_AdjGroupSalary" localSheetId="4">'PRAB|0250-00'!$AA$39</definedName>
    <definedName name="NEW_AdjGroupSalary" localSheetId="5">'PRBA|0001-00'!$AA$39</definedName>
    <definedName name="NEW_AdjGroupSalary" localSheetId="6">'PRBA|0243-00'!$AA$39</definedName>
    <definedName name="NEW_AdjGroupSalary" localSheetId="7">'PRBA|0247-00'!$AA$39</definedName>
    <definedName name="NEW_AdjGroupSalary" localSheetId="8">'PRBA|0349-00'!$AA$39</definedName>
    <definedName name="NEW_AdjGroupSalary" localSheetId="9">'PRBA|0496-00'!$AA$39</definedName>
    <definedName name="NEW_AdjGroupSalary" localSheetId="10">'PRBB|0250-00'!$AA$39</definedName>
    <definedName name="NEW_AdjGroupSalary" localSheetId="11">'PRBB|0348-00'!$AA$39</definedName>
    <definedName name="NEW_AdjGroupSalary" localSheetId="12">'PRBD|0410-00'!$AA$39</definedName>
    <definedName name="NEW_AdjGroupSalary">'B6'!$AA$39</definedName>
    <definedName name="NEW_AdjGroupVB" localSheetId="0">'PRAA|0001-00'!$AB$39</definedName>
    <definedName name="NEW_AdjGroupVB" localSheetId="1">'PRAA|0125-00'!$AB$39</definedName>
    <definedName name="NEW_AdjGroupVB" localSheetId="2">'PRAA|0243-00'!$AB$39</definedName>
    <definedName name="NEW_AdjGroupVB" localSheetId="3">'PRAA|0247-00'!$AB$39</definedName>
    <definedName name="NEW_AdjGroupVB" localSheetId="4">'PRAB|0250-00'!$AB$39</definedName>
    <definedName name="NEW_AdjGroupVB" localSheetId="5">'PRBA|0001-00'!$AB$39</definedName>
    <definedName name="NEW_AdjGroupVB" localSheetId="6">'PRBA|0243-00'!$AB$39</definedName>
    <definedName name="NEW_AdjGroupVB" localSheetId="7">'PRBA|0247-00'!$AB$39</definedName>
    <definedName name="NEW_AdjGroupVB" localSheetId="8">'PRBA|0349-00'!$AB$39</definedName>
    <definedName name="NEW_AdjGroupVB" localSheetId="9">'PRBA|0496-00'!$AB$39</definedName>
    <definedName name="NEW_AdjGroupVB" localSheetId="10">'PRBB|0250-00'!$AB$39</definedName>
    <definedName name="NEW_AdjGroupVB" localSheetId="11">'PRBB|0348-00'!$AB$39</definedName>
    <definedName name="NEW_AdjGroupVB" localSheetId="12">'PRBD|0410-00'!$AB$39</definedName>
    <definedName name="NEW_AdjGroupVB">'B6'!$AB$39</definedName>
    <definedName name="NEW_AdjONLYGroup" localSheetId="0">'PRAA|0001-00'!$AC$45</definedName>
    <definedName name="NEW_AdjONLYGroup" localSheetId="1">'PRAA|0125-00'!$AC$45</definedName>
    <definedName name="NEW_AdjONLYGroup" localSheetId="2">'PRAA|0243-00'!$AC$45</definedName>
    <definedName name="NEW_AdjONLYGroup" localSheetId="3">'PRAA|0247-00'!$AC$45</definedName>
    <definedName name="NEW_AdjONLYGroup" localSheetId="4">'PRAB|0250-00'!$AC$45</definedName>
    <definedName name="NEW_AdjONLYGroup" localSheetId="5">'PRBA|0001-00'!$AC$45</definedName>
    <definedName name="NEW_AdjONLYGroup" localSheetId="6">'PRBA|0243-00'!$AC$45</definedName>
    <definedName name="NEW_AdjONLYGroup" localSheetId="7">'PRBA|0247-00'!$AC$45</definedName>
    <definedName name="NEW_AdjONLYGroup" localSheetId="8">'PRBA|0349-00'!$AC$45</definedName>
    <definedName name="NEW_AdjONLYGroup" localSheetId="9">'PRBA|0496-00'!$AC$45</definedName>
    <definedName name="NEW_AdjONLYGroup" localSheetId="10">'PRBB|0250-00'!$AC$45</definedName>
    <definedName name="NEW_AdjONLYGroup" localSheetId="11">'PRBB|0348-00'!$AC$45</definedName>
    <definedName name="NEW_AdjONLYGroup" localSheetId="12">'PRBD|0410-00'!$AC$45</definedName>
    <definedName name="NEW_AdjONLYGroup">'B6'!$AC$45</definedName>
    <definedName name="NEW_AdjONLYGroupSalary" localSheetId="0">'PRAA|0001-00'!$AA$45</definedName>
    <definedName name="NEW_AdjONLYGroupSalary" localSheetId="1">'PRAA|0125-00'!$AA$45</definedName>
    <definedName name="NEW_AdjONLYGroupSalary" localSheetId="2">'PRAA|0243-00'!$AA$45</definedName>
    <definedName name="NEW_AdjONLYGroupSalary" localSheetId="3">'PRAA|0247-00'!$AA$45</definedName>
    <definedName name="NEW_AdjONLYGroupSalary" localSheetId="4">'PRAB|0250-00'!$AA$45</definedName>
    <definedName name="NEW_AdjONLYGroupSalary" localSheetId="5">'PRBA|0001-00'!$AA$45</definedName>
    <definedName name="NEW_AdjONLYGroupSalary" localSheetId="6">'PRBA|0243-00'!$AA$45</definedName>
    <definedName name="NEW_AdjONLYGroupSalary" localSheetId="7">'PRBA|0247-00'!$AA$45</definedName>
    <definedName name="NEW_AdjONLYGroupSalary" localSheetId="8">'PRBA|0349-00'!$AA$45</definedName>
    <definedName name="NEW_AdjONLYGroupSalary" localSheetId="9">'PRBA|0496-00'!$AA$45</definedName>
    <definedName name="NEW_AdjONLYGroupSalary" localSheetId="10">'PRBB|0250-00'!$AA$45</definedName>
    <definedName name="NEW_AdjONLYGroupSalary" localSheetId="11">'PRBB|0348-00'!$AA$45</definedName>
    <definedName name="NEW_AdjONLYGroupSalary" localSheetId="12">'PRBD|0410-00'!$AA$45</definedName>
    <definedName name="NEW_AdjONLYGroupSalary">'B6'!$AA$45</definedName>
    <definedName name="NEW_AdjONLYGroupVB" localSheetId="0">'PRAA|0001-00'!$AB$45</definedName>
    <definedName name="NEW_AdjONLYGroupVB" localSheetId="1">'PRAA|0125-00'!$AB$45</definedName>
    <definedName name="NEW_AdjONLYGroupVB" localSheetId="2">'PRAA|0243-00'!$AB$45</definedName>
    <definedName name="NEW_AdjONLYGroupVB" localSheetId="3">'PRAA|0247-00'!$AB$45</definedName>
    <definedName name="NEW_AdjONLYGroupVB" localSheetId="4">'PRAB|0250-00'!$AB$45</definedName>
    <definedName name="NEW_AdjONLYGroupVB" localSheetId="5">'PRBA|0001-00'!$AB$45</definedName>
    <definedName name="NEW_AdjONLYGroupVB" localSheetId="6">'PRBA|0243-00'!$AB$45</definedName>
    <definedName name="NEW_AdjONLYGroupVB" localSheetId="7">'PRBA|0247-00'!$AB$45</definedName>
    <definedName name="NEW_AdjONLYGroupVB" localSheetId="8">'PRBA|0349-00'!$AB$45</definedName>
    <definedName name="NEW_AdjONLYGroupVB" localSheetId="9">'PRBA|0496-00'!$AB$45</definedName>
    <definedName name="NEW_AdjONLYGroupVB" localSheetId="10">'PRBB|0250-00'!$AB$45</definedName>
    <definedName name="NEW_AdjONLYGroupVB" localSheetId="11">'PRBB|0348-00'!$AB$45</definedName>
    <definedName name="NEW_AdjONLYGroupVB" localSheetId="12">'PRBD|0410-00'!$AB$45</definedName>
    <definedName name="NEW_AdjONLYGroupVB">'B6'!$AB$45</definedName>
    <definedName name="NEW_AdjONLYPerm" localSheetId="0">'PRAA|0001-00'!$AC$44</definedName>
    <definedName name="NEW_AdjONLYPerm" localSheetId="1">'PRAA|0125-00'!$AC$44</definedName>
    <definedName name="NEW_AdjONLYPerm" localSheetId="2">'PRAA|0243-00'!$AC$44</definedName>
    <definedName name="NEW_AdjONLYPerm" localSheetId="3">'PRAA|0247-00'!$AC$44</definedName>
    <definedName name="NEW_AdjONLYPerm" localSheetId="4">'PRAB|0250-00'!$AC$44</definedName>
    <definedName name="NEW_AdjONLYPerm" localSheetId="5">'PRBA|0001-00'!$AC$44</definedName>
    <definedName name="NEW_AdjONLYPerm" localSheetId="6">'PRBA|0243-00'!$AC$44</definedName>
    <definedName name="NEW_AdjONLYPerm" localSheetId="7">'PRBA|0247-00'!$AC$44</definedName>
    <definedName name="NEW_AdjONLYPerm" localSheetId="8">'PRBA|0349-00'!$AC$44</definedName>
    <definedName name="NEW_AdjONLYPerm" localSheetId="9">'PRBA|0496-00'!$AC$44</definedName>
    <definedName name="NEW_AdjONLYPerm" localSheetId="10">'PRBB|0250-00'!$AC$44</definedName>
    <definedName name="NEW_AdjONLYPerm" localSheetId="11">'PRBB|0348-00'!$AC$44</definedName>
    <definedName name="NEW_AdjONLYPerm" localSheetId="12">'PRBD|0410-00'!$AC$44</definedName>
    <definedName name="NEW_AdjONLYPerm">'B6'!$AC$44</definedName>
    <definedName name="NEW_AdjONLYPermSalary" localSheetId="0">'PRAA|0001-00'!$AA$44</definedName>
    <definedName name="NEW_AdjONLYPermSalary" localSheetId="1">'PRAA|0125-00'!$AA$44</definedName>
    <definedName name="NEW_AdjONLYPermSalary" localSheetId="2">'PRAA|0243-00'!$AA$44</definedName>
    <definedName name="NEW_AdjONLYPermSalary" localSheetId="3">'PRAA|0247-00'!$AA$44</definedName>
    <definedName name="NEW_AdjONLYPermSalary" localSheetId="4">'PRAB|0250-00'!$AA$44</definedName>
    <definedName name="NEW_AdjONLYPermSalary" localSheetId="5">'PRBA|0001-00'!$AA$44</definedName>
    <definedName name="NEW_AdjONLYPermSalary" localSheetId="6">'PRBA|0243-00'!$AA$44</definedName>
    <definedName name="NEW_AdjONLYPermSalary" localSheetId="7">'PRBA|0247-00'!$AA$44</definedName>
    <definedName name="NEW_AdjONLYPermSalary" localSheetId="8">'PRBA|0349-00'!$AA$44</definedName>
    <definedName name="NEW_AdjONLYPermSalary" localSheetId="9">'PRBA|0496-00'!$AA$44</definedName>
    <definedName name="NEW_AdjONLYPermSalary" localSheetId="10">'PRBB|0250-00'!$AA$44</definedName>
    <definedName name="NEW_AdjONLYPermSalary" localSheetId="11">'PRBB|0348-00'!$AA$44</definedName>
    <definedName name="NEW_AdjONLYPermSalary" localSheetId="12">'PRBD|0410-00'!$AA$44</definedName>
    <definedName name="NEW_AdjONLYPermSalary">'B6'!$AA$44</definedName>
    <definedName name="NEW_AdjONLYPermVB" localSheetId="0">'PRAA|0001-00'!$AB$44</definedName>
    <definedName name="NEW_AdjONLYPermVB" localSheetId="1">'PRAA|0125-00'!$AB$44</definedName>
    <definedName name="NEW_AdjONLYPermVB" localSheetId="2">'PRAA|0243-00'!$AB$44</definedName>
    <definedName name="NEW_AdjONLYPermVB" localSheetId="3">'PRAA|0247-00'!$AB$44</definedName>
    <definedName name="NEW_AdjONLYPermVB" localSheetId="4">'PRAB|0250-00'!$AB$44</definedName>
    <definedName name="NEW_AdjONLYPermVB" localSheetId="5">'PRBA|0001-00'!$AB$44</definedName>
    <definedName name="NEW_AdjONLYPermVB" localSheetId="6">'PRBA|0243-00'!$AB$44</definedName>
    <definedName name="NEW_AdjONLYPermVB" localSheetId="7">'PRBA|0247-00'!$AB$44</definedName>
    <definedName name="NEW_AdjONLYPermVB" localSheetId="8">'PRBA|0349-00'!$AB$44</definedName>
    <definedName name="NEW_AdjONLYPermVB" localSheetId="9">'PRBA|0496-00'!$AB$44</definedName>
    <definedName name="NEW_AdjONLYPermVB" localSheetId="10">'PRBB|0250-00'!$AB$44</definedName>
    <definedName name="NEW_AdjONLYPermVB" localSheetId="11">'PRBB|0348-00'!$AB$44</definedName>
    <definedName name="NEW_AdjONLYPermVB" localSheetId="12">'PRBD|0410-00'!$AB$44</definedName>
    <definedName name="NEW_AdjONLYPermVB">'B6'!$AB$44</definedName>
    <definedName name="NEW_AdjPerm" localSheetId="0">'PRAA|0001-00'!$AC$38</definedName>
    <definedName name="NEW_AdjPerm" localSheetId="1">'PRAA|0125-00'!$AC$38</definedName>
    <definedName name="NEW_AdjPerm" localSheetId="2">'PRAA|0243-00'!$AC$38</definedName>
    <definedName name="NEW_AdjPerm" localSheetId="3">'PRAA|0247-00'!$AC$38</definedName>
    <definedName name="NEW_AdjPerm" localSheetId="4">'PRAB|0250-00'!$AC$38</definedName>
    <definedName name="NEW_AdjPerm" localSheetId="5">'PRBA|0001-00'!$AC$38</definedName>
    <definedName name="NEW_AdjPerm" localSheetId="6">'PRBA|0243-00'!$AC$38</definedName>
    <definedName name="NEW_AdjPerm" localSheetId="7">'PRBA|0247-00'!$AC$38</definedName>
    <definedName name="NEW_AdjPerm" localSheetId="8">'PRBA|0349-00'!$AC$38</definedName>
    <definedName name="NEW_AdjPerm" localSheetId="9">'PRBA|0496-00'!$AC$38</definedName>
    <definedName name="NEW_AdjPerm" localSheetId="10">'PRBB|0250-00'!$AC$38</definedName>
    <definedName name="NEW_AdjPerm" localSheetId="11">'PRBB|0348-00'!$AC$38</definedName>
    <definedName name="NEW_AdjPerm" localSheetId="12">'PRBD|0410-00'!$AC$38</definedName>
    <definedName name="NEW_AdjPerm">'B6'!$AC$38</definedName>
    <definedName name="NEW_AdjPermSalary" localSheetId="0">'PRAA|0001-00'!$AA$38</definedName>
    <definedName name="NEW_AdjPermSalary" localSheetId="1">'PRAA|0125-00'!$AA$38</definedName>
    <definedName name="NEW_AdjPermSalary" localSheetId="2">'PRAA|0243-00'!$AA$38</definedName>
    <definedName name="NEW_AdjPermSalary" localSheetId="3">'PRAA|0247-00'!$AA$38</definedName>
    <definedName name="NEW_AdjPermSalary" localSheetId="4">'PRAB|0250-00'!$AA$38</definedName>
    <definedName name="NEW_AdjPermSalary" localSheetId="5">'PRBA|0001-00'!$AA$38</definedName>
    <definedName name="NEW_AdjPermSalary" localSheetId="6">'PRBA|0243-00'!$AA$38</definedName>
    <definedName name="NEW_AdjPermSalary" localSheetId="7">'PRBA|0247-00'!$AA$38</definedName>
    <definedName name="NEW_AdjPermSalary" localSheetId="8">'PRBA|0349-00'!$AA$38</definedName>
    <definedName name="NEW_AdjPermSalary" localSheetId="9">'PRBA|0496-00'!$AA$38</definedName>
    <definedName name="NEW_AdjPermSalary" localSheetId="10">'PRBB|0250-00'!$AA$38</definedName>
    <definedName name="NEW_AdjPermSalary" localSheetId="11">'PRBB|0348-00'!$AA$38</definedName>
    <definedName name="NEW_AdjPermSalary" localSheetId="12">'PRBD|0410-00'!$AA$38</definedName>
    <definedName name="NEW_AdjPermSalary">'B6'!$AA$38</definedName>
    <definedName name="NEW_AdjPermVB" localSheetId="0">'PRAA|0001-00'!$AB$38</definedName>
    <definedName name="NEW_AdjPermVB" localSheetId="1">'PRAA|0125-00'!$AB$38</definedName>
    <definedName name="NEW_AdjPermVB" localSheetId="2">'PRAA|0243-00'!$AB$38</definedName>
    <definedName name="NEW_AdjPermVB" localSheetId="3">'PRAA|0247-00'!$AB$38</definedName>
    <definedName name="NEW_AdjPermVB" localSheetId="4">'PRAB|0250-00'!$AB$38</definedName>
    <definedName name="NEW_AdjPermVB" localSheetId="5">'PRBA|0001-00'!$AB$38</definedName>
    <definedName name="NEW_AdjPermVB" localSheetId="6">'PRBA|0243-00'!$AB$38</definedName>
    <definedName name="NEW_AdjPermVB" localSheetId="7">'PRBA|0247-00'!$AB$38</definedName>
    <definedName name="NEW_AdjPermVB" localSheetId="8">'PRBA|0349-00'!$AB$38</definedName>
    <definedName name="NEW_AdjPermVB" localSheetId="9">'PRBA|0496-00'!$AB$38</definedName>
    <definedName name="NEW_AdjPermVB" localSheetId="10">'PRBB|0250-00'!$AB$38</definedName>
    <definedName name="NEW_AdjPermVB" localSheetId="11">'PRBB|0348-00'!$AB$38</definedName>
    <definedName name="NEW_AdjPermVB" localSheetId="12">'PRBD|0410-00'!$AB$38</definedName>
    <definedName name="NEW_AdjPermVB">'B6'!$AB$38</definedName>
    <definedName name="NEW_GroupFilled" localSheetId="0">'PRAA|0001-00'!$AC$11</definedName>
    <definedName name="NEW_GroupFilled" localSheetId="1">'PRAA|0125-00'!$AC$11</definedName>
    <definedName name="NEW_GroupFilled" localSheetId="2">'PRAA|0243-00'!$AC$11</definedName>
    <definedName name="NEW_GroupFilled" localSheetId="3">'PRAA|0247-00'!$AC$11</definedName>
    <definedName name="NEW_GroupFilled" localSheetId="4">'PRAB|0250-00'!$AC$11</definedName>
    <definedName name="NEW_GroupFilled" localSheetId="5">'PRBA|0001-00'!$AC$11</definedName>
    <definedName name="NEW_GroupFilled" localSheetId="6">'PRBA|0243-00'!$AC$11</definedName>
    <definedName name="NEW_GroupFilled" localSheetId="7">'PRBA|0247-00'!$AC$11</definedName>
    <definedName name="NEW_GroupFilled" localSheetId="8">'PRBA|0349-00'!$AC$11</definedName>
    <definedName name="NEW_GroupFilled" localSheetId="9">'PRBA|0496-00'!$AC$11</definedName>
    <definedName name="NEW_GroupFilled" localSheetId="10">'PRBB|0250-00'!$AC$11</definedName>
    <definedName name="NEW_GroupFilled" localSheetId="11">'PRBB|0348-00'!$AC$11</definedName>
    <definedName name="NEW_GroupFilled" localSheetId="12">'PRBD|0410-00'!$AC$11</definedName>
    <definedName name="NEW_GroupFilled">'B6'!$AC$11</definedName>
    <definedName name="NEW_GroupSalaryFilled" localSheetId="0">'PRAA|0001-00'!$AA$11</definedName>
    <definedName name="NEW_GroupSalaryFilled" localSheetId="1">'PRAA|0125-00'!$AA$11</definedName>
    <definedName name="NEW_GroupSalaryFilled" localSheetId="2">'PRAA|0243-00'!$AA$11</definedName>
    <definedName name="NEW_GroupSalaryFilled" localSheetId="3">'PRAA|0247-00'!$AA$11</definedName>
    <definedName name="NEW_GroupSalaryFilled" localSheetId="4">'PRAB|0250-00'!$AA$11</definedName>
    <definedName name="NEW_GroupSalaryFilled" localSheetId="5">'PRBA|0001-00'!$AA$11</definedName>
    <definedName name="NEW_GroupSalaryFilled" localSheetId="6">'PRBA|0243-00'!$AA$11</definedName>
    <definedName name="NEW_GroupSalaryFilled" localSheetId="7">'PRBA|0247-00'!$AA$11</definedName>
    <definedName name="NEW_GroupSalaryFilled" localSheetId="8">'PRBA|0349-00'!$AA$11</definedName>
    <definedName name="NEW_GroupSalaryFilled" localSheetId="9">'PRBA|0496-00'!$AA$11</definedName>
    <definedName name="NEW_GroupSalaryFilled" localSheetId="10">'PRBB|0250-00'!$AA$11</definedName>
    <definedName name="NEW_GroupSalaryFilled" localSheetId="11">'PRBB|0348-00'!$AA$11</definedName>
    <definedName name="NEW_GroupSalaryFilled" localSheetId="12">'PRBD|0410-00'!$AA$11</definedName>
    <definedName name="NEW_GroupSalaryFilled">'B6'!$AA$11</definedName>
    <definedName name="NEW_GroupVBFilled" localSheetId="0">'PRAA|0001-00'!$AB$11</definedName>
    <definedName name="NEW_GroupVBFilled" localSheetId="1">'PRAA|0125-00'!$AB$11</definedName>
    <definedName name="NEW_GroupVBFilled" localSheetId="2">'PRAA|0243-00'!$AB$11</definedName>
    <definedName name="NEW_GroupVBFilled" localSheetId="3">'PRAA|0247-00'!$AB$11</definedName>
    <definedName name="NEW_GroupVBFilled" localSheetId="4">'PRAB|0250-00'!$AB$11</definedName>
    <definedName name="NEW_GroupVBFilled" localSheetId="5">'PRBA|0001-00'!$AB$11</definedName>
    <definedName name="NEW_GroupVBFilled" localSheetId="6">'PRBA|0243-00'!$AB$11</definedName>
    <definedName name="NEW_GroupVBFilled" localSheetId="7">'PRBA|0247-00'!$AB$11</definedName>
    <definedName name="NEW_GroupVBFilled" localSheetId="8">'PRBA|0349-00'!$AB$11</definedName>
    <definedName name="NEW_GroupVBFilled" localSheetId="9">'PRBA|0496-00'!$AB$11</definedName>
    <definedName name="NEW_GroupVBFilled" localSheetId="10">'PRBB|0250-00'!$AB$11</definedName>
    <definedName name="NEW_GroupVBFilled" localSheetId="11">'PRBB|0348-00'!$AB$11</definedName>
    <definedName name="NEW_GroupVBFilled" localSheetId="12">'PRBD|0410-00'!$AB$11</definedName>
    <definedName name="NEW_GroupVBFilled">'B6'!$AB$11</definedName>
    <definedName name="NEW_PermFilled" localSheetId="0">'PRAA|0001-00'!$AC$10</definedName>
    <definedName name="NEW_PermFilled" localSheetId="1">'PRAA|0125-00'!$AC$10</definedName>
    <definedName name="NEW_PermFilled" localSheetId="2">'PRAA|0243-00'!$AC$10</definedName>
    <definedName name="NEW_PermFilled" localSheetId="3">'PRAA|0247-00'!$AC$10</definedName>
    <definedName name="NEW_PermFilled" localSheetId="4">'PRAB|0250-00'!$AC$10</definedName>
    <definedName name="NEW_PermFilled" localSheetId="5">'PRBA|0001-00'!$AC$10</definedName>
    <definedName name="NEW_PermFilled" localSheetId="6">'PRBA|0243-00'!$AC$10</definedName>
    <definedName name="NEW_PermFilled" localSheetId="7">'PRBA|0247-00'!$AC$10</definedName>
    <definedName name="NEW_PermFilled" localSheetId="8">'PRBA|0349-00'!$AC$10</definedName>
    <definedName name="NEW_PermFilled" localSheetId="9">'PRBA|0496-00'!$AC$10</definedName>
    <definedName name="NEW_PermFilled" localSheetId="10">'PRBB|0250-00'!$AC$10</definedName>
    <definedName name="NEW_PermFilled" localSheetId="11">'PRBB|0348-00'!$AC$10</definedName>
    <definedName name="NEW_PermFilled" localSheetId="12">'PRBD|0410-00'!$AC$10</definedName>
    <definedName name="NEW_PermFilled">'B6'!$AC$10</definedName>
    <definedName name="NEW_PermSalaryFilled" localSheetId="0">'PRAA|0001-00'!$AA$10</definedName>
    <definedName name="NEW_PermSalaryFilled" localSheetId="1">'PRAA|0125-00'!$AA$10</definedName>
    <definedName name="NEW_PermSalaryFilled" localSheetId="2">'PRAA|0243-00'!$AA$10</definedName>
    <definedName name="NEW_PermSalaryFilled" localSheetId="3">'PRAA|0247-00'!$AA$10</definedName>
    <definedName name="NEW_PermSalaryFilled" localSheetId="4">'PRAB|0250-00'!$AA$10</definedName>
    <definedName name="NEW_PermSalaryFilled" localSheetId="5">'PRBA|0001-00'!$AA$10</definedName>
    <definedName name="NEW_PermSalaryFilled" localSheetId="6">'PRBA|0243-00'!$AA$10</definedName>
    <definedName name="NEW_PermSalaryFilled" localSheetId="7">'PRBA|0247-00'!$AA$10</definedName>
    <definedName name="NEW_PermSalaryFilled" localSheetId="8">'PRBA|0349-00'!$AA$10</definedName>
    <definedName name="NEW_PermSalaryFilled" localSheetId="9">'PRBA|0496-00'!$AA$10</definedName>
    <definedName name="NEW_PermSalaryFilled" localSheetId="10">'PRBB|0250-00'!$AA$10</definedName>
    <definedName name="NEW_PermSalaryFilled" localSheetId="11">'PRBB|0348-00'!$AA$10</definedName>
    <definedName name="NEW_PermSalaryFilled" localSheetId="12">'PRBD|0410-00'!$AA$10</definedName>
    <definedName name="NEW_PermSalaryFilled">'B6'!$AA$10</definedName>
    <definedName name="NEW_PermVBFilled" localSheetId="0">'PRAA|0001-00'!$AB$10</definedName>
    <definedName name="NEW_PermVBFilled" localSheetId="1">'PRAA|0125-00'!$AB$10</definedName>
    <definedName name="NEW_PermVBFilled" localSheetId="2">'PRAA|0243-00'!$AB$10</definedName>
    <definedName name="NEW_PermVBFilled" localSheetId="3">'PRAA|0247-00'!$AB$10</definedName>
    <definedName name="NEW_PermVBFilled" localSheetId="4">'PRAB|0250-00'!$AB$10</definedName>
    <definedName name="NEW_PermVBFilled" localSheetId="5">'PRBA|0001-00'!$AB$10</definedName>
    <definedName name="NEW_PermVBFilled" localSheetId="6">'PRBA|0243-00'!$AB$10</definedName>
    <definedName name="NEW_PermVBFilled" localSheetId="7">'PRBA|0247-00'!$AB$10</definedName>
    <definedName name="NEW_PermVBFilled" localSheetId="8">'PRBA|0349-00'!$AB$10</definedName>
    <definedName name="NEW_PermVBFilled" localSheetId="9">'PRBA|0496-00'!$AB$10</definedName>
    <definedName name="NEW_PermVBFilled" localSheetId="10">'PRBB|0250-00'!$AB$10</definedName>
    <definedName name="NEW_PermVBFilled" localSheetId="11">'PRBB|0348-00'!$AB$10</definedName>
    <definedName name="NEW_PermVBFilled" localSheetId="12">'PRBD|0410-00'!$AB$10</definedName>
    <definedName name="NEW_PermVBFilled">'B6'!$AB$10</definedName>
    <definedName name="OneTimePC_Total" localSheetId="0">'PRAA|0001-00'!$J$63</definedName>
    <definedName name="OneTimePC_Total" localSheetId="1">'PRAA|0125-00'!$J$63</definedName>
    <definedName name="OneTimePC_Total" localSheetId="2">'PRAA|0243-00'!$J$63</definedName>
    <definedName name="OneTimePC_Total" localSheetId="3">'PRAA|0247-00'!$J$63</definedName>
    <definedName name="OneTimePC_Total" localSheetId="4">'PRAB|0250-00'!$J$63</definedName>
    <definedName name="OneTimePC_Total" localSheetId="5">'PRBA|0001-00'!$J$63</definedName>
    <definedName name="OneTimePC_Total" localSheetId="6">'PRBA|0243-00'!$J$63</definedName>
    <definedName name="OneTimePC_Total" localSheetId="7">'PRBA|0247-00'!$J$63</definedName>
    <definedName name="OneTimePC_Total" localSheetId="8">'PRBA|0349-00'!$J$63</definedName>
    <definedName name="OneTimePC_Total" localSheetId="9">'PRBA|0496-00'!$J$63</definedName>
    <definedName name="OneTimePC_Total" localSheetId="10">'PRBB|0250-00'!$J$63</definedName>
    <definedName name="OneTimePC_Total" localSheetId="11">'PRBB|0348-00'!$J$63</definedName>
    <definedName name="OneTimePC_Total" localSheetId="12">'PRBD|0410-00'!$J$63</definedName>
    <definedName name="OneTimePC_Total">'B6'!$J$63</definedName>
    <definedName name="OrigApprop" localSheetId="0">'PRAA|0001-00'!$E$15</definedName>
    <definedName name="OrigApprop" localSheetId="1">'PRAA|0125-00'!$E$15</definedName>
    <definedName name="OrigApprop" localSheetId="2">'PRAA|0243-00'!$E$15</definedName>
    <definedName name="OrigApprop" localSheetId="3">'PRAA|0247-00'!$E$15</definedName>
    <definedName name="OrigApprop" localSheetId="4">'PRAB|0250-00'!$E$15</definedName>
    <definedName name="OrigApprop" localSheetId="5">'PRBA|0001-00'!$E$15</definedName>
    <definedName name="OrigApprop" localSheetId="6">'PRBA|0243-00'!$E$15</definedName>
    <definedName name="OrigApprop" localSheetId="7">'PRBA|0247-00'!$E$15</definedName>
    <definedName name="OrigApprop" localSheetId="8">'PRBA|0349-00'!$E$15</definedName>
    <definedName name="OrigApprop" localSheetId="9">'PRBA|0496-00'!$E$15</definedName>
    <definedName name="OrigApprop" localSheetId="10">'PRBB|0250-00'!$E$15</definedName>
    <definedName name="OrigApprop" localSheetId="11">'PRBB|0348-00'!$E$15</definedName>
    <definedName name="OrigApprop" localSheetId="12">'PRBD|0410-00'!$E$15</definedName>
    <definedName name="OrigApprop">'B6'!$E$15</definedName>
    <definedName name="perm_name" localSheetId="0">'PRAA|0001-00'!$C$10</definedName>
    <definedName name="perm_name" localSheetId="1">'PRAA|0125-00'!$C$10</definedName>
    <definedName name="perm_name" localSheetId="2">'PRAA|0243-00'!$C$10</definedName>
    <definedName name="perm_name" localSheetId="3">'PRAA|0247-00'!$C$10</definedName>
    <definedName name="perm_name" localSheetId="4">'PRAB|0250-00'!$C$10</definedName>
    <definedName name="perm_name" localSheetId="5">'PRBA|0001-00'!$C$10</definedName>
    <definedName name="perm_name" localSheetId="6">'PRBA|0243-00'!$C$10</definedName>
    <definedName name="perm_name" localSheetId="7">'PRBA|0247-00'!$C$10</definedName>
    <definedName name="perm_name" localSheetId="8">'PRBA|0349-00'!$C$10</definedName>
    <definedName name="perm_name" localSheetId="9">'PRBA|0496-00'!$C$10</definedName>
    <definedName name="perm_name" localSheetId="10">'PRBB|0250-00'!$C$10</definedName>
    <definedName name="perm_name" localSheetId="11">'PRBB|0348-00'!$C$10</definedName>
    <definedName name="perm_name" localSheetId="12">'PRBD|0410-00'!$C$10</definedName>
    <definedName name="perm_name">'B6'!$C$10</definedName>
    <definedName name="PermFTP" localSheetId="0">'PRAA|0001-00'!$F$10</definedName>
    <definedName name="PermFTP" localSheetId="1">'PRAA|0125-00'!$F$10</definedName>
    <definedName name="PermFTP" localSheetId="2">'PRAA|0243-00'!$F$10</definedName>
    <definedName name="PermFTP" localSheetId="3">'PRAA|0247-00'!$F$10</definedName>
    <definedName name="PermFTP" localSheetId="4">'PRAB|0250-00'!$F$10</definedName>
    <definedName name="PermFTP" localSheetId="5">'PRBA|0001-00'!$F$10</definedName>
    <definedName name="PermFTP" localSheetId="6">'PRBA|0243-00'!$F$10</definedName>
    <definedName name="PermFTP" localSheetId="7">'PRBA|0247-00'!$F$10</definedName>
    <definedName name="PermFTP" localSheetId="8">'PRBA|0349-00'!$F$10</definedName>
    <definedName name="PermFTP" localSheetId="9">'PRBA|0496-00'!$F$10</definedName>
    <definedName name="PermFTP" localSheetId="10">'PRBB|0250-00'!$F$10</definedName>
    <definedName name="PermFTP" localSheetId="11">'PRBB|0348-00'!$F$10</definedName>
    <definedName name="PermFTP" localSheetId="12">'PRBD|0410-00'!$F$10</definedName>
    <definedName name="PermFTP">'B6'!$F$10</definedName>
    <definedName name="PermFxdBen" localSheetId="0">'PRAA|0001-00'!$H$10</definedName>
    <definedName name="PermFxdBen" localSheetId="1">'PRAA|0125-00'!$H$10</definedName>
    <definedName name="PermFxdBen" localSheetId="2">'PRAA|0243-00'!$H$10</definedName>
    <definedName name="PermFxdBen" localSheetId="3">'PRAA|0247-00'!$H$10</definedName>
    <definedName name="PermFxdBen" localSheetId="4">'PRAB|0250-00'!$H$10</definedName>
    <definedName name="PermFxdBen" localSheetId="5">'PRBA|0001-00'!$H$10</definedName>
    <definedName name="PermFxdBen" localSheetId="6">'PRBA|0243-00'!$H$10</definedName>
    <definedName name="PermFxdBen" localSheetId="7">'PRBA|0247-00'!$H$10</definedName>
    <definedName name="PermFxdBen" localSheetId="8">'PRBA|0349-00'!$H$10</definedName>
    <definedName name="PermFxdBen" localSheetId="9">'PRBA|0496-00'!$H$10</definedName>
    <definedName name="PermFxdBen" localSheetId="10">'PRBB|0250-00'!$H$10</definedName>
    <definedName name="PermFxdBen" localSheetId="11">'PRBB|0348-00'!$H$10</definedName>
    <definedName name="PermFxdBen" localSheetId="12">'PRBD|0410-00'!$H$10</definedName>
    <definedName name="PermFxdBen">'B6'!$H$10</definedName>
    <definedName name="PermFxdBenChg" localSheetId="0">'PRAA|0001-00'!$L$10</definedName>
    <definedName name="PermFxdBenChg" localSheetId="1">'PRAA|0125-00'!$L$10</definedName>
    <definedName name="PermFxdBenChg" localSheetId="2">'PRAA|0243-00'!$L$10</definedName>
    <definedName name="PermFxdBenChg" localSheetId="3">'PRAA|0247-00'!$L$10</definedName>
    <definedName name="PermFxdBenChg" localSheetId="4">'PRAB|0250-00'!$L$10</definedName>
    <definedName name="PermFxdBenChg" localSheetId="5">'PRBA|0001-00'!$L$10</definedName>
    <definedName name="PermFxdBenChg" localSheetId="6">'PRBA|0243-00'!$L$10</definedName>
    <definedName name="PermFxdBenChg" localSheetId="7">'PRBA|0247-00'!$L$10</definedName>
    <definedName name="PermFxdBenChg" localSheetId="8">'PRBA|0349-00'!$L$10</definedName>
    <definedName name="PermFxdBenChg" localSheetId="9">'PRBA|0496-00'!$L$10</definedName>
    <definedName name="PermFxdBenChg" localSheetId="10">'PRBB|0250-00'!$L$10</definedName>
    <definedName name="PermFxdBenChg" localSheetId="11">'PRBB|0348-00'!$L$10</definedName>
    <definedName name="PermFxdBenChg" localSheetId="12">'PRBD|0410-00'!$L$10</definedName>
    <definedName name="PermFxdBenChg">'B6'!$L$10</definedName>
    <definedName name="PermFxdChg" localSheetId="0">'PRAA|0001-00'!$L$10</definedName>
    <definedName name="PermFxdChg" localSheetId="1">'PRAA|0125-00'!$L$10</definedName>
    <definedName name="PermFxdChg" localSheetId="2">'PRAA|0243-00'!$L$10</definedName>
    <definedName name="PermFxdChg" localSheetId="3">'PRAA|0247-00'!$L$10</definedName>
    <definedName name="PermFxdChg" localSheetId="4">'PRAB|0250-00'!$L$10</definedName>
    <definedName name="PermFxdChg" localSheetId="5">'PRBA|0001-00'!$L$10</definedName>
    <definedName name="PermFxdChg" localSheetId="6">'PRBA|0243-00'!$L$10</definedName>
    <definedName name="PermFxdChg" localSheetId="7">'PRBA|0247-00'!$L$10</definedName>
    <definedName name="PermFxdChg" localSheetId="8">'PRBA|0349-00'!$L$10</definedName>
    <definedName name="PermFxdChg" localSheetId="9">'PRBA|0496-00'!$L$10</definedName>
    <definedName name="PermFxdChg" localSheetId="10">'PRBB|0250-00'!$L$10</definedName>
    <definedName name="PermFxdChg" localSheetId="11">'PRBB|0348-00'!$L$10</definedName>
    <definedName name="PermFxdChg" localSheetId="12">'PRBD|0410-00'!$L$10</definedName>
    <definedName name="PermFxdChg">'B6'!$L$10</definedName>
    <definedName name="PermSalary" localSheetId="0">'PRAA|0001-00'!$G$10</definedName>
    <definedName name="PermSalary" localSheetId="1">'PRAA|0125-00'!$G$10</definedName>
    <definedName name="PermSalary" localSheetId="2">'PRAA|0243-00'!$G$10</definedName>
    <definedName name="PermSalary" localSheetId="3">'PRAA|0247-00'!$G$10</definedName>
    <definedName name="PermSalary" localSheetId="4">'PRAB|0250-00'!$G$10</definedName>
    <definedName name="PermSalary" localSheetId="5">'PRBA|0001-00'!$G$10</definedName>
    <definedName name="PermSalary" localSheetId="6">'PRBA|0243-00'!$G$10</definedName>
    <definedName name="PermSalary" localSheetId="7">'PRBA|0247-00'!$G$10</definedName>
    <definedName name="PermSalary" localSheetId="8">'PRBA|0349-00'!$G$10</definedName>
    <definedName name="PermSalary" localSheetId="9">'PRBA|0496-00'!$G$10</definedName>
    <definedName name="PermSalary" localSheetId="10">'PRBB|0250-00'!$G$10</definedName>
    <definedName name="PermSalary" localSheetId="11">'PRBB|0348-00'!$G$10</definedName>
    <definedName name="PermSalary" localSheetId="12">'PRBD|0410-00'!$G$10</definedName>
    <definedName name="PermSalary">'B6'!$G$10</definedName>
    <definedName name="PermVarBen" localSheetId="0">'PRAA|0001-00'!$I$10</definedName>
    <definedName name="PermVarBen" localSheetId="1">'PRAA|0125-00'!$I$10</definedName>
    <definedName name="PermVarBen" localSheetId="2">'PRAA|0243-00'!$I$10</definedName>
    <definedName name="PermVarBen" localSheetId="3">'PRAA|0247-00'!$I$10</definedName>
    <definedName name="PermVarBen" localSheetId="4">'PRAB|0250-00'!$I$10</definedName>
    <definedName name="PermVarBen" localSheetId="5">'PRBA|0001-00'!$I$10</definedName>
    <definedName name="PermVarBen" localSheetId="6">'PRBA|0243-00'!$I$10</definedName>
    <definedName name="PermVarBen" localSheetId="7">'PRBA|0247-00'!$I$10</definedName>
    <definedName name="PermVarBen" localSheetId="8">'PRBA|0349-00'!$I$10</definedName>
    <definedName name="PermVarBen" localSheetId="9">'PRBA|0496-00'!$I$10</definedName>
    <definedName name="PermVarBen" localSheetId="10">'PRBB|0250-00'!$I$10</definedName>
    <definedName name="PermVarBen" localSheetId="11">'PRBB|0348-00'!$I$10</definedName>
    <definedName name="PermVarBen" localSheetId="12">'PRBD|0410-00'!$I$10</definedName>
    <definedName name="PermVarBen">'B6'!$I$10</definedName>
    <definedName name="PermVarBenChg" localSheetId="0">'PRAA|0001-00'!$M$10</definedName>
    <definedName name="PermVarBenChg" localSheetId="1">'PRAA|0125-00'!$M$10</definedName>
    <definedName name="PermVarBenChg" localSheetId="2">'PRAA|0243-00'!$M$10</definedName>
    <definedName name="PermVarBenChg" localSheetId="3">'PRAA|0247-00'!$M$10</definedName>
    <definedName name="PermVarBenChg" localSheetId="4">'PRAB|0250-00'!$M$10</definedName>
    <definedName name="PermVarBenChg" localSheetId="5">'PRBA|0001-00'!$M$10</definedName>
    <definedName name="PermVarBenChg" localSheetId="6">'PRBA|0243-00'!$M$10</definedName>
    <definedName name="PermVarBenChg" localSheetId="7">'PRBA|0247-00'!$M$10</definedName>
    <definedName name="PermVarBenChg" localSheetId="8">'PRBA|0349-00'!$M$10</definedName>
    <definedName name="PermVarBenChg" localSheetId="9">'PRBA|0496-00'!$M$10</definedName>
    <definedName name="PermVarBenChg" localSheetId="10">'PRBB|0250-00'!$M$10</definedName>
    <definedName name="PermVarBenChg" localSheetId="11">'PRBB|0348-00'!$M$10</definedName>
    <definedName name="PermVarBenChg" localSheetId="12">'PRBD|0410-00'!$M$10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PRAA000100col_1_27TH_PP">Data!$BA$395</definedName>
    <definedName name="PRAA000100col_DHR">Data!$BI$395</definedName>
    <definedName name="PRAA000100col_DHR_BY">Data!$BU$395</definedName>
    <definedName name="PRAA000100col_DHR_CHG">Data!$CG$395</definedName>
    <definedName name="PRAA000100col_FTI_SALARY_ELECT">Data!$AZ$395</definedName>
    <definedName name="PRAA000100col_FTI_SALARY_PERM">Data!$AY$395</definedName>
    <definedName name="PRAA000100col_FTI_SALARY_SSDI">Data!$AX$395</definedName>
    <definedName name="PRAA000100col_Group_Ben">Data!$CM$395</definedName>
    <definedName name="PRAA000100col_Group_Salary">Data!$CL$395</definedName>
    <definedName name="PRAA000100col_HEALTH_ELECT">Data!$BC$395</definedName>
    <definedName name="PRAA000100col_HEALTH_ELECT_BY">Data!$BO$395</definedName>
    <definedName name="PRAA000100col_HEALTH_ELECT_CHG">Data!$CA$395</definedName>
    <definedName name="PRAA000100col_HEALTH_PERM">Data!$BB$395</definedName>
    <definedName name="PRAA000100col_HEALTH_PERM_BY">Data!$BN$395</definedName>
    <definedName name="PRAA000100col_HEALTH_PERM_CHG">Data!$BZ$395</definedName>
    <definedName name="PRAA000100col_INC_FTI">Data!$AS$395</definedName>
    <definedName name="PRAA000100col_LIFE_INS">Data!$BG$395</definedName>
    <definedName name="PRAA000100col_LIFE_INS_BY">Data!$BS$395</definedName>
    <definedName name="PRAA000100col_LIFE_INS_CHG">Data!$CE$395</definedName>
    <definedName name="PRAA000100col_RETIREMENT">Data!$BF$395</definedName>
    <definedName name="PRAA000100col_RETIREMENT_BY">Data!$BR$395</definedName>
    <definedName name="PRAA000100col_RETIREMENT_CHG">Data!$CD$395</definedName>
    <definedName name="PRAA000100col_ROWS_PER_PCN">Data!$AW$395</definedName>
    <definedName name="PRAA000100col_SICK">Data!$BK$395</definedName>
    <definedName name="PRAA000100col_SICK_BY">Data!$BW$395</definedName>
    <definedName name="PRAA000100col_SICK_CHG">Data!$CI$395</definedName>
    <definedName name="PRAA000100col_SSDI">Data!$BD$395</definedName>
    <definedName name="PRAA000100col_SSDI_BY">Data!$BP$395</definedName>
    <definedName name="PRAA000100col_SSDI_CHG">Data!$CB$395</definedName>
    <definedName name="PRAA000100col_SSHI">Data!$BE$395</definedName>
    <definedName name="PRAA000100col_SSHI_BY">Data!$BQ$395</definedName>
    <definedName name="PRAA000100col_SSHI_CHGv">Data!$CC$395</definedName>
    <definedName name="PRAA000100col_TOT_VB_ELECT">Data!$BM$395</definedName>
    <definedName name="PRAA000100col_TOT_VB_ELECT_BY">Data!$BY$395</definedName>
    <definedName name="PRAA000100col_TOT_VB_ELECT_CHG">Data!$CK$395</definedName>
    <definedName name="PRAA000100col_TOT_VB_PERM">Data!$BL$395</definedName>
    <definedName name="PRAA000100col_TOT_VB_PERM_BY">Data!$BX$395</definedName>
    <definedName name="PRAA000100col_TOT_VB_PERM_CHG">Data!$CJ$395</definedName>
    <definedName name="PRAA000100col_TOTAL_ELECT_PCN_FTI">Data!$AT$395</definedName>
    <definedName name="PRAA000100col_TOTAL_ELECT_PCN_FTI_ALT">Data!$AV$395</definedName>
    <definedName name="PRAA000100col_TOTAL_PERM_PCN_FTI">Data!$AU$395</definedName>
    <definedName name="PRAA000100col_UNEMP_INS">Data!$BH$395</definedName>
    <definedName name="PRAA000100col_UNEMP_INS_BY">Data!$BT$395</definedName>
    <definedName name="PRAA000100col_UNEMP_INS_CHG">Data!$CF$395</definedName>
    <definedName name="PRAA000100col_WORKERS_COMP">Data!$BJ$395</definedName>
    <definedName name="PRAA000100col_WORKERS_COMP_BY">Data!$BV$395</definedName>
    <definedName name="PRAA000100col_WORKERS_COMP_CHG">Data!$CH$395</definedName>
    <definedName name="PRAA012500col_1_27TH_PP">Data!$BA$397</definedName>
    <definedName name="PRAA012500col_DHR">Data!$BI$397</definedName>
    <definedName name="PRAA012500col_DHR_BY">Data!$BU$397</definedName>
    <definedName name="PRAA012500col_DHR_CHG">Data!$CG$397</definedName>
    <definedName name="PRAA012500col_FTI_SALARY_ELECT">Data!$AZ$397</definedName>
    <definedName name="PRAA012500col_FTI_SALARY_PERM">Data!$AY$397</definedName>
    <definedName name="PRAA012500col_FTI_SALARY_SSDI">Data!$AX$397</definedName>
    <definedName name="PRAA012500col_Group_Ben">Data!$CM$397</definedName>
    <definedName name="PRAA012500col_Group_Salary">Data!$CL$397</definedName>
    <definedName name="PRAA012500col_HEALTH_ELECT">Data!$BC$397</definedName>
    <definedName name="PRAA012500col_HEALTH_ELECT_BY">Data!$BO$397</definedName>
    <definedName name="PRAA012500col_HEALTH_ELECT_CHG">Data!$CA$397</definedName>
    <definedName name="PRAA012500col_HEALTH_PERM">Data!$BB$397</definedName>
    <definedName name="PRAA012500col_HEALTH_PERM_BY">Data!$BN$397</definedName>
    <definedName name="PRAA012500col_HEALTH_PERM_CHG">Data!$BZ$397</definedName>
    <definedName name="PRAA012500col_INC_FTI">Data!$AS$397</definedName>
    <definedName name="PRAA012500col_LIFE_INS">Data!$BG$397</definedName>
    <definedName name="PRAA012500col_LIFE_INS_BY">Data!$BS$397</definedName>
    <definedName name="PRAA012500col_LIFE_INS_CHG">Data!$CE$397</definedName>
    <definedName name="PRAA012500col_RETIREMENT">Data!$BF$397</definedName>
    <definedName name="PRAA012500col_RETIREMENT_BY">Data!$BR$397</definedName>
    <definedName name="PRAA012500col_RETIREMENT_CHG">Data!$CD$397</definedName>
    <definedName name="PRAA012500col_ROWS_PER_PCN">Data!$AW$397</definedName>
    <definedName name="PRAA012500col_SICK">Data!$BK$397</definedName>
    <definedName name="PRAA012500col_SICK_BY">Data!$BW$397</definedName>
    <definedName name="PRAA012500col_SICK_CHG">Data!$CI$397</definedName>
    <definedName name="PRAA012500col_SSDI">Data!$BD$397</definedName>
    <definedName name="PRAA012500col_SSDI_BY">Data!$BP$397</definedName>
    <definedName name="PRAA012500col_SSDI_CHG">Data!$CB$397</definedName>
    <definedName name="PRAA012500col_SSHI">Data!$BE$397</definedName>
    <definedName name="PRAA012500col_SSHI_BY">Data!$BQ$397</definedName>
    <definedName name="PRAA012500col_SSHI_CHGv">Data!$CC$397</definedName>
    <definedName name="PRAA012500col_TOT_VB_ELECT">Data!$BM$397</definedName>
    <definedName name="PRAA012500col_TOT_VB_ELECT_BY">Data!$BY$397</definedName>
    <definedName name="PRAA012500col_TOT_VB_ELECT_CHG">Data!$CK$397</definedName>
    <definedName name="PRAA012500col_TOT_VB_PERM">Data!$BL$397</definedName>
    <definedName name="PRAA012500col_TOT_VB_PERM_BY">Data!$BX$397</definedName>
    <definedName name="PRAA012500col_TOT_VB_PERM_CHG">Data!$CJ$397</definedName>
    <definedName name="PRAA012500col_TOTAL_ELECT_PCN_FTI">Data!$AT$397</definedName>
    <definedName name="PRAA012500col_TOTAL_ELECT_PCN_FTI_ALT">Data!$AV$397</definedName>
    <definedName name="PRAA012500col_TOTAL_PERM_PCN_FTI">Data!$AU$397</definedName>
    <definedName name="PRAA012500col_UNEMP_INS">Data!$BH$397</definedName>
    <definedName name="PRAA012500col_UNEMP_INS_BY">Data!$BT$397</definedName>
    <definedName name="PRAA012500col_UNEMP_INS_CHG">Data!$CF$397</definedName>
    <definedName name="PRAA012500col_WORKERS_COMP">Data!$BJ$397</definedName>
    <definedName name="PRAA012500col_WORKERS_COMP_BY">Data!$BV$397</definedName>
    <definedName name="PRAA012500col_WORKERS_COMP_CHG">Data!$CH$397</definedName>
    <definedName name="PRAA024300col_1_27TH_PP">Data!$BA$400</definedName>
    <definedName name="PRAA024300col_DHR">Data!$BI$400</definedName>
    <definedName name="PRAA024300col_DHR_BY">Data!$BU$400</definedName>
    <definedName name="PRAA024300col_DHR_CHG">Data!$CG$400</definedName>
    <definedName name="PRAA024300col_FTI_SALARY_ELECT">Data!$AZ$400</definedName>
    <definedName name="PRAA024300col_FTI_SALARY_PERM">Data!$AY$400</definedName>
    <definedName name="PRAA024300col_FTI_SALARY_SSDI">Data!$AX$400</definedName>
    <definedName name="PRAA024300col_Group_Ben">Data!$CM$400</definedName>
    <definedName name="PRAA024300col_Group_Salary">Data!$CL$400</definedName>
    <definedName name="PRAA024300col_HEALTH_ELECT">Data!$BC$400</definedName>
    <definedName name="PRAA024300col_HEALTH_ELECT_BY">Data!$BO$400</definedName>
    <definedName name="PRAA024300col_HEALTH_ELECT_CHG">Data!$CA$400</definedName>
    <definedName name="PRAA024300col_HEALTH_PERM">Data!$BB$400</definedName>
    <definedName name="PRAA024300col_HEALTH_PERM_BY">Data!$BN$400</definedName>
    <definedName name="PRAA024300col_HEALTH_PERM_CHG">Data!$BZ$400</definedName>
    <definedName name="PRAA024300col_INC_FTI">Data!$AS$400</definedName>
    <definedName name="PRAA024300col_LIFE_INS">Data!$BG$400</definedName>
    <definedName name="PRAA024300col_LIFE_INS_BY">Data!$BS$400</definedName>
    <definedName name="PRAA024300col_LIFE_INS_CHG">Data!$CE$400</definedName>
    <definedName name="PRAA024300col_RETIREMENT">Data!$BF$400</definedName>
    <definedName name="PRAA024300col_RETIREMENT_BY">Data!$BR$400</definedName>
    <definedName name="PRAA024300col_RETIREMENT_CHG">Data!$CD$400</definedName>
    <definedName name="PRAA024300col_ROWS_PER_PCN">Data!$AW$400</definedName>
    <definedName name="PRAA024300col_SICK">Data!$BK$400</definedName>
    <definedName name="PRAA024300col_SICK_BY">Data!$BW$400</definedName>
    <definedName name="PRAA024300col_SICK_CHG">Data!$CI$400</definedName>
    <definedName name="PRAA024300col_SSDI">Data!$BD$400</definedName>
    <definedName name="PRAA024300col_SSDI_BY">Data!$BP$400</definedName>
    <definedName name="PRAA024300col_SSDI_CHG">Data!$CB$400</definedName>
    <definedName name="PRAA024300col_SSHI">Data!$BE$400</definedName>
    <definedName name="PRAA024300col_SSHI_BY">Data!$BQ$400</definedName>
    <definedName name="PRAA024300col_SSHI_CHGv">Data!$CC$400</definedName>
    <definedName name="PRAA024300col_TOT_VB_ELECT">Data!$BM$400</definedName>
    <definedName name="PRAA024300col_TOT_VB_ELECT_BY">Data!$BY$400</definedName>
    <definedName name="PRAA024300col_TOT_VB_ELECT_CHG">Data!$CK$400</definedName>
    <definedName name="PRAA024300col_TOT_VB_PERM">Data!$BL$400</definedName>
    <definedName name="PRAA024300col_TOT_VB_PERM_BY">Data!$BX$400</definedName>
    <definedName name="PRAA024300col_TOT_VB_PERM_CHG">Data!$CJ$400</definedName>
    <definedName name="PRAA024300col_TOTAL_ELECT_PCN_FTI">Data!$AT$400</definedName>
    <definedName name="PRAA024300col_TOTAL_ELECT_PCN_FTI_ALT">Data!$AV$400</definedName>
    <definedName name="PRAA024300col_TOTAL_PERM_PCN_FTI">Data!$AU$400</definedName>
    <definedName name="PRAA024300col_UNEMP_INS">Data!$BH$400</definedName>
    <definedName name="PRAA024300col_UNEMP_INS_BY">Data!$BT$400</definedName>
    <definedName name="PRAA024300col_UNEMP_INS_CHG">Data!$CF$400</definedName>
    <definedName name="PRAA024300col_WORKERS_COMP">Data!$BJ$400</definedName>
    <definedName name="PRAA024300col_WORKERS_COMP_BY">Data!$BV$400</definedName>
    <definedName name="PRAA024300col_WORKERS_COMP_CHG">Data!$CH$400</definedName>
    <definedName name="PRAA024700col_1_27TH_PP">Data!$BA$403</definedName>
    <definedName name="PRAA024700col_DHR">Data!$BI$403</definedName>
    <definedName name="PRAA024700col_DHR_BY">Data!$BU$403</definedName>
    <definedName name="PRAA024700col_DHR_CHG">Data!$CG$403</definedName>
    <definedName name="PRAA024700col_FTI_SALARY_ELECT">Data!$AZ$403</definedName>
    <definedName name="PRAA024700col_FTI_SALARY_PERM">Data!$AY$403</definedName>
    <definedName name="PRAA024700col_FTI_SALARY_SSDI">Data!$AX$403</definedName>
    <definedName name="PRAA024700col_Group_Ben">Data!$CM$403</definedName>
    <definedName name="PRAA024700col_Group_Salary">Data!$CL$403</definedName>
    <definedName name="PRAA024700col_HEALTH_ELECT">Data!$BC$403</definedName>
    <definedName name="PRAA024700col_HEALTH_ELECT_BY">Data!$BO$403</definedName>
    <definedName name="PRAA024700col_HEALTH_ELECT_CHG">Data!$CA$403</definedName>
    <definedName name="PRAA024700col_HEALTH_PERM">Data!$BB$403</definedName>
    <definedName name="PRAA024700col_HEALTH_PERM_BY">Data!$BN$403</definedName>
    <definedName name="PRAA024700col_HEALTH_PERM_CHG">Data!$BZ$403</definedName>
    <definedName name="PRAA024700col_INC_FTI">Data!$AS$403</definedName>
    <definedName name="PRAA024700col_LIFE_INS">Data!$BG$403</definedName>
    <definedName name="PRAA024700col_LIFE_INS_BY">Data!$BS$403</definedName>
    <definedName name="PRAA024700col_LIFE_INS_CHG">Data!$CE$403</definedName>
    <definedName name="PRAA024700col_RETIREMENT">Data!$BF$403</definedName>
    <definedName name="PRAA024700col_RETIREMENT_BY">Data!$BR$403</definedName>
    <definedName name="PRAA024700col_RETIREMENT_CHG">Data!$CD$403</definedName>
    <definedName name="PRAA024700col_ROWS_PER_PCN">Data!$AW$403</definedName>
    <definedName name="PRAA024700col_SICK">Data!$BK$403</definedName>
    <definedName name="PRAA024700col_SICK_BY">Data!$BW$403</definedName>
    <definedName name="PRAA024700col_SICK_CHG">Data!$CI$403</definedName>
    <definedName name="PRAA024700col_SSDI">Data!$BD$403</definedName>
    <definedName name="PRAA024700col_SSDI_BY">Data!$BP$403</definedName>
    <definedName name="PRAA024700col_SSDI_CHG">Data!$CB$403</definedName>
    <definedName name="PRAA024700col_SSHI">Data!$BE$403</definedName>
    <definedName name="PRAA024700col_SSHI_BY">Data!$BQ$403</definedName>
    <definedName name="PRAA024700col_SSHI_CHGv">Data!$CC$403</definedName>
    <definedName name="PRAA024700col_TOT_VB_ELECT">Data!$BM$403</definedName>
    <definedName name="PRAA024700col_TOT_VB_ELECT_BY">Data!$BY$403</definedName>
    <definedName name="PRAA024700col_TOT_VB_ELECT_CHG">Data!$CK$403</definedName>
    <definedName name="PRAA024700col_TOT_VB_PERM">Data!$BL$403</definedName>
    <definedName name="PRAA024700col_TOT_VB_PERM_BY">Data!$BX$403</definedName>
    <definedName name="PRAA024700col_TOT_VB_PERM_CHG">Data!$CJ$403</definedName>
    <definedName name="PRAA024700col_TOTAL_ELECT_PCN_FTI">Data!$AT$403</definedName>
    <definedName name="PRAA024700col_TOTAL_ELECT_PCN_FTI_ALT">Data!$AV$403</definedName>
    <definedName name="PRAA024700col_TOTAL_PERM_PCN_FTI">Data!$AU$403</definedName>
    <definedName name="PRAA024700col_UNEMP_INS">Data!$BH$403</definedName>
    <definedName name="PRAA024700col_UNEMP_INS_BY">Data!$BT$403</definedName>
    <definedName name="PRAA024700col_UNEMP_INS_CHG">Data!$CF$403</definedName>
    <definedName name="PRAA024700col_WORKERS_COMP">Data!$BJ$403</definedName>
    <definedName name="PRAA024700col_WORKERS_COMP_BY">Data!$BV$403</definedName>
    <definedName name="PRAA024700col_WORKERS_COMP_CHG">Data!$CH$403</definedName>
    <definedName name="PRAB025000col_1_27TH_PP">Data!$BA$406</definedName>
    <definedName name="PRAB025000col_DHR">Data!$BI$406</definedName>
    <definedName name="PRAB025000col_DHR_BY">Data!$BU$406</definedName>
    <definedName name="PRAB025000col_DHR_CHG">Data!$CG$406</definedName>
    <definedName name="PRAB025000col_FTI_SALARY_ELECT">Data!$AZ$406</definedName>
    <definedName name="PRAB025000col_FTI_SALARY_PERM">Data!$AY$406</definedName>
    <definedName name="PRAB025000col_FTI_SALARY_SSDI">Data!$AX$406</definedName>
    <definedName name="PRAB025000col_Group_Ben">Data!$CM$406</definedName>
    <definedName name="PRAB025000col_Group_Salary">Data!$CL$406</definedName>
    <definedName name="PRAB025000col_HEALTH_ELECT">Data!$BC$406</definedName>
    <definedName name="PRAB025000col_HEALTH_ELECT_BY">Data!$BO$406</definedName>
    <definedName name="PRAB025000col_HEALTH_ELECT_CHG">Data!$CA$406</definedName>
    <definedName name="PRAB025000col_HEALTH_PERM">Data!$BB$406</definedName>
    <definedName name="PRAB025000col_HEALTH_PERM_BY">Data!$BN$406</definedName>
    <definedName name="PRAB025000col_HEALTH_PERM_CHG">Data!$BZ$406</definedName>
    <definedName name="PRAB025000col_INC_FTI">Data!$AS$406</definedName>
    <definedName name="PRAB025000col_LIFE_INS">Data!$BG$406</definedName>
    <definedName name="PRAB025000col_LIFE_INS_BY">Data!$BS$406</definedName>
    <definedName name="PRAB025000col_LIFE_INS_CHG">Data!$CE$406</definedName>
    <definedName name="PRAB025000col_RETIREMENT">Data!$BF$406</definedName>
    <definedName name="PRAB025000col_RETIREMENT_BY">Data!$BR$406</definedName>
    <definedName name="PRAB025000col_RETIREMENT_CHG">Data!$CD$406</definedName>
    <definedName name="PRAB025000col_ROWS_PER_PCN">Data!$AW$406</definedName>
    <definedName name="PRAB025000col_SICK">Data!$BK$406</definedName>
    <definedName name="PRAB025000col_SICK_BY">Data!$BW$406</definedName>
    <definedName name="PRAB025000col_SICK_CHG">Data!$CI$406</definedName>
    <definedName name="PRAB025000col_SSDI">Data!$BD$406</definedName>
    <definedName name="PRAB025000col_SSDI_BY">Data!$BP$406</definedName>
    <definedName name="PRAB025000col_SSDI_CHG">Data!$CB$406</definedName>
    <definedName name="PRAB025000col_SSHI">Data!$BE$406</definedName>
    <definedName name="PRAB025000col_SSHI_BY">Data!$BQ$406</definedName>
    <definedName name="PRAB025000col_SSHI_CHGv">Data!$CC$406</definedName>
    <definedName name="PRAB025000col_TOT_VB_ELECT">Data!$BM$406</definedName>
    <definedName name="PRAB025000col_TOT_VB_ELECT_BY">Data!$BY$406</definedName>
    <definedName name="PRAB025000col_TOT_VB_ELECT_CHG">Data!$CK$406</definedName>
    <definedName name="PRAB025000col_TOT_VB_PERM">Data!$BL$406</definedName>
    <definedName name="PRAB025000col_TOT_VB_PERM_BY">Data!$BX$406</definedName>
    <definedName name="PRAB025000col_TOT_VB_PERM_CHG">Data!$CJ$406</definedName>
    <definedName name="PRAB025000col_TOTAL_ELECT_PCN_FTI">Data!$AT$406</definedName>
    <definedName name="PRAB025000col_TOTAL_ELECT_PCN_FTI_ALT">Data!$AV$406</definedName>
    <definedName name="PRAB025000col_TOTAL_PERM_PCN_FTI">Data!$AU$406</definedName>
    <definedName name="PRAB025000col_UNEMP_INS">Data!$BH$406</definedName>
    <definedName name="PRAB025000col_UNEMP_INS_BY">Data!$BT$406</definedName>
    <definedName name="PRAB025000col_UNEMP_INS_CHG">Data!$CF$406</definedName>
    <definedName name="PRAB025000col_WORKERS_COMP">Data!$BJ$406</definedName>
    <definedName name="PRAB025000col_WORKERS_COMP_BY">Data!$BV$406</definedName>
    <definedName name="PRAB025000col_WORKERS_COMP_CHG">Data!$CH$406</definedName>
    <definedName name="PRBA000100col_1_27TH_PP">Data!$BA$408</definedName>
    <definedName name="PRBA000100col_DHR">Data!$BI$408</definedName>
    <definedName name="PRBA000100col_DHR_BY">Data!$BU$408</definedName>
    <definedName name="PRBA000100col_DHR_CHG">Data!$CG$408</definedName>
    <definedName name="PRBA000100col_FTI_SALARY_ELECT">Data!$AZ$408</definedName>
    <definedName name="PRBA000100col_FTI_SALARY_PERM">Data!$AY$408</definedName>
    <definedName name="PRBA000100col_FTI_SALARY_SSDI">Data!$AX$408</definedName>
    <definedName name="PRBA000100col_Group_Ben">Data!$CM$408</definedName>
    <definedName name="PRBA000100col_Group_Salary">Data!$CL$408</definedName>
    <definedName name="PRBA000100col_HEALTH_ELECT">Data!$BC$408</definedName>
    <definedName name="PRBA000100col_HEALTH_ELECT_BY">Data!$BO$408</definedName>
    <definedName name="PRBA000100col_HEALTH_ELECT_CHG">Data!$CA$408</definedName>
    <definedName name="PRBA000100col_HEALTH_PERM">Data!$BB$408</definedName>
    <definedName name="PRBA000100col_HEALTH_PERM_BY">Data!$BN$408</definedName>
    <definedName name="PRBA000100col_HEALTH_PERM_CHG">Data!$BZ$408</definedName>
    <definedName name="PRBA000100col_INC_FTI">Data!$AS$408</definedName>
    <definedName name="PRBA000100col_LIFE_INS">Data!$BG$408</definedName>
    <definedName name="PRBA000100col_LIFE_INS_BY">Data!$BS$408</definedName>
    <definedName name="PRBA000100col_LIFE_INS_CHG">Data!$CE$408</definedName>
    <definedName name="PRBA000100col_RETIREMENT">Data!$BF$408</definedName>
    <definedName name="PRBA000100col_RETIREMENT_BY">Data!$BR$408</definedName>
    <definedName name="PRBA000100col_RETIREMENT_CHG">Data!$CD$408</definedName>
    <definedName name="PRBA000100col_ROWS_PER_PCN">Data!$AW$408</definedName>
    <definedName name="PRBA000100col_SICK">Data!$BK$408</definedName>
    <definedName name="PRBA000100col_SICK_BY">Data!$BW$408</definedName>
    <definedName name="PRBA000100col_SICK_CHG">Data!$CI$408</definedName>
    <definedName name="PRBA000100col_SSDI">Data!$BD$408</definedName>
    <definedName name="PRBA000100col_SSDI_BY">Data!$BP$408</definedName>
    <definedName name="PRBA000100col_SSDI_CHG">Data!$CB$408</definedName>
    <definedName name="PRBA000100col_SSHI">Data!$BE$408</definedName>
    <definedName name="PRBA000100col_SSHI_BY">Data!$BQ$408</definedName>
    <definedName name="PRBA000100col_SSHI_CHGv">Data!$CC$408</definedName>
    <definedName name="PRBA000100col_TOT_VB_ELECT">Data!$BM$408</definedName>
    <definedName name="PRBA000100col_TOT_VB_ELECT_BY">Data!$BY$408</definedName>
    <definedName name="PRBA000100col_TOT_VB_ELECT_CHG">Data!$CK$408</definedName>
    <definedName name="PRBA000100col_TOT_VB_PERM">Data!$BL$408</definedName>
    <definedName name="PRBA000100col_TOT_VB_PERM_BY">Data!$BX$408</definedName>
    <definedName name="PRBA000100col_TOT_VB_PERM_CHG">Data!$CJ$408</definedName>
    <definedName name="PRBA000100col_TOTAL_ELECT_PCN_FTI">Data!$AT$408</definedName>
    <definedName name="PRBA000100col_TOTAL_ELECT_PCN_FTI_ALT">Data!$AV$408</definedName>
    <definedName name="PRBA000100col_TOTAL_PERM_PCN_FTI">Data!$AU$408</definedName>
    <definedName name="PRBA000100col_UNEMP_INS">Data!$BH$408</definedName>
    <definedName name="PRBA000100col_UNEMP_INS_BY">Data!$BT$408</definedName>
    <definedName name="PRBA000100col_UNEMP_INS_CHG">Data!$CF$408</definedName>
    <definedName name="PRBA000100col_WORKERS_COMP">Data!$BJ$408</definedName>
    <definedName name="PRBA000100col_WORKERS_COMP_BY">Data!$BV$408</definedName>
    <definedName name="PRBA000100col_WORKERS_COMP_CHG">Data!$CH$408</definedName>
    <definedName name="PRBA024300col_1_27TH_PP">Data!$BA$410</definedName>
    <definedName name="PRBA024300col_DHR">Data!$BI$410</definedName>
    <definedName name="PRBA024300col_DHR_BY">Data!$BU$410</definedName>
    <definedName name="PRBA024300col_DHR_CHG">Data!$CG$410</definedName>
    <definedName name="PRBA024300col_FTI_SALARY_ELECT">Data!$AZ$410</definedName>
    <definedName name="PRBA024300col_FTI_SALARY_PERM">Data!$AY$410</definedName>
    <definedName name="PRBA024300col_FTI_SALARY_SSDI">Data!$AX$410</definedName>
    <definedName name="PRBA024300col_Group_Ben">Data!$CM$410</definedName>
    <definedName name="PRBA024300col_Group_Salary">Data!$CL$410</definedName>
    <definedName name="PRBA024300col_HEALTH_ELECT">Data!$BC$410</definedName>
    <definedName name="PRBA024300col_HEALTH_ELECT_BY">Data!$BO$410</definedName>
    <definedName name="PRBA024300col_HEALTH_ELECT_CHG">Data!$CA$410</definedName>
    <definedName name="PRBA024300col_HEALTH_PERM">Data!$BB$410</definedName>
    <definedName name="PRBA024300col_HEALTH_PERM_BY">Data!$BN$410</definedName>
    <definedName name="PRBA024300col_HEALTH_PERM_CHG">Data!$BZ$410</definedName>
    <definedName name="PRBA024300col_INC_FTI">Data!$AS$410</definedName>
    <definedName name="PRBA024300col_LIFE_INS">Data!$BG$410</definedName>
    <definedName name="PRBA024300col_LIFE_INS_BY">Data!$BS$410</definedName>
    <definedName name="PRBA024300col_LIFE_INS_CHG">Data!$CE$410</definedName>
    <definedName name="PRBA024300col_RETIREMENT">Data!$BF$410</definedName>
    <definedName name="PRBA024300col_RETIREMENT_BY">Data!$BR$410</definedName>
    <definedName name="PRBA024300col_RETIREMENT_CHG">Data!$CD$410</definedName>
    <definedName name="PRBA024300col_ROWS_PER_PCN">Data!$AW$410</definedName>
    <definedName name="PRBA024300col_SICK">Data!$BK$410</definedName>
    <definedName name="PRBA024300col_SICK_BY">Data!$BW$410</definedName>
    <definedName name="PRBA024300col_SICK_CHG">Data!$CI$410</definedName>
    <definedName name="PRBA024300col_SSDI">Data!$BD$410</definedName>
    <definedName name="PRBA024300col_SSDI_BY">Data!$BP$410</definedName>
    <definedName name="PRBA024300col_SSDI_CHG">Data!$CB$410</definedName>
    <definedName name="PRBA024300col_SSHI">Data!$BE$410</definedName>
    <definedName name="PRBA024300col_SSHI_BY">Data!$BQ$410</definedName>
    <definedName name="PRBA024300col_SSHI_CHGv">Data!$CC$410</definedName>
    <definedName name="PRBA024300col_TOT_VB_ELECT">Data!$BM$410</definedName>
    <definedName name="PRBA024300col_TOT_VB_ELECT_BY">Data!$BY$410</definedName>
    <definedName name="PRBA024300col_TOT_VB_ELECT_CHG">Data!$CK$410</definedName>
    <definedName name="PRBA024300col_TOT_VB_PERM">Data!$BL$410</definedName>
    <definedName name="PRBA024300col_TOT_VB_PERM_BY">Data!$BX$410</definedName>
    <definedName name="PRBA024300col_TOT_VB_PERM_CHG">Data!$CJ$410</definedName>
    <definedName name="PRBA024300col_TOTAL_ELECT_PCN_FTI">Data!$AT$410</definedName>
    <definedName name="PRBA024300col_TOTAL_ELECT_PCN_FTI_ALT">Data!$AV$410</definedName>
    <definedName name="PRBA024300col_TOTAL_PERM_PCN_FTI">Data!$AU$410</definedName>
    <definedName name="PRBA024300col_UNEMP_INS">Data!$BH$410</definedName>
    <definedName name="PRBA024300col_UNEMP_INS_BY">Data!$BT$410</definedName>
    <definedName name="PRBA024300col_UNEMP_INS_CHG">Data!$CF$410</definedName>
    <definedName name="PRBA024300col_WORKERS_COMP">Data!$BJ$410</definedName>
    <definedName name="PRBA024300col_WORKERS_COMP_BY">Data!$BV$410</definedName>
    <definedName name="PRBA024300col_WORKERS_COMP_CHG">Data!$CH$410</definedName>
    <definedName name="PRBA024700col_1_27TH_PP">Data!$BA$413</definedName>
    <definedName name="PRBA024700col_DHR">Data!$BI$413</definedName>
    <definedName name="PRBA024700col_DHR_BY">Data!$BU$413</definedName>
    <definedName name="PRBA024700col_DHR_CHG">Data!$CG$413</definedName>
    <definedName name="PRBA024700col_FTI_SALARY_ELECT">Data!$AZ$413</definedName>
    <definedName name="PRBA024700col_FTI_SALARY_PERM">Data!$AY$413</definedName>
    <definedName name="PRBA024700col_FTI_SALARY_SSDI">Data!$AX$413</definedName>
    <definedName name="PRBA024700col_Group_Ben">Data!$CM$413</definedName>
    <definedName name="PRBA024700col_Group_Salary">Data!$CL$413</definedName>
    <definedName name="PRBA024700col_HEALTH_ELECT">Data!$BC$413</definedName>
    <definedName name="PRBA024700col_HEALTH_ELECT_BY">Data!$BO$413</definedName>
    <definedName name="PRBA024700col_HEALTH_ELECT_CHG">Data!$CA$413</definedName>
    <definedName name="PRBA024700col_HEALTH_PERM">Data!$BB$413</definedName>
    <definedName name="PRBA024700col_HEALTH_PERM_BY">Data!$BN$413</definedName>
    <definedName name="PRBA024700col_HEALTH_PERM_CHG">Data!$BZ$413</definedName>
    <definedName name="PRBA024700col_INC_FTI">Data!$AS$413</definedName>
    <definedName name="PRBA024700col_LIFE_INS">Data!$BG$413</definedName>
    <definedName name="PRBA024700col_LIFE_INS_BY">Data!$BS$413</definedName>
    <definedName name="PRBA024700col_LIFE_INS_CHG">Data!$CE$413</definedName>
    <definedName name="PRBA024700col_RETIREMENT">Data!$BF$413</definedName>
    <definedName name="PRBA024700col_RETIREMENT_BY">Data!$BR$413</definedName>
    <definedName name="PRBA024700col_RETIREMENT_CHG">Data!$CD$413</definedName>
    <definedName name="PRBA024700col_ROWS_PER_PCN">Data!$AW$413</definedName>
    <definedName name="PRBA024700col_SICK">Data!$BK$413</definedName>
    <definedName name="PRBA024700col_SICK_BY">Data!$BW$413</definedName>
    <definedName name="PRBA024700col_SICK_CHG">Data!$CI$413</definedName>
    <definedName name="PRBA024700col_SSDI">Data!$BD$413</definedName>
    <definedName name="PRBA024700col_SSDI_BY">Data!$BP$413</definedName>
    <definedName name="PRBA024700col_SSDI_CHG">Data!$CB$413</definedName>
    <definedName name="PRBA024700col_SSHI">Data!$BE$413</definedName>
    <definedName name="PRBA024700col_SSHI_BY">Data!$BQ$413</definedName>
    <definedName name="PRBA024700col_SSHI_CHGv">Data!$CC$413</definedName>
    <definedName name="PRBA024700col_TOT_VB_ELECT">Data!$BM$413</definedName>
    <definedName name="PRBA024700col_TOT_VB_ELECT_BY">Data!$BY$413</definedName>
    <definedName name="PRBA024700col_TOT_VB_ELECT_CHG">Data!$CK$413</definedName>
    <definedName name="PRBA024700col_TOT_VB_PERM">Data!$BL$413</definedName>
    <definedName name="PRBA024700col_TOT_VB_PERM_BY">Data!$BX$413</definedName>
    <definedName name="PRBA024700col_TOT_VB_PERM_CHG">Data!$CJ$413</definedName>
    <definedName name="PRBA024700col_TOTAL_ELECT_PCN_FTI">Data!$AT$413</definedName>
    <definedName name="PRBA024700col_TOTAL_ELECT_PCN_FTI_ALT">Data!$AV$413</definedName>
    <definedName name="PRBA024700col_TOTAL_PERM_PCN_FTI">Data!$AU$413</definedName>
    <definedName name="PRBA024700col_UNEMP_INS">Data!$BH$413</definedName>
    <definedName name="PRBA024700col_UNEMP_INS_BY">Data!$BT$413</definedName>
    <definedName name="PRBA024700col_UNEMP_INS_CHG">Data!$CF$413</definedName>
    <definedName name="PRBA024700col_WORKERS_COMP">Data!$BJ$413</definedName>
    <definedName name="PRBA024700col_WORKERS_COMP_BY">Data!$BV$413</definedName>
    <definedName name="PRBA024700col_WORKERS_COMP_CHG">Data!$CH$413</definedName>
    <definedName name="PRBA034900col_1_27TH_PP">Data!$BA$415</definedName>
    <definedName name="PRBA034900col_DHR">Data!$BI$415</definedName>
    <definedName name="PRBA034900col_DHR_BY">Data!$BU$415</definedName>
    <definedName name="PRBA034900col_DHR_CHG">Data!$CG$415</definedName>
    <definedName name="PRBA034900col_FTI_SALARY_ELECT">Data!$AZ$415</definedName>
    <definedName name="PRBA034900col_FTI_SALARY_PERM">Data!$AY$415</definedName>
    <definedName name="PRBA034900col_FTI_SALARY_SSDI">Data!$AX$415</definedName>
    <definedName name="PRBA034900col_Group_Ben">Data!$CM$415</definedName>
    <definedName name="PRBA034900col_Group_Salary">Data!$CL$415</definedName>
    <definedName name="PRBA034900col_HEALTH_ELECT">Data!$BC$415</definedName>
    <definedName name="PRBA034900col_HEALTH_ELECT_BY">Data!$BO$415</definedName>
    <definedName name="PRBA034900col_HEALTH_ELECT_CHG">Data!$CA$415</definedName>
    <definedName name="PRBA034900col_HEALTH_PERM">Data!$BB$415</definedName>
    <definedName name="PRBA034900col_HEALTH_PERM_BY">Data!$BN$415</definedName>
    <definedName name="PRBA034900col_HEALTH_PERM_CHG">Data!$BZ$415</definedName>
    <definedName name="PRBA034900col_INC_FTI">Data!$AS$415</definedName>
    <definedName name="PRBA034900col_LIFE_INS">Data!$BG$415</definedName>
    <definedName name="PRBA034900col_LIFE_INS_BY">Data!$BS$415</definedName>
    <definedName name="PRBA034900col_LIFE_INS_CHG">Data!$CE$415</definedName>
    <definedName name="PRBA034900col_RETIREMENT">Data!$BF$415</definedName>
    <definedName name="PRBA034900col_RETIREMENT_BY">Data!$BR$415</definedName>
    <definedName name="PRBA034900col_RETIREMENT_CHG">Data!$CD$415</definedName>
    <definedName name="PRBA034900col_ROWS_PER_PCN">Data!$AW$415</definedName>
    <definedName name="PRBA034900col_SICK">Data!$BK$415</definedName>
    <definedName name="PRBA034900col_SICK_BY">Data!$BW$415</definedName>
    <definedName name="PRBA034900col_SICK_CHG">Data!$CI$415</definedName>
    <definedName name="PRBA034900col_SSDI">Data!$BD$415</definedName>
    <definedName name="PRBA034900col_SSDI_BY">Data!$BP$415</definedName>
    <definedName name="PRBA034900col_SSDI_CHG">Data!$CB$415</definedName>
    <definedName name="PRBA034900col_SSHI">Data!$BE$415</definedName>
    <definedName name="PRBA034900col_SSHI_BY">Data!$BQ$415</definedName>
    <definedName name="PRBA034900col_SSHI_CHGv">Data!$CC$415</definedName>
    <definedName name="PRBA034900col_TOT_VB_ELECT">Data!$BM$415</definedName>
    <definedName name="PRBA034900col_TOT_VB_ELECT_BY">Data!$BY$415</definedName>
    <definedName name="PRBA034900col_TOT_VB_ELECT_CHG">Data!$CK$415</definedName>
    <definedName name="PRBA034900col_TOT_VB_PERM">Data!$BL$415</definedName>
    <definedName name="PRBA034900col_TOT_VB_PERM_BY">Data!$BX$415</definedName>
    <definedName name="PRBA034900col_TOT_VB_PERM_CHG">Data!$CJ$415</definedName>
    <definedName name="PRBA034900col_TOTAL_ELECT_PCN_FTI">Data!$AT$415</definedName>
    <definedName name="PRBA034900col_TOTAL_ELECT_PCN_FTI_ALT">Data!$AV$415</definedName>
    <definedName name="PRBA034900col_TOTAL_PERM_PCN_FTI">Data!$AU$415</definedName>
    <definedName name="PRBA034900col_UNEMP_INS">Data!$BH$415</definedName>
    <definedName name="PRBA034900col_UNEMP_INS_BY">Data!$BT$415</definedName>
    <definedName name="PRBA034900col_UNEMP_INS_CHG">Data!$CF$415</definedName>
    <definedName name="PRBA034900col_WORKERS_COMP">Data!$BJ$415</definedName>
    <definedName name="PRBA034900col_WORKERS_COMP_BY">Data!$BV$415</definedName>
    <definedName name="PRBA034900col_WORKERS_COMP_CHG">Data!$CH$415</definedName>
    <definedName name="PRBA049600col_1_27TH_PP">Data!$BA$420</definedName>
    <definedName name="PRBA049600col_DHR">Data!$BI$420</definedName>
    <definedName name="PRBA049600col_DHR_BY">Data!$BU$420</definedName>
    <definedName name="PRBA049600col_DHR_CHG">Data!$CG$420</definedName>
    <definedName name="PRBA049600col_FTI_SALARY_ELECT">Data!$AZ$420</definedName>
    <definedName name="PRBA049600col_FTI_SALARY_PERM">Data!$AY$420</definedName>
    <definedName name="PRBA049600col_FTI_SALARY_SSDI">Data!$AX$420</definedName>
    <definedName name="PRBA049600col_Group_Ben">Data!$CM$420</definedName>
    <definedName name="PRBA049600col_Group_Salary">Data!$CL$420</definedName>
    <definedName name="PRBA049600col_HEALTH_ELECT">Data!$BC$420</definedName>
    <definedName name="PRBA049600col_HEALTH_ELECT_BY">Data!$BO$420</definedName>
    <definedName name="PRBA049600col_HEALTH_ELECT_CHG">Data!$CA$420</definedName>
    <definedName name="PRBA049600col_HEALTH_PERM">Data!$BB$420</definedName>
    <definedName name="PRBA049600col_HEALTH_PERM_BY">Data!$BN$420</definedName>
    <definedName name="PRBA049600col_HEALTH_PERM_CHG">Data!$BZ$420</definedName>
    <definedName name="PRBA049600col_INC_FTI">Data!$AS$420</definedName>
    <definedName name="PRBA049600col_LIFE_INS">Data!$BG$420</definedName>
    <definedName name="PRBA049600col_LIFE_INS_BY">Data!$BS$420</definedName>
    <definedName name="PRBA049600col_LIFE_INS_CHG">Data!$CE$420</definedName>
    <definedName name="PRBA049600col_RETIREMENT">Data!$BF$420</definedName>
    <definedName name="PRBA049600col_RETIREMENT_BY">Data!$BR$420</definedName>
    <definedName name="PRBA049600col_RETIREMENT_CHG">Data!$CD$420</definedName>
    <definedName name="PRBA049600col_ROWS_PER_PCN">Data!$AW$420</definedName>
    <definedName name="PRBA049600col_SICK">Data!$BK$420</definedName>
    <definedName name="PRBA049600col_SICK_BY">Data!$BW$420</definedName>
    <definedName name="PRBA049600col_SICK_CHG">Data!$CI$420</definedName>
    <definedName name="PRBA049600col_SSDI">Data!$BD$420</definedName>
    <definedName name="PRBA049600col_SSDI_BY">Data!$BP$420</definedName>
    <definedName name="PRBA049600col_SSDI_CHG">Data!$CB$420</definedName>
    <definedName name="PRBA049600col_SSHI">Data!$BE$420</definedName>
    <definedName name="PRBA049600col_SSHI_BY">Data!$BQ$420</definedName>
    <definedName name="PRBA049600col_SSHI_CHGv">Data!$CC$420</definedName>
    <definedName name="PRBA049600col_TOT_VB_ELECT">Data!$BM$420</definedName>
    <definedName name="PRBA049600col_TOT_VB_ELECT_BY">Data!$BY$420</definedName>
    <definedName name="PRBA049600col_TOT_VB_ELECT_CHG">Data!$CK$420</definedName>
    <definedName name="PRBA049600col_TOT_VB_PERM">Data!$BL$420</definedName>
    <definedName name="PRBA049600col_TOT_VB_PERM_BY">Data!$BX$420</definedName>
    <definedName name="PRBA049600col_TOT_VB_PERM_CHG">Data!$CJ$420</definedName>
    <definedName name="PRBA049600col_TOTAL_ELECT_PCN_FTI">Data!$AT$420</definedName>
    <definedName name="PRBA049600col_TOTAL_ELECT_PCN_FTI_ALT">Data!$AV$420</definedName>
    <definedName name="PRBA049600col_TOTAL_PERM_PCN_FTI">Data!$AU$420</definedName>
    <definedName name="PRBA049600col_UNEMP_INS">Data!$BH$420</definedName>
    <definedName name="PRBA049600col_UNEMP_INS_BY">Data!$BT$420</definedName>
    <definedName name="PRBA049600col_UNEMP_INS_CHG">Data!$CF$420</definedName>
    <definedName name="PRBA049600col_WORKERS_COMP">Data!$BJ$420</definedName>
    <definedName name="PRBA049600col_WORKERS_COMP_BY">Data!$BV$420</definedName>
    <definedName name="PRBA049600col_WORKERS_COMP_CHG">Data!$CH$420</definedName>
    <definedName name="PRBB025000col_1_27TH_PP">Data!$BA$426</definedName>
    <definedName name="PRBB025000col_DHR">Data!$BI$426</definedName>
    <definedName name="PRBB025000col_DHR_BY">Data!$BU$426</definedName>
    <definedName name="PRBB025000col_DHR_CHG">Data!$CG$426</definedName>
    <definedName name="PRBB025000col_FTI_SALARY_ELECT">Data!$AZ$426</definedName>
    <definedName name="PRBB025000col_FTI_SALARY_PERM">Data!$AY$426</definedName>
    <definedName name="PRBB025000col_FTI_SALARY_SSDI">Data!$AX$426</definedName>
    <definedName name="PRBB025000col_Group_Ben">Data!$CM$426</definedName>
    <definedName name="PRBB025000col_Group_Salary">Data!$CL$426</definedName>
    <definedName name="PRBB025000col_HEALTH_ELECT">Data!$BC$426</definedName>
    <definedName name="PRBB025000col_HEALTH_ELECT_BY">Data!$BO$426</definedName>
    <definedName name="PRBB025000col_HEALTH_ELECT_CHG">Data!$CA$426</definedName>
    <definedName name="PRBB025000col_HEALTH_PERM">Data!$BB$426</definedName>
    <definedName name="PRBB025000col_HEALTH_PERM_BY">Data!$BN$426</definedName>
    <definedName name="PRBB025000col_HEALTH_PERM_CHG">Data!$BZ$426</definedName>
    <definedName name="PRBB025000col_INC_FTI">Data!$AS$426</definedName>
    <definedName name="PRBB025000col_LIFE_INS">Data!$BG$426</definedName>
    <definedName name="PRBB025000col_LIFE_INS_BY">Data!$BS$426</definedName>
    <definedName name="PRBB025000col_LIFE_INS_CHG">Data!$CE$426</definedName>
    <definedName name="PRBB025000col_RETIREMENT">Data!$BF$426</definedName>
    <definedName name="PRBB025000col_RETIREMENT_BY">Data!$BR$426</definedName>
    <definedName name="PRBB025000col_RETIREMENT_CHG">Data!$CD$426</definedName>
    <definedName name="PRBB025000col_ROWS_PER_PCN">Data!$AW$426</definedName>
    <definedName name="PRBB025000col_SICK">Data!$BK$426</definedName>
    <definedName name="PRBB025000col_SICK_BY">Data!$BW$426</definedName>
    <definedName name="PRBB025000col_SICK_CHG">Data!$CI$426</definedName>
    <definedName name="PRBB025000col_SSDI">Data!$BD$426</definedName>
    <definedName name="PRBB025000col_SSDI_BY">Data!$BP$426</definedName>
    <definedName name="PRBB025000col_SSDI_CHG">Data!$CB$426</definedName>
    <definedName name="PRBB025000col_SSHI">Data!$BE$426</definedName>
    <definedName name="PRBB025000col_SSHI_BY">Data!$BQ$426</definedName>
    <definedName name="PRBB025000col_SSHI_CHGv">Data!$CC$426</definedName>
    <definedName name="PRBB025000col_TOT_VB_ELECT">Data!$BM$426</definedName>
    <definedName name="PRBB025000col_TOT_VB_ELECT_BY">Data!$BY$426</definedName>
    <definedName name="PRBB025000col_TOT_VB_ELECT_CHG">Data!$CK$426</definedName>
    <definedName name="PRBB025000col_TOT_VB_PERM">Data!$BL$426</definedName>
    <definedName name="PRBB025000col_TOT_VB_PERM_BY">Data!$BX$426</definedName>
    <definedName name="PRBB025000col_TOT_VB_PERM_CHG">Data!$CJ$426</definedName>
    <definedName name="PRBB025000col_TOTAL_ELECT_PCN_FTI">Data!$AT$426</definedName>
    <definedName name="PRBB025000col_TOTAL_ELECT_PCN_FTI_ALT">Data!$AV$426</definedName>
    <definedName name="PRBB025000col_TOTAL_PERM_PCN_FTI">Data!$AU$426</definedName>
    <definedName name="PRBB025000col_UNEMP_INS">Data!$BH$426</definedName>
    <definedName name="PRBB025000col_UNEMP_INS_BY">Data!$BT$426</definedName>
    <definedName name="PRBB025000col_UNEMP_INS_CHG">Data!$CF$426</definedName>
    <definedName name="PRBB025000col_WORKERS_COMP">Data!$BJ$426</definedName>
    <definedName name="PRBB025000col_WORKERS_COMP_BY">Data!$BV$426</definedName>
    <definedName name="PRBB025000col_WORKERS_COMP_CHG">Data!$CH$426</definedName>
    <definedName name="PRBB034800col_1_27TH_PP">Data!$BA$428</definedName>
    <definedName name="PRBB034800col_DHR">Data!$BI$428</definedName>
    <definedName name="PRBB034800col_DHR_BY">Data!$BU$428</definedName>
    <definedName name="PRBB034800col_DHR_CHG">Data!$CG$428</definedName>
    <definedName name="PRBB034800col_FTI_SALARY_ELECT">Data!$AZ$428</definedName>
    <definedName name="PRBB034800col_FTI_SALARY_PERM">Data!$AY$428</definedName>
    <definedName name="PRBB034800col_FTI_SALARY_SSDI">Data!$AX$428</definedName>
    <definedName name="PRBB034800col_Group_Ben">Data!$CM$428</definedName>
    <definedName name="PRBB034800col_Group_Salary">Data!$CL$428</definedName>
    <definedName name="PRBB034800col_HEALTH_ELECT">Data!$BC$428</definedName>
    <definedName name="PRBB034800col_HEALTH_ELECT_BY">Data!$BO$428</definedName>
    <definedName name="PRBB034800col_HEALTH_ELECT_CHG">Data!$CA$428</definedName>
    <definedName name="PRBB034800col_HEALTH_PERM">Data!$BB$428</definedName>
    <definedName name="PRBB034800col_HEALTH_PERM_BY">Data!$BN$428</definedName>
    <definedName name="PRBB034800col_HEALTH_PERM_CHG">Data!$BZ$428</definedName>
    <definedName name="PRBB034800col_INC_FTI">Data!$AS$428</definedName>
    <definedName name="PRBB034800col_LIFE_INS">Data!$BG$428</definedName>
    <definedName name="PRBB034800col_LIFE_INS_BY">Data!$BS$428</definedName>
    <definedName name="PRBB034800col_LIFE_INS_CHG">Data!$CE$428</definedName>
    <definedName name="PRBB034800col_RETIREMENT">Data!$BF$428</definedName>
    <definedName name="PRBB034800col_RETIREMENT_BY">Data!$BR$428</definedName>
    <definedName name="PRBB034800col_RETIREMENT_CHG">Data!$CD$428</definedName>
    <definedName name="PRBB034800col_ROWS_PER_PCN">Data!$AW$428</definedName>
    <definedName name="PRBB034800col_SICK">Data!$BK$428</definedName>
    <definedName name="PRBB034800col_SICK_BY">Data!$BW$428</definedName>
    <definedName name="PRBB034800col_SICK_CHG">Data!$CI$428</definedName>
    <definedName name="PRBB034800col_SSDI">Data!$BD$428</definedName>
    <definedName name="PRBB034800col_SSDI_BY">Data!$BP$428</definedName>
    <definedName name="PRBB034800col_SSDI_CHG">Data!$CB$428</definedName>
    <definedName name="PRBB034800col_SSHI">Data!$BE$428</definedName>
    <definedName name="PRBB034800col_SSHI_BY">Data!$BQ$428</definedName>
    <definedName name="PRBB034800col_SSHI_CHGv">Data!$CC$428</definedName>
    <definedName name="PRBB034800col_TOT_VB_ELECT">Data!$BM$428</definedName>
    <definedName name="PRBB034800col_TOT_VB_ELECT_BY">Data!$BY$428</definedName>
    <definedName name="PRBB034800col_TOT_VB_ELECT_CHG">Data!$CK$428</definedName>
    <definedName name="PRBB034800col_TOT_VB_PERM">Data!$BL$428</definedName>
    <definedName name="PRBB034800col_TOT_VB_PERM_BY">Data!$BX$428</definedName>
    <definedName name="PRBB034800col_TOT_VB_PERM_CHG">Data!$CJ$428</definedName>
    <definedName name="PRBB034800col_TOTAL_ELECT_PCN_FTI">Data!$AT$428</definedName>
    <definedName name="PRBB034800col_TOTAL_ELECT_PCN_FTI_ALT">Data!$AV$428</definedName>
    <definedName name="PRBB034800col_TOTAL_PERM_PCN_FTI">Data!$AU$428</definedName>
    <definedName name="PRBB034800col_UNEMP_INS">Data!$BH$428</definedName>
    <definedName name="PRBB034800col_UNEMP_INS_BY">Data!$BT$428</definedName>
    <definedName name="PRBB034800col_UNEMP_INS_CHG">Data!$CF$428</definedName>
    <definedName name="PRBB034800col_WORKERS_COMP">Data!$BJ$428</definedName>
    <definedName name="PRBB034800col_WORKERS_COMP_BY">Data!$BV$428</definedName>
    <definedName name="PRBB034800col_WORKERS_COMP_CHG">Data!$CH$428</definedName>
    <definedName name="PRBD041001col_1_27TH_PP">Data!$BA$430</definedName>
    <definedName name="PRBD041001col_DHR">Data!$BI$430</definedName>
    <definedName name="PRBD041001col_DHR_BY">Data!$BU$430</definedName>
    <definedName name="PRBD041001col_DHR_CHG">Data!$CG$430</definedName>
    <definedName name="PRBD041001col_FTI_SALARY_ELECT">Data!$AZ$430</definedName>
    <definedName name="PRBD041001col_FTI_SALARY_PERM">Data!$AY$430</definedName>
    <definedName name="PRBD041001col_FTI_SALARY_SSDI">Data!$AX$430</definedName>
    <definedName name="PRBD041001col_Group_Ben">Data!$CM$430</definedName>
    <definedName name="PRBD041001col_Group_Salary">Data!$CL$430</definedName>
    <definedName name="PRBD041001col_HEALTH_ELECT">Data!$BC$430</definedName>
    <definedName name="PRBD041001col_HEALTH_ELECT_BY">Data!$BO$430</definedName>
    <definedName name="PRBD041001col_HEALTH_ELECT_CHG">Data!$CA$430</definedName>
    <definedName name="PRBD041001col_HEALTH_PERM">Data!$BB$430</definedName>
    <definedName name="PRBD041001col_HEALTH_PERM_BY">Data!$BN$430</definedName>
    <definedName name="PRBD041001col_HEALTH_PERM_CHG">Data!$BZ$430</definedName>
    <definedName name="PRBD041001col_INC_FTI">Data!$AS$430</definedName>
    <definedName name="PRBD041001col_LIFE_INS">Data!$BG$430</definedName>
    <definedName name="PRBD041001col_LIFE_INS_BY">Data!$BS$430</definedName>
    <definedName name="PRBD041001col_LIFE_INS_CHG">Data!$CE$430</definedName>
    <definedName name="PRBD041001col_RETIREMENT">Data!$BF$430</definedName>
    <definedName name="PRBD041001col_RETIREMENT_BY">Data!$BR$430</definedName>
    <definedName name="PRBD041001col_RETIREMENT_CHG">Data!$CD$430</definedName>
    <definedName name="PRBD041001col_ROWS_PER_PCN">Data!$AW$430</definedName>
    <definedName name="PRBD041001col_SICK">Data!$BK$430</definedName>
    <definedName name="PRBD041001col_SICK_BY">Data!$BW$430</definedName>
    <definedName name="PRBD041001col_SICK_CHG">Data!$CI$430</definedName>
    <definedName name="PRBD041001col_SSDI">Data!$BD$430</definedName>
    <definedName name="PRBD041001col_SSDI_BY">Data!$BP$430</definedName>
    <definedName name="PRBD041001col_SSDI_CHG">Data!$CB$430</definedName>
    <definedName name="PRBD041001col_SSHI">Data!$BE$430</definedName>
    <definedName name="PRBD041001col_SSHI_BY">Data!$BQ$430</definedName>
    <definedName name="PRBD041001col_SSHI_CHGv">Data!$CC$430</definedName>
    <definedName name="PRBD041001col_TOT_VB_ELECT">Data!$BM$430</definedName>
    <definedName name="PRBD041001col_TOT_VB_ELECT_BY">Data!$BY$430</definedName>
    <definedName name="PRBD041001col_TOT_VB_ELECT_CHG">Data!$CK$430</definedName>
    <definedName name="PRBD041001col_TOT_VB_PERM">Data!$BL$430</definedName>
    <definedName name="PRBD041001col_TOT_VB_PERM_BY">Data!$BX$430</definedName>
    <definedName name="PRBD041001col_TOT_VB_PERM_CHG">Data!$CJ$430</definedName>
    <definedName name="PRBD041001col_TOTAL_ELECT_PCN_FTI">Data!$AT$430</definedName>
    <definedName name="PRBD041001col_TOTAL_ELECT_PCN_FTI_ALT">Data!$AV$430</definedName>
    <definedName name="PRBD041001col_TOTAL_PERM_PCN_FTI">Data!$AU$430</definedName>
    <definedName name="PRBD041001col_UNEMP_INS">Data!$BH$430</definedName>
    <definedName name="PRBD041001col_UNEMP_INS_BY">Data!$BT$430</definedName>
    <definedName name="PRBD041001col_UNEMP_INS_CHG">Data!$CF$430</definedName>
    <definedName name="PRBD041001col_WORKERS_COMP">Data!$BJ$430</definedName>
    <definedName name="PRBD041001col_WORKERS_COMP_BY">Data!$BV$430</definedName>
    <definedName name="PRBD041001col_WORKERS_COMP_CHG">Data!$CH$430</definedName>
    <definedName name="_xlnm.Print_Area" localSheetId="15">'B6'!$A$1:$N$81</definedName>
    <definedName name="_xlnm.Print_Area" localSheetId="14">Benefits!$A$1:$G$36</definedName>
    <definedName name="_xlnm.Print_Area" localSheetId="0">'PRAA|0001-00'!$A$1:$N$81</definedName>
    <definedName name="_xlnm.Print_Area" localSheetId="1">'PRAA|0125-00'!$A$1:$N$81</definedName>
    <definedName name="_xlnm.Print_Area" localSheetId="2">'PRAA|0243-00'!$A$1:$N$81</definedName>
    <definedName name="_xlnm.Print_Area" localSheetId="3">'PRAA|0247-00'!$A$1:$N$81</definedName>
    <definedName name="_xlnm.Print_Area" localSheetId="4">'PRAB|0250-00'!$A$1:$N$81</definedName>
    <definedName name="_xlnm.Print_Area" localSheetId="5">'PRBA|0001-00'!$A$1:$N$81</definedName>
    <definedName name="_xlnm.Print_Area" localSheetId="6">'PRBA|0243-00'!$A$1:$N$81</definedName>
    <definedName name="_xlnm.Print_Area" localSheetId="7">'PRBA|0247-00'!$A$1:$N$81</definedName>
    <definedName name="_xlnm.Print_Area" localSheetId="8">'PRBA|0349-00'!$A$1:$N$81</definedName>
    <definedName name="_xlnm.Print_Area" localSheetId="9">'PRBA|0496-00'!$A$1:$N$81</definedName>
    <definedName name="_xlnm.Print_Area" localSheetId="10">'PRBB|0250-00'!$A$1:$N$81</definedName>
    <definedName name="_xlnm.Print_Area" localSheetId="11">'PRBB|0348-00'!$A$1:$N$81</definedName>
    <definedName name="_xlnm.Print_Area" localSheetId="12">'PRBD|0410-00'!$A$1:$N$81</definedName>
    <definedName name="Prog_Unadjusted_Total" localSheetId="0">'PRAA|0001-00'!$C$8:$N$16</definedName>
    <definedName name="Prog_Unadjusted_Total" localSheetId="1">'PRAA|0125-00'!$C$8:$N$16</definedName>
    <definedName name="Prog_Unadjusted_Total" localSheetId="2">'PRAA|0243-00'!$C$8:$N$16</definedName>
    <definedName name="Prog_Unadjusted_Total" localSheetId="3">'PRAA|0247-00'!$C$8:$N$16</definedName>
    <definedName name="Prog_Unadjusted_Total" localSheetId="4">'PRAB|0250-00'!$C$8:$N$16</definedName>
    <definedName name="Prog_Unadjusted_Total" localSheetId="5">'PRBA|0001-00'!$C$8:$N$16</definedName>
    <definedName name="Prog_Unadjusted_Total" localSheetId="6">'PRBA|0243-00'!$C$8:$N$16</definedName>
    <definedName name="Prog_Unadjusted_Total" localSheetId="7">'PRBA|0247-00'!$C$8:$N$16</definedName>
    <definedName name="Prog_Unadjusted_Total" localSheetId="8">'PRBA|0349-00'!$C$8:$N$16</definedName>
    <definedName name="Prog_Unadjusted_Total" localSheetId="9">'PRBA|0496-00'!$C$8:$N$16</definedName>
    <definedName name="Prog_Unadjusted_Total" localSheetId="10">'PRBB|0250-00'!$C$8:$N$16</definedName>
    <definedName name="Prog_Unadjusted_Total" localSheetId="11">'PRBB|0348-00'!$C$8:$N$16</definedName>
    <definedName name="Prog_Unadjusted_Total" localSheetId="12">'PRBD|0410-00'!$C$8:$N$16</definedName>
    <definedName name="Prog_Unadjusted_Total">'B6'!$C$8:$N$16</definedName>
    <definedName name="Program" localSheetId="0">'PRAA|0001-00'!$D$3</definedName>
    <definedName name="Program" localSheetId="1">'PRAA|0125-00'!$D$3</definedName>
    <definedName name="Program" localSheetId="2">'PRAA|0243-00'!$D$3</definedName>
    <definedName name="Program" localSheetId="3">'PRAA|0247-00'!$D$3</definedName>
    <definedName name="Program" localSheetId="4">'PRAB|0250-00'!$D$3</definedName>
    <definedName name="Program" localSheetId="5">'PRBA|0001-00'!$D$3</definedName>
    <definedName name="Program" localSheetId="6">'PRBA|0243-00'!$D$3</definedName>
    <definedName name="Program" localSheetId="7">'PRBA|0247-00'!$D$3</definedName>
    <definedName name="Program" localSheetId="8">'PRBA|0349-00'!$D$3</definedName>
    <definedName name="Program" localSheetId="9">'PRBA|0496-00'!$D$3</definedName>
    <definedName name="Program" localSheetId="10">'PRBB|0250-00'!$D$3</definedName>
    <definedName name="Program" localSheetId="11">'PRBB|0348-00'!$D$3</definedName>
    <definedName name="Program" localSheetId="12">'PRBD|0410-00'!$D$3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'PRAA|0001-00'!$G$52</definedName>
    <definedName name="RoundedAppropSalary" localSheetId="1">'PRAA|0125-00'!$G$52</definedName>
    <definedName name="RoundedAppropSalary" localSheetId="2">'PRAA|0243-00'!$G$52</definedName>
    <definedName name="RoundedAppropSalary" localSheetId="3">'PRAA|0247-00'!$G$52</definedName>
    <definedName name="RoundedAppropSalary" localSheetId="4">'PRAB|0250-00'!$G$52</definedName>
    <definedName name="RoundedAppropSalary" localSheetId="5">'PRBA|0001-00'!$G$52</definedName>
    <definedName name="RoundedAppropSalary" localSheetId="6">'PRBA|0243-00'!$G$52</definedName>
    <definedName name="RoundedAppropSalary" localSheetId="7">'PRBA|0247-00'!$G$52</definedName>
    <definedName name="RoundedAppropSalary" localSheetId="8">'PRBA|0349-00'!$G$52</definedName>
    <definedName name="RoundedAppropSalary" localSheetId="9">'PRBA|0496-00'!$G$52</definedName>
    <definedName name="RoundedAppropSalary" localSheetId="10">'PRBB|0250-00'!$G$52</definedName>
    <definedName name="RoundedAppropSalary" localSheetId="11">'PRBB|0348-00'!$G$52</definedName>
    <definedName name="RoundedAppropSalary" localSheetId="12">'PRBD|0410-00'!$G$52</definedName>
    <definedName name="RoundedAppropSalary">'B6'!$G$52</definedName>
    <definedName name="SalaryChg" localSheetId="0">'PRAA|0001-00'!$K$10</definedName>
    <definedName name="SalaryChg" localSheetId="1">'PRAA|0125-00'!$K$10</definedName>
    <definedName name="SalaryChg" localSheetId="2">'PRAA|0243-00'!$K$10</definedName>
    <definedName name="SalaryChg" localSheetId="3">'PRAA|0247-00'!$K$10</definedName>
    <definedName name="SalaryChg" localSheetId="4">'PRAB|0250-00'!$K$10</definedName>
    <definedName name="SalaryChg" localSheetId="5">'PRBA|0001-00'!$K$10</definedName>
    <definedName name="SalaryChg" localSheetId="6">'PRBA|0243-00'!$K$10</definedName>
    <definedName name="SalaryChg" localSheetId="7">'PRBA|0247-00'!$K$10</definedName>
    <definedName name="SalaryChg" localSheetId="8">'PRBA|0349-00'!$K$10</definedName>
    <definedName name="SalaryChg" localSheetId="9">'PRBA|0496-00'!$K$10</definedName>
    <definedName name="SalaryChg" localSheetId="10">'PRBB|0250-00'!$K$10</definedName>
    <definedName name="SalaryChg" localSheetId="11">'PRBB|0348-00'!$K$10</definedName>
    <definedName name="SalaryChg" localSheetId="12">'PRBD|0410-00'!$K$10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'PRAA|0001-00'!#REF!</definedName>
    <definedName name="SubCECBase" localSheetId="1">'PRAA|0125-00'!#REF!</definedName>
    <definedName name="SubCECBase" localSheetId="2">'PRAA|0243-00'!#REF!</definedName>
    <definedName name="SubCECBase" localSheetId="3">'PRAA|0247-00'!#REF!</definedName>
    <definedName name="SubCECBase" localSheetId="4">'PRAB|0250-00'!#REF!</definedName>
    <definedName name="SubCECBase" localSheetId="5">'PRBA|0001-00'!#REF!</definedName>
    <definedName name="SubCECBase" localSheetId="6">'PRBA|0243-00'!#REF!</definedName>
    <definedName name="SubCECBase" localSheetId="7">'PRBA|0247-00'!#REF!</definedName>
    <definedName name="SubCECBase" localSheetId="8">'PRBA|0349-00'!#REF!</definedName>
    <definedName name="SubCECBase" localSheetId="9">'PRBA|0496-00'!#REF!</definedName>
    <definedName name="SubCECBase" localSheetId="10">'PRBB|0250-00'!#REF!</definedName>
    <definedName name="SubCECBase" localSheetId="11">'PRBB|0348-00'!#REF!</definedName>
    <definedName name="SubCECBase" localSheetId="12">'PRBD|0410-00'!#REF!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J25" i="11"/>
  <c r="K25" i="11"/>
  <c r="L25" i="11"/>
  <c r="M25" i="11"/>
  <c r="E26" i="11"/>
  <c r="F26" i="11"/>
  <c r="G26" i="11"/>
  <c r="H26" i="11"/>
  <c r="I26" i="11"/>
  <c r="J26" i="11"/>
  <c r="K26" i="11"/>
  <c r="L26" i="11"/>
  <c r="M26" i="11"/>
  <c r="E27" i="11"/>
  <c r="F27" i="11"/>
  <c r="G27" i="11"/>
  <c r="H27" i="11"/>
  <c r="I27" i="11"/>
  <c r="J27" i="11"/>
  <c r="K27" i="11"/>
  <c r="L27" i="11"/>
  <c r="M27" i="11"/>
  <c r="E28" i="11"/>
  <c r="F28" i="11"/>
  <c r="G28" i="11"/>
  <c r="H28" i="11"/>
  <c r="I28" i="11"/>
  <c r="J28" i="11"/>
  <c r="K28" i="11"/>
  <c r="L28" i="11"/>
  <c r="M28" i="11"/>
  <c r="E29" i="11"/>
  <c r="F29" i="11"/>
  <c r="G29" i="11"/>
  <c r="H29" i="11"/>
  <c r="I29" i="11"/>
  <c r="J29" i="11"/>
  <c r="K29" i="11"/>
  <c r="L29" i="11"/>
  <c r="M29" i="11"/>
  <c r="E30" i="11"/>
  <c r="F30" i="11"/>
  <c r="G30" i="11"/>
  <c r="H30" i="11"/>
  <c r="I30" i="11"/>
  <c r="J30" i="11"/>
  <c r="K30" i="11"/>
  <c r="L30" i="11"/>
  <c r="M30" i="11"/>
  <c r="E31" i="11"/>
  <c r="F31" i="11"/>
  <c r="G31" i="11"/>
  <c r="H31" i="11"/>
  <c r="I31" i="11"/>
  <c r="J31" i="11"/>
  <c r="K31" i="11"/>
  <c r="L31" i="11"/>
  <c r="M31" i="11"/>
  <c r="E32" i="11"/>
  <c r="F32" i="11"/>
  <c r="G32" i="11"/>
  <c r="H32" i="11"/>
  <c r="I32" i="11"/>
  <c r="J32" i="11"/>
  <c r="K32" i="11"/>
  <c r="L32" i="11"/>
  <c r="M32" i="11"/>
  <c r="E33" i="11"/>
  <c r="F33" i="11"/>
  <c r="G33" i="11"/>
  <c r="H33" i="11"/>
  <c r="I33" i="11"/>
  <c r="J33" i="11"/>
  <c r="K33" i="11"/>
  <c r="L33" i="11"/>
  <c r="M33" i="11"/>
  <c r="E34" i="11"/>
  <c r="F34" i="11"/>
  <c r="G34" i="11"/>
  <c r="H34" i="11"/>
  <c r="I34" i="11"/>
  <c r="J34" i="11"/>
  <c r="K34" i="11"/>
  <c r="L34" i="11"/>
  <c r="M34" i="11"/>
  <c r="E35" i="11"/>
  <c r="F35" i="11"/>
  <c r="G35" i="11"/>
  <c r="H35" i="11"/>
  <c r="I35" i="11"/>
  <c r="J35" i="11"/>
  <c r="K35" i="11"/>
  <c r="L35" i="11"/>
  <c r="M35" i="11"/>
  <c r="E36" i="11"/>
  <c r="F36" i="11"/>
  <c r="G36" i="11"/>
  <c r="H36" i="11"/>
  <c r="I36" i="11"/>
  <c r="J36" i="11"/>
  <c r="K36" i="11"/>
  <c r="L36" i="11"/>
  <c r="M36" i="11"/>
  <c r="E37" i="11"/>
  <c r="F37" i="11"/>
  <c r="G37" i="11"/>
  <c r="H37" i="11"/>
  <c r="I37" i="11"/>
  <c r="J37" i="11"/>
  <c r="K37" i="11"/>
  <c r="L37" i="11"/>
  <c r="M37" i="11"/>
  <c r="E38" i="11"/>
  <c r="F38" i="11"/>
  <c r="G38" i="11"/>
  <c r="H38" i="11"/>
  <c r="I38" i="11"/>
  <c r="J38" i="11"/>
  <c r="K38" i="11"/>
  <c r="L38" i="11"/>
  <c r="M38" i="11"/>
  <c r="E39" i="11"/>
  <c r="F39" i="11"/>
  <c r="G39" i="11"/>
  <c r="H39" i="11"/>
  <c r="I39" i="11"/>
  <c r="J39" i="11"/>
  <c r="K39" i="11"/>
  <c r="L39" i="11"/>
  <c r="M39" i="11"/>
  <c r="E40" i="11"/>
  <c r="F40" i="11"/>
  <c r="G40" i="11"/>
  <c r="H40" i="11"/>
  <c r="I40" i="11"/>
  <c r="J40" i="11"/>
  <c r="K40" i="11"/>
  <c r="L40" i="11"/>
  <c r="M40" i="11"/>
  <c r="E41" i="11"/>
  <c r="F41" i="11"/>
  <c r="G41" i="11"/>
  <c r="H41" i="11"/>
  <c r="I41" i="11"/>
  <c r="J41" i="11"/>
  <c r="K41" i="11"/>
  <c r="L41" i="11"/>
  <c r="M41" i="11"/>
  <c r="E42" i="11"/>
  <c r="F42" i="11"/>
  <c r="G42" i="11"/>
  <c r="H42" i="11"/>
  <c r="I42" i="11"/>
  <c r="J42" i="11"/>
  <c r="K42" i="11"/>
  <c r="L42" i="11"/>
  <c r="M42" i="11"/>
  <c r="E43" i="11"/>
  <c r="F43" i="11"/>
  <c r="G43" i="11"/>
  <c r="H43" i="11"/>
  <c r="I43" i="11"/>
  <c r="J43" i="11"/>
  <c r="K43" i="11"/>
  <c r="L43" i="11"/>
  <c r="M43" i="11"/>
  <c r="E44" i="11"/>
  <c r="F44" i="11"/>
  <c r="G44" i="11"/>
  <c r="H44" i="11"/>
  <c r="I44" i="11"/>
  <c r="J44" i="11"/>
  <c r="K44" i="11"/>
  <c r="L44" i="11"/>
  <c r="M44" i="11"/>
  <c r="E45" i="11"/>
  <c r="F45" i="11"/>
  <c r="G45" i="11"/>
  <c r="H45" i="11"/>
  <c r="I45" i="11"/>
  <c r="J45" i="11"/>
  <c r="K45" i="11"/>
  <c r="L45" i="11"/>
  <c r="M45" i="11"/>
  <c r="E46" i="11"/>
  <c r="F46" i="11"/>
  <c r="G46" i="11"/>
  <c r="H46" i="11"/>
  <c r="I46" i="11"/>
  <c r="J46" i="11"/>
  <c r="K46" i="11"/>
  <c r="L46" i="11"/>
  <c r="M46" i="11"/>
  <c r="E47" i="11"/>
  <c r="F47" i="11"/>
  <c r="G47" i="11"/>
  <c r="H47" i="11"/>
  <c r="I47" i="11"/>
  <c r="J47" i="11"/>
  <c r="K47" i="11"/>
  <c r="L47" i="11"/>
  <c r="M47" i="11"/>
  <c r="E48" i="11"/>
  <c r="F48" i="11"/>
  <c r="G48" i="11"/>
  <c r="H48" i="11"/>
  <c r="I48" i="11"/>
  <c r="J48" i="11"/>
  <c r="K48" i="11"/>
  <c r="L48" i="11"/>
  <c r="M48" i="11"/>
  <c r="E49" i="11"/>
  <c r="F49" i="11"/>
  <c r="G49" i="11"/>
  <c r="H49" i="11"/>
  <c r="I49" i="11"/>
  <c r="J49" i="11"/>
  <c r="K49" i="11"/>
  <c r="L49" i="11"/>
  <c r="M49" i="11"/>
  <c r="E50" i="11"/>
  <c r="F50" i="11"/>
  <c r="G50" i="11"/>
  <c r="H50" i="11"/>
  <c r="I50" i="11"/>
  <c r="J50" i="11"/>
  <c r="K50" i="11"/>
  <c r="L50" i="11"/>
  <c r="M50" i="11"/>
  <c r="E51" i="11"/>
  <c r="F51" i="11"/>
  <c r="G51" i="11"/>
  <c r="H51" i="11"/>
  <c r="I51" i="11"/>
  <c r="J51" i="11"/>
  <c r="K51" i="11"/>
  <c r="L51" i="11"/>
  <c r="M51" i="11"/>
  <c r="E52" i="11"/>
  <c r="F52" i="11"/>
  <c r="G52" i="11"/>
  <c r="H52" i="11"/>
  <c r="I52" i="11"/>
  <c r="J52" i="11"/>
  <c r="K52" i="11"/>
  <c r="L52" i="11"/>
  <c r="M52" i="11"/>
  <c r="E53" i="11"/>
  <c r="F53" i="11"/>
  <c r="G53" i="11"/>
  <c r="H53" i="11"/>
  <c r="I53" i="11"/>
  <c r="J53" i="11"/>
  <c r="K53" i="11"/>
  <c r="L53" i="11"/>
  <c r="M53" i="11"/>
  <c r="E54" i="11"/>
  <c r="F54" i="11"/>
  <c r="G54" i="11"/>
  <c r="H54" i="11"/>
  <c r="I54" i="11"/>
  <c r="J54" i="11"/>
  <c r="K54" i="11"/>
  <c r="L54" i="11"/>
  <c r="M54" i="11"/>
  <c r="BA484" i="5"/>
  <c r="AZ484" i="5"/>
  <c r="AY484" i="5"/>
  <c r="AX484" i="5"/>
  <c r="AW484" i="5"/>
  <c r="AV484" i="5"/>
  <c r="AU484" i="5"/>
  <c r="AT484" i="5"/>
  <c r="AS484" i="5"/>
  <c r="BA482" i="5"/>
  <c r="AZ482" i="5"/>
  <c r="AY482" i="5"/>
  <c r="AX482" i="5"/>
  <c r="AW482" i="5"/>
  <c r="AV482" i="5"/>
  <c r="AU482" i="5"/>
  <c r="AT482" i="5"/>
  <c r="AS482" i="5"/>
  <c r="BA462" i="5"/>
  <c r="AZ462" i="5"/>
  <c r="AY462" i="5"/>
  <c r="AX462" i="5"/>
  <c r="AW462" i="5"/>
  <c r="AV462" i="5"/>
  <c r="AU462" i="5"/>
  <c r="AT462" i="5"/>
  <c r="AS462" i="5"/>
  <c r="AZ480" i="5"/>
  <c r="AW480" i="5"/>
  <c r="AZ476" i="5"/>
  <c r="AW476" i="5"/>
  <c r="AZ474" i="5"/>
  <c r="AW474" i="5"/>
  <c r="AZ472" i="5"/>
  <c r="AW472" i="5"/>
  <c r="AW468" i="5"/>
  <c r="AZ468" i="5"/>
  <c r="AZ466" i="5"/>
  <c r="AW466" i="5"/>
  <c r="A141" i="10"/>
  <c r="K134" i="10"/>
  <c r="J134" i="10"/>
  <c r="I134" i="10"/>
  <c r="H134" i="10"/>
  <c r="G134" i="10"/>
  <c r="F134" i="10"/>
  <c r="E134" i="10"/>
  <c r="C80" i="24"/>
  <c r="J79" i="24"/>
  <c r="J78" i="24"/>
  <c r="J77" i="24"/>
  <c r="C75" i="24"/>
  <c r="I74" i="24"/>
  <c r="J74" i="24" s="1"/>
  <c r="E73" i="24"/>
  <c r="E72" i="24"/>
  <c r="I71" i="24"/>
  <c r="J71" i="24" s="1"/>
  <c r="J70" i="24"/>
  <c r="C67" i="24"/>
  <c r="J66" i="24"/>
  <c r="I66" i="24"/>
  <c r="H66" i="24"/>
  <c r="G66" i="24"/>
  <c r="N64" i="24"/>
  <c r="J64" i="24"/>
  <c r="N63" i="24"/>
  <c r="H63" i="24"/>
  <c r="G63" i="24" s="1"/>
  <c r="I63" i="24" s="1"/>
  <c r="N62" i="24"/>
  <c r="J62" i="24"/>
  <c r="C60" i="24"/>
  <c r="N59" i="24"/>
  <c r="J59" i="24"/>
  <c r="N58" i="24"/>
  <c r="J58" i="24"/>
  <c r="C56" i="24"/>
  <c r="N55" i="24"/>
  <c r="J55" i="24"/>
  <c r="J54" i="24"/>
  <c r="F51" i="24"/>
  <c r="E51" i="24"/>
  <c r="C51" i="24"/>
  <c r="M50" i="24"/>
  <c r="L50" i="24"/>
  <c r="K50" i="24"/>
  <c r="J50" i="24"/>
  <c r="I50" i="24"/>
  <c r="H50" i="24"/>
  <c r="G50" i="24"/>
  <c r="C40" i="24"/>
  <c r="M39" i="24"/>
  <c r="L39" i="24"/>
  <c r="H39" i="24"/>
  <c r="F39" i="24"/>
  <c r="C39" i="24"/>
  <c r="C38" i="24"/>
  <c r="M35" i="24"/>
  <c r="L35" i="24"/>
  <c r="N35" i="24" s="1"/>
  <c r="J35" i="24"/>
  <c r="I35" i="24"/>
  <c r="H35" i="24"/>
  <c r="M34" i="24"/>
  <c r="L34" i="24"/>
  <c r="N34" i="24" s="1"/>
  <c r="J34" i="24"/>
  <c r="I34" i="24"/>
  <c r="H34" i="24"/>
  <c r="M33" i="24"/>
  <c r="N33" i="24" s="1"/>
  <c r="L33" i="24"/>
  <c r="J33" i="24"/>
  <c r="I33" i="24"/>
  <c r="H33" i="24"/>
  <c r="N32" i="24"/>
  <c r="M32" i="24"/>
  <c r="L32" i="24"/>
  <c r="J32" i="24"/>
  <c r="I32" i="24"/>
  <c r="H32" i="24"/>
  <c r="M30" i="24"/>
  <c r="L30" i="24"/>
  <c r="N30" i="24" s="1"/>
  <c r="J30" i="24"/>
  <c r="I30" i="24"/>
  <c r="H30" i="24"/>
  <c r="M29" i="24"/>
  <c r="L29" i="24"/>
  <c r="N29" i="24" s="1"/>
  <c r="J29" i="24"/>
  <c r="I29" i="24"/>
  <c r="H29" i="24"/>
  <c r="M28" i="24"/>
  <c r="N28" i="24" s="1"/>
  <c r="L28" i="24"/>
  <c r="J28" i="24"/>
  <c r="I28" i="24"/>
  <c r="H28" i="24"/>
  <c r="N27" i="24"/>
  <c r="M27" i="24"/>
  <c r="L27" i="24"/>
  <c r="J27" i="24"/>
  <c r="I27" i="24"/>
  <c r="H27" i="24"/>
  <c r="M26" i="24"/>
  <c r="L26" i="24"/>
  <c r="N26" i="24" s="1"/>
  <c r="J26" i="24"/>
  <c r="I26" i="24"/>
  <c r="H26" i="24"/>
  <c r="M25" i="24"/>
  <c r="L25" i="24"/>
  <c r="N25" i="24" s="1"/>
  <c r="J25" i="24"/>
  <c r="I25" i="24"/>
  <c r="H25" i="24"/>
  <c r="M24" i="24"/>
  <c r="N24" i="24" s="1"/>
  <c r="L24" i="24"/>
  <c r="J24" i="24"/>
  <c r="I24" i="24"/>
  <c r="H24" i="24"/>
  <c r="N23" i="24"/>
  <c r="M23" i="24"/>
  <c r="L23" i="24"/>
  <c r="J23" i="24"/>
  <c r="I23" i="24"/>
  <c r="H23" i="24"/>
  <c r="M22" i="24"/>
  <c r="L22" i="24"/>
  <c r="N22" i="24" s="1"/>
  <c r="J22" i="24"/>
  <c r="I22" i="24"/>
  <c r="H22" i="24"/>
  <c r="M21" i="24"/>
  <c r="L21" i="24"/>
  <c r="N21" i="24" s="1"/>
  <c r="J21" i="24"/>
  <c r="I21" i="24"/>
  <c r="H21" i="24"/>
  <c r="M20" i="24"/>
  <c r="N20" i="24" s="1"/>
  <c r="L20" i="24"/>
  <c r="J20" i="24"/>
  <c r="I20" i="24"/>
  <c r="H20" i="24"/>
  <c r="C15" i="24"/>
  <c r="AC11" i="24"/>
  <c r="M8" i="24"/>
  <c r="L8" i="24"/>
  <c r="K8" i="24"/>
  <c r="J8" i="24"/>
  <c r="I8" i="24"/>
  <c r="H8" i="24"/>
  <c r="G8" i="24"/>
  <c r="A130" i="10"/>
  <c r="K123" i="10"/>
  <c r="J123" i="10"/>
  <c r="I123" i="10"/>
  <c r="H123" i="10"/>
  <c r="G123" i="10"/>
  <c r="F123" i="10"/>
  <c r="E123" i="10"/>
  <c r="C80" i="23"/>
  <c r="J79" i="23"/>
  <c r="J78" i="23"/>
  <c r="J77" i="23"/>
  <c r="C75" i="23"/>
  <c r="I74" i="23"/>
  <c r="J74" i="23" s="1"/>
  <c r="E73" i="23"/>
  <c r="E72" i="23"/>
  <c r="I71" i="23"/>
  <c r="J71" i="23" s="1"/>
  <c r="J70" i="23"/>
  <c r="C67" i="23"/>
  <c r="J66" i="23"/>
  <c r="I66" i="23"/>
  <c r="H66" i="23"/>
  <c r="G66" i="23"/>
  <c r="N64" i="23"/>
  <c r="J64" i="23"/>
  <c r="N63" i="23"/>
  <c r="H63" i="23"/>
  <c r="G63" i="23" s="1"/>
  <c r="I63" i="23" s="1"/>
  <c r="N62" i="23"/>
  <c r="J62" i="23"/>
  <c r="C60" i="23"/>
  <c r="N59" i="23"/>
  <c r="J59" i="23"/>
  <c r="N58" i="23"/>
  <c r="J58" i="23"/>
  <c r="C56" i="23"/>
  <c r="N55" i="23"/>
  <c r="J55" i="23"/>
  <c r="J54" i="23"/>
  <c r="F51" i="23"/>
  <c r="E51" i="23"/>
  <c r="C51" i="23"/>
  <c r="M50" i="23"/>
  <c r="L50" i="23"/>
  <c r="K50" i="23"/>
  <c r="J50" i="23"/>
  <c r="I50" i="23"/>
  <c r="H50" i="23"/>
  <c r="G50" i="23"/>
  <c r="C40" i="23"/>
  <c r="M39" i="23"/>
  <c r="L39" i="23"/>
  <c r="H39" i="23"/>
  <c r="F39" i="23"/>
  <c r="C39" i="23"/>
  <c r="C38" i="23"/>
  <c r="M35" i="23"/>
  <c r="L35" i="23"/>
  <c r="N35" i="23" s="1"/>
  <c r="J35" i="23"/>
  <c r="I35" i="23"/>
  <c r="H35" i="23"/>
  <c r="M34" i="23"/>
  <c r="L34" i="23"/>
  <c r="J34" i="23"/>
  <c r="I34" i="23"/>
  <c r="H34" i="23"/>
  <c r="M33" i="23"/>
  <c r="L33" i="23"/>
  <c r="N33" i="23" s="1"/>
  <c r="J33" i="23"/>
  <c r="I33" i="23"/>
  <c r="H33" i="23"/>
  <c r="M32" i="23"/>
  <c r="L32" i="23"/>
  <c r="N32" i="23" s="1"/>
  <c r="J32" i="23"/>
  <c r="I32" i="23"/>
  <c r="H32" i="23"/>
  <c r="M30" i="23"/>
  <c r="L30" i="23"/>
  <c r="N30" i="23" s="1"/>
  <c r="J30" i="23"/>
  <c r="I30" i="23"/>
  <c r="H30" i="23"/>
  <c r="M29" i="23"/>
  <c r="L29" i="23"/>
  <c r="N29" i="23" s="1"/>
  <c r="J29" i="23"/>
  <c r="I29" i="23"/>
  <c r="H29" i="23"/>
  <c r="M28" i="23"/>
  <c r="L28" i="23"/>
  <c r="N28" i="23" s="1"/>
  <c r="J28" i="23"/>
  <c r="I28" i="23"/>
  <c r="H28" i="23"/>
  <c r="M27" i="23"/>
  <c r="N27" i="23" s="1"/>
  <c r="L27" i="23"/>
  <c r="J27" i="23"/>
  <c r="I27" i="23"/>
  <c r="H27" i="23"/>
  <c r="M26" i="23"/>
  <c r="L26" i="23"/>
  <c r="J26" i="23"/>
  <c r="I26" i="23"/>
  <c r="H26" i="23"/>
  <c r="M25" i="23"/>
  <c r="L25" i="23"/>
  <c r="J25" i="23"/>
  <c r="I25" i="23"/>
  <c r="H25" i="23"/>
  <c r="M24" i="23"/>
  <c r="N24" i="23" s="1"/>
  <c r="L24" i="23"/>
  <c r="J24" i="23"/>
  <c r="I24" i="23"/>
  <c r="H24" i="23"/>
  <c r="N23" i="23"/>
  <c r="M23" i="23"/>
  <c r="L23" i="23"/>
  <c r="J23" i="23"/>
  <c r="I23" i="23"/>
  <c r="H23" i="23"/>
  <c r="M22" i="23"/>
  <c r="L22" i="23"/>
  <c r="N22" i="23" s="1"/>
  <c r="J22" i="23"/>
  <c r="I22" i="23"/>
  <c r="H22" i="23"/>
  <c r="M21" i="23"/>
  <c r="L21" i="23"/>
  <c r="J21" i="23"/>
  <c r="I21" i="23"/>
  <c r="H21" i="23"/>
  <c r="N20" i="23"/>
  <c r="M20" i="23"/>
  <c r="L20" i="23"/>
  <c r="J20" i="23"/>
  <c r="I20" i="23"/>
  <c r="H20" i="23"/>
  <c r="C15" i="23"/>
  <c r="AC11" i="23"/>
  <c r="M8" i="23"/>
  <c r="L8" i="23"/>
  <c r="K8" i="23"/>
  <c r="J8" i="23"/>
  <c r="I8" i="23"/>
  <c r="H8" i="23"/>
  <c r="G8" i="23"/>
  <c r="A119" i="10"/>
  <c r="K112" i="10"/>
  <c r="J112" i="10"/>
  <c r="I112" i="10"/>
  <c r="H112" i="10"/>
  <c r="G112" i="10"/>
  <c r="F112" i="10"/>
  <c r="E112" i="10"/>
  <c r="C80" i="22"/>
  <c r="J79" i="22"/>
  <c r="J78" i="22"/>
  <c r="J77" i="22"/>
  <c r="C75" i="22"/>
  <c r="I74" i="22"/>
  <c r="J74" i="22" s="1"/>
  <c r="E73" i="22"/>
  <c r="E72" i="22"/>
  <c r="I71" i="22"/>
  <c r="J71" i="22" s="1"/>
  <c r="J70" i="22"/>
  <c r="C67" i="22"/>
  <c r="J66" i="22"/>
  <c r="I66" i="22"/>
  <c r="H66" i="22"/>
  <c r="G66" i="22"/>
  <c r="N64" i="22"/>
  <c r="J64" i="22"/>
  <c r="N63" i="22"/>
  <c r="H63" i="22"/>
  <c r="G63" i="22" s="1"/>
  <c r="I63" i="22" s="1"/>
  <c r="N62" i="22"/>
  <c r="J62" i="22"/>
  <c r="C60" i="22"/>
  <c r="N59" i="22"/>
  <c r="J59" i="22"/>
  <c r="N58" i="22"/>
  <c r="J58" i="22"/>
  <c r="C56" i="22"/>
  <c r="N55" i="22"/>
  <c r="J55" i="22"/>
  <c r="J54" i="22"/>
  <c r="F51" i="22"/>
  <c r="E51" i="22"/>
  <c r="C51" i="22"/>
  <c r="M50" i="22"/>
  <c r="L50" i="22"/>
  <c r="K50" i="22"/>
  <c r="J50" i="22"/>
  <c r="I50" i="22"/>
  <c r="H50" i="22"/>
  <c r="G50" i="22"/>
  <c r="C40" i="22"/>
  <c r="M39" i="22"/>
  <c r="L39" i="22"/>
  <c r="H39" i="22"/>
  <c r="F39" i="22"/>
  <c r="C39" i="22"/>
  <c r="C38" i="22"/>
  <c r="M35" i="22"/>
  <c r="L35" i="22"/>
  <c r="N35" i="22" s="1"/>
  <c r="J35" i="22"/>
  <c r="I35" i="22"/>
  <c r="H35" i="22"/>
  <c r="M34" i="22"/>
  <c r="L34" i="22"/>
  <c r="J34" i="22"/>
  <c r="I34" i="22"/>
  <c r="H34" i="22"/>
  <c r="M33" i="22"/>
  <c r="L33" i="22"/>
  <c r="J33" i="22"/>
  <c r="I33" i="22"/>
  <c r="H33" i="22"/>
  <c r="M32" i="22"/>
  <c r="L32" i="22"/>
  <c r="N32" i="22" s="1"/>
  <c r="J32" i="22"/>
  <c r="I32" i="22"/>
  <c r="H32" i="22"/>
  <c r="M30" i="22"/>
  <c r="L30" i="22"/>
  <c r="J30" i="22"/>
  <c r="I30" i="22"/>
  <c r="H30" i="22"/>
  <c r="M29" i="22"/>
  <c r="L29" i="22"/>
  <c r="J29" i="22"/>
  <c r="I29" i="22"/>
  <c r="H29" i="22"/>
  <c r="M28" i="22"/>
  <c r="L28" i="22"/>
  <c r="J28" i="22"/>
  <c r="I28" i="22"/>
  <c r="H28" i="22"/>
  <c r="M27" i="22"/>
  <c r="N27" i="22" s="1"/>
  <c r="L27" i="22"/>
  <c r="J27" i="22"/>
  <c r="I27" i="22"/>
  <c r="H27" i="22"/>
  <c r="M26" i="22"/>
  <c r="L26" i="22"/>
  <c r="J26" i="22"/>
  <c r="I26" i="22"/>
  <c r="H26" i="22"/>
  <c r="M25" i="22"/>
  <c r="N25" i="22" s="1"/>
  <c r="L25" i="22"/>
  <c r="J25" i="22"/>
  <c r="I25" i="22"/>
  <c r="H25" i="22"/>
  <c r="M24" i="22"/>
  <c r="L24" i="22"/>
  <c r="J24" i="22"/>
  <c r="I24" i="22"/>
  <c r="H24" i="22"/>
  <c r="M23" i="22"/>
  <c r="L23" i="22"/>
  <c r="N23" i="22" s="1"/>
  <c r="J23" i="22"/>
  <c r="I23" i="22"/>
  <c r="H23" i="22"/>
  <c r="M22" i="22"/>
  <c r="L22" i="22"/>
  <c r="J22" i="22"/>
  <c r="I22" i="22"/>
  <c r="H22" i="22"/>
  <c r="M21" i="22"/>
  <c r="L21" i="22"/>
  <c r="N21" i="22" s="1"/>
  <c r="J21" i="22"/>
  <c r="I21" i="22"/>
  <c r="H21" i="22"/>
  <c r="M20" i="22"/>
  <c r="L20" i="22"/>
  <c r="N20" i="22" s="1"/>
  <c r="J20" i="22"/>
  <c r="I20" i="22"/>
  <c r="H20" i="22"/>
  <c r="C15" i="22"/>
  <c r="AC11" i="22"/>
  <c r="M8" i="22"/>
  <c r="L8" i="22"/>
  <c r="K8" i="22"/>
  <c r="J8" i="22"/>
  <c r="I8" i="22"/>
  <c r="H8" i="22"/>
  <c r="G8" i="22"/>
  <c r="CM421" i="5"/>
  <c r="CL421" i="5"/>
  <c r="CK421" i="5"/>
  <c r="CJ421" i="5"/>
  <c r="CI421" i="5"/>
  <c r="CH421" i="5"/>
  <c r="CG421" i="5"/>
  <c r="CF421" i="5"/>
  <c r="CE421" i="5"/>
  <c r="CD421" i="5"/>
  <c r="CC421" i="5"/>
  <c r="CB421" i="5"/>
  <c r="CA421" i="5"/>
  <c r="BZ421" i="5"/>
  <c r="BY421" i="5"/>
  <c r="BX421" i="5"/>
  <c r="BW421" i="5"/>
  <c r="BV421" i="5"/>
  <c r="BU421" i="5"/>
  <c r="BT421" i="5"/>
  <c r="BS421" i="5"/>
  <c r="BR421" i="5"/>
  <c r="BQ421" i="5"/>
  <c r="BP421" i="5"/>
  <c r="BO421" i="5"/>
  <c r="BN421" i="5"/>
  <c r="BM421" i="5"/>
  <c r="BL421" i="5"/>
  <c r="BK421" i="5"/>
  <c r="BJ421" i="5"/>
  <c r="BI421" i="5"/>
  <c r="BH421" i="5"/>
  <c r="BG421" i="5"/>
  <c r="BF421" i="5"/>
  <c r="BE421" i="5"/>
  <c r="BD421" i="5"/>
  <c r="BC421" i="5"/>
  <c r="BB421" i="5"/>
  <c r="BA421" i="5"/>
  <c r="AZ421" i="5"/>
  <c r="AY421" i="5"/>
  <c r="AX421" i="5"/>
  <c r="AW421" i="5"/>
  <c r="AV421" i="5"/>
  <c r="AU421" i="5"/>
  <c r="AT421" i="5"/>
  <c r="AS421" i="5"/>
  <c r="A108" i="10"/>
  <c r="K101" i="10"/>
  <c r="J101" i="10"/>
  <c r="I101" i="10"/>
  <c r="H101" i="10"/>
  <c r="G101" i="10"/>
  <c r="F101" i="10"/>
  <c r="E101" i="10"/>
  <c r="C80" i="21"/>
  <c r="J79" i="21"/>
  <c r="J78" i="21"/>
  <c r="J77" i="21"/>
  <c r="C75" i="21"/>
  <c r="I74" i="21"/>
  <c r="J74" i="21" s="1"/>
  <c r="E73" i="21"/>
  <c r="E72" i="21"/>
  <c r="I71" i="21"/>
  <c r="J71" i="21" s="1"/>
  <c r="J70" i="21"/>
  <c r="C67" i="21"/>
  <c r="J66" i="21"/>
  <c r="I66" i="21"/>
  <c r="H66" i="21"/>
  <c r="G66" i="21"/>
  <c r="N64" i="21"/>
  <c r="J64" i="21"/>
  <c r="N63" i="21"/>
  <c r="H63" i="21"/>
  <c r="G63" i="21" s="1"/>
  <c r="I63" i="21" s="1"/>
  <c r="N62" i="21"/>
  <c r="J62" i="21"/>
  <c r="C60" i="21"/>
  <c r="N59" i="21"/>
  <c r="J59" i="21"/>
  <c r="N58" i="21"/>
  <c r="J58" i="21"/>
  <c r="C56" i="21"/>
  <c r="N55" i="21"/>
  <c r="J55" i="21"/>
  <c r="J54" i="21"/>
  <c r="F51" i="21"/>
  <c r="F52" i="21" s="1"/>
  <c r="F56" i="21" s="1"/>
  <c r="F60" i="21" s="1"/>
  <c r="E51" i="21"/>
  <c r="C51" i="21"/>
  <c r="M50" i="21"/>
  <c r="L50" i="21"/>
  <c r="K50" i="21"/>
  <c r="J50" i="21"/>
  <c r="I50" i="21"/>
  <c r="H50" i="21"/>
  <c r="G50" i="21"/>
  <c r="C40" i="21"/>
  <c r="M39" i="21"/>
  <c r="L39" i="21"/>
  <c r="H39" i="21"/>
  <c r="F39" i="21"/>
  <c r="C39" i="21"/>
  <c r="C38" i="21"/>
  <c r="M35" i="21"/>
  <c r="L35" i="21"/>
  <c r="J35" i="21"/>
  <c r="I35" i="21"/>
  <c r="H35" i="21"/>
  <c r="M34" i="21"/>
  <c r="L34" i="21"/>
  <c r="J34" i="21"/>
  <c r="I34" i="21"/>
  <c r="H34" i="21"/>
  <c r="M33" i="21"/>
  <c r="L33" i="21"/>
  <c r="N33" i="21" s="1"/>
  <c r="J33" i="21"/>
  <c r="I33" i="21"/>
  <c r="H33" i="21"/>
  <c r="M32" i="21"/>
  <c r="L32" i="21"/>
  <c r="N32" i="21" s="1"/>
  <c r="J32" i="21"/>
  <c r="I32" i="21"/>
  <c r="H32" i="21"/>
  <c r="N30" i="21"/>
  <c r="M30" i="21"/>
  <c r="L30" i="21"/>
  <c r="J30" i="21"/>
  <c r="I30" i="21"/>
  <c r="H30" i="21"/>
  <c r="M29" i="21"/>
  <c r="L29" i="21"/>
  <c r="N29" i="21" s="1"/>
  <c r="J29" i="21"/>
  <c r="I29" i="21"/>
  <c r="H29" i="21"/>
  <c r="M28" i="21"/>
  <c r="L28" i="21"/>
  <c r="N28" i="21" s="1"/>
  <c r="J28" i="21"/>
  <c r="I28" i="21"/>
  <c r="H28" i="21"/>
  <c r="M27" i="21"/>
  <c r="L27" i="21"/>
  <c r="J27" i="21"/>
  <c r="I27" i="21"/>
  <c r="H27" i="21"/>
  <c r="M26" i="21"/>
  <c r="L26" i="21"/>
  <c r="J26" i="21"/>
  <c r="I26" i="21"/>
  <c r="H26" i="21"/>
  <c r="M25" i="21"/>
  <c r="L25" i="21"/>
  <c r="J25" i="21"/>
  <c r="I25" i="21"/>
  <c r="H25" i="21"/>
  <c r="M24" i="21"/>
  <c r="L24" i="21"/>
  <c r="J24" i="21"/>
  <c r="I24" i="21"/>
  <c r="H24" i="21"/>
  <c r="M23" i="21"/>
  <c r="L23" i="21"/>
  <c r="J23" i="21"/>
  <c r="I23" i="21"/>
  <c r="H23" i="21"/>
  <c r="M22" i="21"/>
  <c r="L22" i="21"/>
  <c r="J22" i="21"/>
  <c r="I22" i="21"/>
  <c r="H22" i="21"/>
  <c r="M21" i="21"/>
  <c r="L21" i="21"/>
  <c r="J21" i="21"/>
  <c r="I21" i="21"/>
  <c r="H21" i="21"/>
  <c r="M20" i="21"/>
  <c r="L20" i="21"/>
  <c r="N20" i="21" s="1"/>
  <c r="J20" i="21"/>
  <c r="I20" i="21"/>
  <c r="H20" i="21"/>
  <c r="C15" i="21"/>
  <c r="AC11" i="21"/>
  <c r="M8" i="21"/>
  <c r="L8" i="21"/>
  <c r="K8" i="21"/>
  <c r="J8" i="21"/>
  <c r="I8" i="21"/>
  <c r="H8" i="21"/>
  <c r="G8" i="21"/>
  <c r="CM416" i="5"/>
  <c r="CL416" i="5"/>
  <c r="CK416" i="5"/>
  <c r="CJ416" i="5"/>
  <c r="CI416" i="5"/>
  <c r="CH416" i="5"/>
  <c r="CG416" i="5"/>
  <c r="CF416" i="5"/>
  <c r="CE416" i="5"/>
  <c r="CD416" i="5"/>
  <c r="CC416" i="5"/>
  <c r="CB416" i="5"/>
  <c r="CA416" i="5"/>
  <c r="BZ416" i="5"/>
  <c r="BY416" i="5"/>
  <c r="BX416" i="5"/>
  <c r="BW416" i="5"/>
  <c r="BV416" i="5"/>
  <c r="BU416" i="5"/>
  <c r="BT416" i="5"/>
  <c r="BS416" i="5"/>
  <c r="BR416" i="5"/>
  <c r="BQ416" i="5"/>
  <c r="BP416" i="5"/>
  <c r="BO416" i="5"/>
  <c r="BN416" i="5"/>
  <c r="BM416" i="5"/>
  <c r="BL416" i="5"/>
  <c r="BK416" i="5"/>
  <c r="BJ416" i="5"/>
  <c r="BI416" i="5"/>
  <c r="BH416" i="5"/>
  <c r="BG416" i="5"/>
  <c r="BF416" i="5"/>
  <c r="BE416" i="5"/>
  <c r="BD416" i="5"/>
  <c r="BC416" i="5"/>
  <c r="BB416" i="5"/>
  <c r="BA416" i="5"/>
  <c r="AZ416" i="5"/>
  <c r="AY416" i="5"/>
  <c r="AX416" i="5"/>
  <c r="AW416" i="5"/>
  <c r="AV416" i="5"/>
  <c r="AU416" i="5"/>
  <c r="AT416" i="5"/>
  <c r="AS416" i="5"/>
  <c r="A97" i="10"/>
  <c r="K90" i="10"/>
  <c r="J90" i="10"/>
  <c r="I90" i="10"/>
  <c r="H90" i="10"/>
  <c r="G90" i="10"/>
  <c r="F90" i="10"/>
  <c r="E90" i="10"/>
  <c r="C80" i="20"/>
  <c r="J79" i="20"/>
  <c r="J78" i="20"/>
  <c r="J77" i="20"/>
  <c r="C75" i="20"/>
  <c r="I74" i="20"/>
  <c r="J74" i="20" s="1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G63" i="20" s="1"/>
  <c r="I63" i="20" s="1"/>
  <c r="N62" i="20"/>
  <c r="J62" i="20"/>
  <c r="C60" i="20"/>
  <c r="N59" i="20"/>
  <c r="J59" i="20"/>
  <c r="N58" i="20"/>
  <c r="J58" i="20"/>
  <c r="C56" i="20"/>
  <c r="N55" i="20"/>
  <c r="J55" i="20"/>
  <c r="J54" i="20"/>
  <c r="F51" i="20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M35" i="20"/>
  <c r="L35" i="20"/>
  <c r="J35" i="20"/>
  <c r="I35" i="20"/>
  <c r="H35" i="20"/>
  <c r="M34" i="20"/>
  <c r="L34" i="20"/>
  <c r="J34" i="20"/>
  <c r="I34" i="20"/>
  <c r="H34" i="20"/>
  <c r="M33" i="20"/>
  <c r="L33" i="20"/>
  <c r="J33" i="20"/>
  <c r="I33" i="20"/>
  <c r="H33" i="20"/>
  <c r="M32" i="20"/>
  <c r="L32" i="20"/>
  <c r="N32" i="20" s="1"/>
  <c r="J32" i="20"/>
  <c r="I32" i="20"/>
  <c r="H32" i="20"/>
  <c r="M30" i="20"/>
  <c r="L30" i="20"/>
  <c r="N30" i="20" s="1"/>
  <c r="J30" i="20"/>
  <c r="I30" i="20"/>
  <c r="H30" i="20"/>
  <c r="M29" i="20"/>
  <c r="L29" i="20"/>
  <c r="J29" i="20"/>
  <c r="I29" i="20"/>
  <c r="H29" i="20"/>
  <c r="M28" i="20"/>
  <c r="L28" i="20"/>
  <c r="J28" i="20"/>
  <c r="I28" i="20"/>
  <c r="H28" i="20"/>
  <c r="M27" i="20"/>
  <c r="L27" i="20"/>
  <c r="N27" i="20" s="1"/>
  <c r="J27" i="20"/>
  <c r="I27" i="20"/>
  <c r="H27" i="20"/>
  <c r="M26" i="20"/>
  <c r="L26" i="20"/>
  <c r="N26" i="20" s="1"/>
  <c r="J26" i="20"/>
  <c r="I26" i="20"/>
  <c r="H26" i="20"/>
  <c r="M25" i="20"/>
  <c r="L25" i="20"/>
  <c r="J25" i="20"/>
  <c r="I25" i="20"/>
  <c r="H25" i="20"/>
  <c r="M24" i="20"/>
  <c r="L24" i="20"/>
  <c r="J24" i="20"/>
  <c r="I24" i="20"/>
  <c r="H24" i="20"/>
  <c r="M23" i="20"/>
  <c r="L23" i="20"/>
  <c r="J23" i="20"/>
  <c r="I23" i="20"/>
  <c r="H23" i="20"/>
  <c r="M22" i="20"/>
  <c r="L22" i="20"/>
  <c r="J22" i="20"/>
  <c r="I22" i="20"/>
  <c r="H22" i="20"/>
  <c r="M21" i="20"/>
  <c r="L21" i="20"/>
  <c r="J21" i="20"/>
  <c r="I21" i="20"/>
  <c r="H21" i="20"/>
  <c r="M20" i="20"/>
  <c r="L20" i="20"/>
  <c r="J20" i="20"/>
  <c r="I20" i="20"/>
  <c r="H20" i="20"/>
  <c r="C15" i="20"/>
  <c r="AC11" i="20"/>
  <c r="M8" i="20"/>
  <c r="L8" i="20"/>
  <c r="K8" i="20"/>
  <c r="J8" i="20"/>
  <c r="I8" i="20"/>
  <c r="H8" i="20"/>
  <c r="G8" i="20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N35" i="19" s="1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J30" i="19"/>
  <c r="I30" i="19"/>
  <c r="H30" i="19"/>
  <c r="M29" i="19"/>
  <c r="L29" i="19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CM411" i="5"/>
  <c r="CL411" i="5"/>
  <c r="CK411" i="5"/>
  <c r="CJ411" i="5"/>
  <c r="CI411" i="5"/>
  <c r="CH411" i="5"/>
  <c r="CG411" i="5"/>
  <c r="CF411" i="5"/>
  <c r="CE411" i="5"/>
  <c r="CD411" i="5"/>
  <c r="CC411" i="5"/>
  <c r="CB411" i="5"/>
  <c r="CA411" i="5"/>
  <c r="BZ411" i="5"/>
  <c r="BY411" i="5"/>
  <c r="BX411" i="5"/>
  <c r="BW411" i="5"/>
  <c r="BV411" i="5"/>
  <c r="BU411" i="5"/>
  <c r="BT411" i="5"/>
  <c r="BS411" i="5"/>
  <c r="BR411" i="5"/>
  <c r="BQ411" i="5"/>
  <c r="BP411" i="5"/>
  <c r="BO411" i="5"/>
  <c r="BN411" i="5"/>
  <c r="BM411" i="5"/>
  <c r="BL411" i="5"/>
  <c r="BK411" i="5"/>
  <c r="BJ411" i="5"/>
  <c r="BI411" i="5"/>
  <c r="BH411" i="5"/>
  <c r="BG411" i="5"/>
  <c r="BF411" i="5"/>
  <c r="BE411" i="5"/>
  <c r="BD411" i="5"/>
  <c r="BC411" i="5"/>
  <c r="BB411" i="5"/>
  <c r="BA411" i="5"/>
  <c r="AZ411" i="5"/>
  <c r="AY411" i="5"/>
  <c r="AX411" i="5"/>
  <c r="AW411" i="5"/>
  <c r="AV411" i="5"/>
  <c r="AU411" i="5"/>
  <c r="AT411" i="5"/>
  <c r="AS411" i="5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F52" i="18" s="1"/>
  <c r="F56" i="18" s="1"/>
  <c r="F60" i="18" s="1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CM404" i="5"/>
  <c r="CL404" i="5"/>
  <c r="CK404" i="5"/>
  <c r="CJ404" i="5"/>
  <c r="CI404" i="5"/>
  <c r="CH404" i="5"/>
  <c r="CG404" i="5"/>
  <c r="CF404" i="5"/>
  <c r="CE404" i="5"/>
  <c r="CD404" i="5"/>
  <c r="CC404" i="5"/>
  <c r="CB404" i="5"/>
  <c r="CA404" i="5"/>
  <c r="BZ404" i="5"/>
  <c r="BY404" i="5"/>
  <c r="BX404" i="5"/>
  <c r="BW404" i="5"/>
  <c r="BV404" i="5"/>
  <c r="BU404" i="5"/>
  <c r="BT404" i="5"/>
  <c r="BS404" i="5"/>
  <c r="BR404" i="5"/>
  <c r="BQ404" i="5"/>
  <c r="BP404" i="5"/>
  <c r="BO404" i="5"/>
  <c r="BN404" i="5"/>
  <c r="BM404" i="5"/>
  <c r="BL404" i="5"/>
  <c r="BK404" i="5"/>
  <c r="BJ404" i="5"/>
  <c r="BI404" i="5"/>
  <c r="BH404" i="5"/>
  <c r="BG404" i="5"/>
  <c r="BF404" i="5"/>
  <c r="BE404" i="5"/>
  <c r="BD404" i="5"/>
  <c r="BC404" i="5"/>
  <c r="BB404" i="5"/>
  <c r="BA404" i="5"/>
  <c r="AZ404" i="5"/>
  <c r="AY404" i="5"/>
  <c r="AX404" i="5"/>
  <c r="AW404" i="5"/>
  <c r="AV404" i="5"/>
  <c r="AU404" i="5"/>
  <c r="AT404" i="5"/>
  <c r="AS404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401" i="5"/>
  <c r="CL401" i="5"/>
  <c r="CK401" i="5"/>
  <c r="CJ401" i="5"/>
  <c r="CI401" i="5"/>
  <c r="CH401" i="5"/>
  <c r="CG401" i="5"/>
  <c r="CF401" i="5"/>
  <c r="CE401" i="5"/>
  <c r="CD401" i="5"/>
  <c r="CC401" i="5"/>
  <c r="CB401" i="5"/>
  <c r="CA401" i="5"/>
  <c r="BZ401" i="5"/>
  <c r="BY401" i="5"/>
  <c r="BX401" i="5"/>
  <c r="BW401" i="5"/>
  <c r="BV401" i="5"/>
  <c r="BU401" i="5"/>
  <c r="BT401" i="5"/>
  <c r="BS401" i="5"/>
  <c r="BR401" i="5"/>
  <c r="BQ401" i="5"/>
  <c r="BP401" i="5"/>
  <c r="BO401" i="5"/>
  <c r="BN401" i="5"/>
  <c r="BM401" i="5"/>
  <c r="BL401" i="5"/>
  <c r="BK401" i="5"/>
  <c r="BJ401" i="5"/>
  <c r="BI401" i="5"/>
  <c r="BH401" i="5"/>
  <c r="BG401" i="5"/>
  <c r="BF401" i="5"/>
  <c r="BE401" i="5"/>
  <c r="BD401" i="5"/>
  <c r="BC401" i="5"/>
  <c r="BB401" i="5"/>
  <c r="BA401" i="5"/>
  <c r="AZ401" i="5"/>
  <c r="AY401" i="5"/>
  <c r="AX401" i="5"/>
  <c r="AW401" i="5"/>
  <c r="AV401" i="5"/>
  <c r="AU401" i="5"/>
  <c r="AT401" i="5"/>
  <c r="AS401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0" i="5"/>
  <c r="CN361" i="5"/>
  <c r="CN362" i="5"/>
  <c r="CN363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356" i="5"/>
  <c r="CL357" i="5"/>
  <c r="CL358" i="5"/>
  <c r="CL359" i="5"/>
  <c r="CL360" i="5"/>
  <c r="CL361" i="5"/>
  <c r="CL362" i="5"/>
  <c r="CL363" i="5"/>
  <c r="CL364" i="5"/>
  <c r="CL365" i="5"/>
  <c r="CL366" i="5"/>
  <c r="CL367" i="5"/>
  <c r="CL368" i="5"/>
  <c r="CL369" i="5"/>
  <c r="CL370" i="5"/>
  <c r="CL371" i="5"/>
  <c r="CL372" i="5"/>
  <c r="CL373" i="5"/>
  <c r="CL374" i="5"/>
  <c r="CL375" i="5"/>
  <c r="CL376" i="5"/>
  <c r="CL377" i="5"/>
  <c r="CL378" i="5"/>
  <c r="CL379" i="5"/>
  <c r="CL380" i="5"/>
  <c r="CL381" i="5"/>
  <c r="CL382" i="5"/>
  <c r="CL383" i="5"/>
  <c r="CL384" i="5"/>
  <c r="CL385" i="5"/>
  <c r="CL386" i="5"/>
  <c r="CL387" i="5"/>
  <c r="CL388" i="5"/>
  <c r="CL389" i="5"/>
  <c r="CL390" i="5"/>
  <c r="CL391" i="5"/>
  <c r="CL2" i="5"/>
  <c r="AW391" i="5"/>
  <c r="AW390" i="5"/>
  <c r="AW389" i="5"/>
  <c r="AW388" i="5"/>
  <c r="AW387" i="5"/>
  <c r="AW386" i="5"/>
  <c r="AW385" i="5"/>
  <c r="AW384" i="5"/>
  <c r="AW383" i="5"/>
  <c r="AW382" i="5"/>
  <c r="AW381" i="5"/>
  <c r="AW380" i="5"/>
  <c r="AW379" i="5"/>
  <c r="AW378" i="5"/>
  <c r="AW377" i="5"/>
  <c r="AW376" i="5"/>
  <c r="AW375" i="5"/>
  <c r="AW374" i="5"/>
  <c r="AW373" i="5"/>
  <c r="AW372" i="5"/>
  <c r="AW371" i="5"/>
  <c r="AW370" i="5"/>
  <c r="AW369" i="5"/>
  <c r="AW368" i="5"/>
  <c r="AW367" i="5"/>
  <c r="AW366" i="5"/>
  <c r="AW365" i="5"/>
  <c r="AW364" i="5"/>
  <c r="AW363" i="5"/>
  <c r="AW362" i="5"/>
  <c r="AW361" i="5"/>
  <c r="AW360" i="5"/>
  <c r="AW359" i="5"/>
  <c r="AW358" i="5"/>
  <c r="AW357" i="5"/>
  <c r="AW356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X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X133" i="5" s="1"/>
  <c r="AS134" i="5"/>
  <c r="AX134" i="5" s="1"/>
  <c r="AS135" i="5"/>
  <c r="AX135" i="5" s="1"/>
  <c r="AS136" i="5"/>
  <c r="AX136" i="5" s="1"/>
  <c r="AS137" i="5"/>
  <c r="AX137" i="5" s="1"/>
  <c r="AS138" i="5"/>
  <c r="AX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X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X175" i="5" s="1"/>
  <c r="AS176" i="5"/>
  <c r="AX176" i="5" s="1"/>
  <c r="AS177" i="5"/>
  <c r="AX177" i="5" s="1"/>
  <c r="AS178" i="5"/>
  <c r="AX178" i="5" s="1"/>
  <c r="AS179" i="5"/>
  <c r="AX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X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X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X197" i="5" s="1"/>
  <c r="AS198" i="5"/>
  <c r="AX198" i="5" s="1"/>
  <c r="AS199" i="5"/>
  <c r="AX199" i="5" s="1"/>
  <c r="AS200" i="5"/>
  <c r="AX200" i="5" s="1"/>
  <c r="AS201" i="5"/>
  <c r="AX201" i="5" s="1"/>
  <c r="AS202" i="5"/>
  <c r="AX202" i="5" s="1"/>
  <c r="AS203" i="5"/>
  <c r="AX203" i="5" s="1"/>
  <c r="AS204" i="5"/>
  <c r="AX204" i="5" s="1"/>
  <c r="AS205" i="5"/>
  <c r="AX205" i="5" s="1"/>
  <c r="AS206" i="5"/>
  <c r="AX206" i="5" s="1"/>
  <c r="AS207" i="5"/>
  <c r="AX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X218" i="5" s="1"/>
  <c r="AS219" i="5"/>
  <c r="AX219" i="5" s="1"/>
  <c r="AS220" i="5"/>
  <c r="AX220" i="5" s="1"/>
  <c r="AS221" i="5"/>
  <c r="AX221" i="5" s="1"/>
  <c r="AS222" i="5"/>
  <c r="AX222" i="5" s="1"/>
  <c r="AS223" i="5"/>
  <c r="AX223" i="5" s="1"/>
  <c r="AS224" i="5"/>
  <c r="AX224" i="5" s="1"/>
  <c r="AS225" i="5"/>
  <c r="AX225" i="5" s="1"/>
  <c r="AS226" i="5"/>
  <c r="AX226" i="5" s="1"/>
  <c r="AS227" i="5"/>
  <c r="AX227" i="5" s="1"/>
  <c r="AS228" i="5"/>
  <c r="AX228" i="5" s="1"/>
  <c r="AS229" i="5"/>
  <c r="AX229" i="5" s="1"/>
  <c r="AS230" i="5"/>
  <c r="AX230" i="5" s="1"/>
  <c r="AS231" i="5"/>
  <c r="AX231" i="5" s="1"/>
  <c r="AS232" i="5"/>
  <c r="AX232" i="5" s="1"/>
  <c r="AS233" i="5"/>
  <c r="AX233" i="5" s="1"/>
  <c r="AS234" i="5"/>
  <c r="AX234" i="5" s="1"/>
  <c r="AS235" i="5"/>
  <c r="AX235" i="5" s="1"/>
  <c r="AS236" i="5"/>
  <c r="AX236" i="5" s="1"/>
  <c r="AS237" i="5"/>
  <c r="AX237" i="5" s="1"/>
  <c r="AS238" i="5"/>
  <c r="AX238" i="5" s="1"/>
  <c r="AS239" i="5"/>
  <c r="AX239" i="5" s="1"/>
  <c r="AS240" i="5"/>
  <c r="AX240" i="5" s="1"/>
  <c r="AS241" i="5"/>
  <c r="AX241" i="5" s="1"/>
  <c r="AS242" i="5"/>
  <c r="AX242" i="5" s="1"/>
  <c r="AS243" i="5"/>
  <c r="AX243" i="5" s="1"/>
  <c r="AS244" i="5"/>
  <c r="AX244" i="5" s="1"/>
  <c r="AS245" i="5"/>
  <c r="AX245" i="5" s="1"/>
  <c r="AS246" i="5"/>
  <c r="AX246" i="5" s="1"/>
  <c r="AS247" i="5"/>
  <c r="AX247" i="5" s="1"/>
  <c r="AS248" i="5"/>
  <c r="AX248" i="5" s="1"/>
  <c r="AS249" i="5"/>
  <c r="AX249" i="5" s="1"/>
  <c r="AS250" i="5"/>
  <c r="AX250" i="5" s="1"/>
  <c r="AS251" i="5"/>
  <c r="AX251" i="5" s="1"/>
  <c r="AS252" i="5"/>
  <c r="AX252" i="5" s="1"/>
  <c r="AS253" i="5"/>
  <c r="AX253" i="5" s="1"/>
  <c r="AS254" i="5"/>
  <c r="AX254" i="5" s="1"/>
  <c r="AS255" i="5"/>
  <c r="AX255" i="5" s="1"/>
  <c r="AS256" i="5"/>
  <c r="AX256" i="5" s="1"/>
  <c r="AS257" i="5"/>
  <c r="AX257" i="5" s="1"/>
  <c r="AS258" i="5"/>
  <c r="AX258" i="5" s="1"/>
  <c r="AS259" i="5"/>
  <c r="AX259" i="5" s="1"/>
  <c r="AS260" i="5"/>
  <c r="AX260" i="5" s="1"/>
  <c r="AS261" i="5"/>
  <c r="AX261" i="5" s="1"/>
  <c r="AS262" i="5"/>
  <c r="AX262" i="5" s="1"/>
  <c r="AS263" i="5"/>
  <c r="AX263" i="5" s="1"/>
  <c r="AS264" i="5"/>
  <c r="AX264" i="5" s="1"/>
  <c r="AS265" i="5"/>
  <c r="AX265" i="5" s="1"/>
  <c r="AS266" i="5"/>
  <c r="AX266" i="5" s="1"/>
  <c r="AS267" i="5"/>
  <c r="AX267" i="5" s="1"/>
  <c r="AS268" i="5"/>
  <c r="AX268" i="5" s="1"/>
  <c r="AS269" i="5"/>
  <c r="AX269" i="5" s="1"/>
  <c r="AS270" i="5"/>
  <c r="AX270" i="5" s="1"/>
  <c r="AS271" i="5"/>
  <c r="AX271" i="5" s="1"/>
  <c r="AS272" i="5"/>
  <c r="AX272" i="5" s="1"/>
  <c r="AS273" i="5"/>
  <c r="AX273" i="5" s="1"/>
  <c r="AS274" i="5"/>
  <c r="AX274" i="5" s="1"/>
  <c r="AS275" i="5"/>
  <c r="AX275" i="5" s="1"/>
  <c r="AS276" i="5"/>
  <c r="AX276" i="5" s="1"/>
  <c r="AS277" i="5"/>
  <c r="AX277" i="5" s="1"/>
  <c r="AS278" i="5"/>
  <c r="AX278" i="5" s="1"/>
  <c r="AS279" i="5"/>
  <c r="AX279" i="5" s="1"/>
  <c r="AS280" i="5"/>
  <c r="AX280" i="5" s="1"/>
  <c r="AS281" i="5"/>
  <c r="AX281" i="5" s="1"/>
  <c r="AS282" i="5"/>
  <c r="AX282" i="5" s="1"/>
  <c r="AS283" i="5"/>
  <c r="AX283" i="5" s="1"/>
  <c r="AS284" i="5"/>
  <c r="AX284" i="5" s="1"/>
  <c r="AS285" i="5"/>
  <c r="AX285" i="5" s="1"/>
  <c r="AS286" i="5"/>
  <c r="AX286" i="5" s="1"/>
  <c r="AS287" i="5"/>
  <c r="AX287" i="5" s="1"/>
  <c r="AS288" i="5"/>
  <c r="AX288" i="5" s="1"/>
  <c r="AS289" i="5"/>
  <c r="AX289" i="5" s="1"/>
  <c r="AS290" i="5"/>
  <c r="AX290" i="5" s="1"/>
  <c r="AS291" i="5"/>
  <c r="AX291" i="5" s="1"/>
  <c r="AS292" i="5"/>
  <c r="AX292" i="5" s="1"/>
  <c r="AS293" i="5"/>
  <c r="AX293" i="5" s="1"/>
  <c r="AS294" i="5"/>
  <c r="AX294" i="5" s="1"/>
  <c r="AS295" i="5"/>
  <c r="AX295" i="5" s="1"/>
  <c r="AS296" i="5"/>
  <c r="AX296" i="5" s="1"/>
  <c r="AS297" i="5"/>
  <c r="AX297" i="5" s="1"/>
  <c r="AS298" i="5"/>
  <c r="AX298" i="5" s="1"/>
  <c r="AS299" i="5"/>
  <c r="AX299" i="5" s="1"/>
  <c r="AS300" i="5"/>
  <c r="AX300" i="5" s="1"/>
  <c r="AS301" i="5"/>
  <c r="AX301" i="5" s="1"/>
  <c r="AS302" i="5"/>
  <c r="AX302" i="5" s="1"/>
  <c r="AS303" i="5"/>
  <c r="AX303" i="5" s="1"/>
  <c r="AS304" i="5"/>
  <c r="AX304" i="5" s="1"/>
  <c r="AS305" i="5"/>
  <c r="AX305" i="5" s="1"/>
  <c r="AS306" i="5"/>
  <c r="AX306" i="5" s="1"/>
  <c r="AS307" i="5"/>
  <c r="AX307" i="5" s="1"/>
  <c r="AS308" i="5"/>
  <c r="AX308" i="5" s="1"/>
  <c r="AS309" i="5"/>
  <c r="AX309" i="5" s="1"/>
  <c r="AS310" i="5"/>
  <c r="AX310" i="5" s="1"/>
  <c r="AS311" i="5"/>
  <c r="AX311" i="5" s="1"/>
  <c r="AS312" i="5"/>
  <c r="AX312" i="5" s="1"/>
  <c r="AS313" i="5"/>
  <c r="AX313" i="5" s="1"/>
  <c r="AS314" i="5"/>
  <c r="AX314" i="5" s="1"/>
  <c r="AS315" i="5"/>
  <c r="AX315" i="5" s="1"/>
  <c r="AS316" i="5"/>
  <c r="AX316" i="5" s="1"/>
  <c r="AS317" i="5"/>
  <c r="AX317" i="5" s="1"/>
  <c r="AS318" i="5"/>
  <c r="AX318" i="5" s="1"/>
  <c r="AS319" i="5"/>
  <c r="AX319" i="5" s="1"/>
  <c r="AS320" i="5"/>
  <c r="AX320" i="5" s="1"/>
  <c r="AS321" i="5"/>
  <c r="AX321" i="5" s="1"/>
  <c r="AS322" i="5"/>
  <c r="AX322" i="5" s="1"/>
  <c r="AS323" i="5"/>
  <c r="AX323" i="5" s="1"/>
  <c r="AS324" i="5"/>
  <c r="AX324" i="5" s="1"/>
  <c r="AS325" i="5"/>
  <c r="AX325" i="5" s="1"/>
  <c r="AS326" i="5"/>
  <c r="AX326" i="5" s="1"/>
  <c r="AS327" i="5"/>
  <c r="AX327" i="5" s="1"/>
  <c r="AS328" i="5"/>
  <c r="AX328" i="5" s="1"/>
  <c r="AS329" i="5"/>
  <c r="AX329" i="5" s="1"/>
  <c r="AS330" i="5"/>
  <c r="AX330" i="5" s="1"/>
  <c r="AS331" i="5"/>
  <c r="AX331" i="5" s="1"/>
  <c r="AS332" i="5"/>
  <c r="AX332" i="5" s="1"/>
  <c r="AS333" i="5"/>
  <c r="AX333" i="5" s="1"/>
  <c r="AS334" i="5"/>
  <c r="AX334" i="5" s="1"/>
  <c r="AS335" i="5"/>
  <c r="AX335" i="5" s="1"/>
  <c r="AS336" i="5"/>
  <c r="AX336" i="5" s="1"/>
  <c r="AS337" i="5"/>
  <c r="AX337" i="5" s="1"/>
  <c r="AS338" i="5"/>
  <c r="AX338" i="5" s="1"/>
  <c r="AS339" i="5"/>
  <c r="AX339" i="5" s="1"/>
  <c r="AS340" i="5"/>
  <c r="AX340" i="5" s="1"/>
  <c r="AS341" i="5"/>
  <c r="AX341" i="5" s="1"/>
  <c r="AS342" i="5"/>
  <c r="AX342" i="5" s="1"/>
  <c r="AS343" i="5"/>
  <c r="AX343" i="5" s="1"/>
  <c r="AS344" i="5"/>
  <c r="AX344" i="5" s="1"/>
  <c r="AS345" i="5"/>
  <c r="AX345" i="5" s="1"/>
  <c r="AS346" i="5"/>
  <c r="AX346" i="5" s="1"/>
  <c r="AS347" i="5"/>
  <c r="AX347" i="5" s="1"/>
  <c r="AS348" i="5"/>
  <c r="AX348" i="5" s="1"/>
  <c r="AS349" i="5"/>
  <c r="AX349" i="5" s="1"/>
  <c r="AS350" i="5"/>
  <c r="AX350" i="5" s="1"/>
  <c r="AS351" i="5"/>
  <c r="AX351" i="5" s="1"/>
  <c r="AS352" i="5"/>
  <c r="AX352" i="5" s="1"/>
  <c r="AS353" i="5"/>
  <c r="AX353" i="5" s="1"/>
  <c r="AS354" i="5"/>
  <c r="AX354" i="5" s="1"/>
  <c r="AS355" i="5"/>
  <c r="AX355" i="5" s="1"/>
  <c r="AS356" i="5"/>
  <c r="AX356" i="5" s="1"/>
  <c r="AS357" i="5"/>
  <c r="AX357" i="5" s="1"/>
  <c r="AS358" i="5"/>
  <c r="AX358" i="5" s="1"/>
  <c r="AS359" i="5"/>
  <c r="AX359" i="5" s="1"/>
  <c r="AS360" i="5"/>
  <c r="AX360" i="5" s="1"/>
  <c r="AS361" i="5"/>
  <c r="AX361" i="5" s="1"/>
  <c r="AS362" i="5"/>
  <c r="AX362" i="5" s="1"/>
  <c r="AS363" i="5"/>
  <c r="AX363" i="5" s="1"/>
  <c r="AS364" i="5"/>
  <c r="AX364" i="5" s="1"/>
  <c r="AS365" i="5"/>
  <c r="AX365" i="5" s="1"/>
  <c r="AS366" i="5"/>
  <c r="AX366" i="5" s="1"/>
  <c r="AS367" i="5"/>
  <c r="AX367" i="5" s="1"/>
  <c r="AS368" i="5"/>
  <c r="AX368" i="5" s="1"/>
  <c r="AS369" i="5"/>
  <c r="AX369" i="5" s="1"/>
  <c r="AS370" i="5"/>
  <c r="AX370" i="5" s="1"/>
  <c r="AS371" i="5"/>
  <c r="AX371" i="5" s="1"/>
  <c r="AS372" i="5"/>
  <c r="AX372" i="5" s="1"/>
  <c r="AS373" i="5"/>
  <c r="AX373" i="5" s="1"/>
  <c r="AS374" i="5"/>
  <c r="AX374" i="5" s="1"/>
  <c r="AS375" i="5"/>
  <c r="AX375" i="5" s="1"/>
  <c r="AS376" i="5"/>
  <c r="AX376" i="5" s="1"/>
  <c r="AS377" i="5"/>
  <c r="AX377" i="5" s="1"/>
  <c r="AS378" i="5"/>
  <c r="AX378" i="5" s="1"/>
  <c r="AS379" i="5"/>
  <c r="AX379" i="5" s="1"/>
  <c r="AS380" i="5"/>
  <c r="AX380" i="5" s="1"/>
  <c r="AS381" i="5"/>
  <c r="AX381" i="5" s="1"/>
  <c r="AS382" i="5"/>
  <c r="AX382" i="5" s="1"/>
  <c r="AS383" i="5"/>
  <c r="AX383" i="5" s="1"/>
  <c r="AS384" i="5"/>
  <c r="AX384" i="5" s="1"/>
  <c r="AS385" i="5"/>
  <c r="AX385" i="5" s="1"/>
  <c r="AS386" i="5"/>
  <c r="AX386" i="5" s="1"/>
  <c r="AS387" i="5"/>
  <c r="AX387" i="5" s="1"/>
  <c r="AS388" i="5"/>
  <c r="AX388" i="5" s="1"/>
  <c r="AS389" i="5"/>
  <c r="AX389" i="5" s="1"/>
  <c r="AS390" i="5"/>
  <c r="AX390" i="5" s="1"/>
  <c r="AS391" i="5"/>
  <c r="AX391" i="5" s="1"/>
  <c r="AS2" i="5"/>
  <c r="AX2" i="5" s="1"/>
  <c r="AT440" i="5" l="1"/>
  <c r="AU440" i="5"/>
  <c r="AT442" i="5"/>
  <c r="AU442" i="5"/>
  <c r="AT443" i="5"/>
  <c r="AT438" i="5"/>
  <c r="AT439" i="5" s="1"/>
  <c r="AU443" i="5"/>
  <c r="BA479" i="5"/>
  <c r="AU478" i="5"/>
  <c r="BA471" i="5"/>
  <c r="AX470" i="5"/>
  <c r="AX467" i="5"/>
  <c r="AU465" i="5"/>
  <c r="AY479" i="5"/>
  <c r="AT478" i="5"/>
  <c r="AY471" i="5"/>
  <c r="AV470" i="5"/>
  <c r="AV467" i="5"/>
  <c r="AT465" i="5"/>
  <c r="AT466" i="5" s="1"/>
  <c r="AX479" i="5"/>
  <c r="BA477" i="5"/>
  <c r="BA475" i="5"/>
  <c r="BA473" i="5"/>
  <c r="AX471" i="5"/>
  <c r="AU470" i="5"/>
  <c r="BA469" i="5"/>
  <c r="AU467" i="5"/>
  <c r="AV479" i="5"/>
  <c r="AY477" i="5"/>
  <c r="AY475" i="5"/>
  <c r="AY473" i="5"/>
  <c r="AV471" i="5"/>
  <c r="AT470" i="5"/>
  <c r="AY469" i="5"/>
  <c r="AT467" i="5"/>
  <c r="AU459" i="5"/>
  <c r="AU455" i="5"/>
  <c r="AU479" i="5"/>
  <c r="BA478" i="5"/>
  <c r="AX477" i="5"/>
  <c r="AX475" i="5"/>
  <c r="AX473" i="5"/>
  <c r="AU471" i="5"/>
  <c r="AX469" i="5"/>
  <c r="BA465" i="5"/>
  <c r="AT459" i="5"/>
  <c r="AT455" i="5"/>
  <c r="AT479" i="5"/>
  <c r="AY478" i="5"/>
  <c r="AV477" i="5"/>
  <c r="AV475" i="5"/>
  <c r="AV473" i="5"/>
  <c r="AT471" i="5"/>
  <c r="AV469" i="5"/>
  <c r="AY465" i="5"/>
  <c r="AU458" i="5"/>
  <c r="AX478" i="5"/>
  <c r="AU477" i="5"/>
  <c r="AU475" i="5"/>
  <c r="AU473" i="5"/>
  <c r="BA470" i="5"/>
  <c r="AU469" i="5"/>
  <c r="BA467" i="5"/>
  <c r="AX465" i="5"/>
  <c r="AT458" i="5"/>
  <c r="AU457" i="5"/>
  <c r="AV478" i="5"/>
  <c r="AT477" i="5"/>
  <c r="AT475" i="5"/>
  <c r="AT473" i="5"/>
  <c r="AY470" i="5"/>
  <c r="AT469" i="5"/>
  <c r="AY467" i="5"/>
  <c r="AV465" i="5"/>
  <c r="AV466" i="5" s="1"/>
  <c r="AT457" i="5"/>
  <c r="AT453" i="5"/>
  <c r="AU446" i="5"/>
  <c r="AU451" i="5"/>
  <c r="AT446" i="5"/>
  <c r="AT451" i="5"/>
  <c r="AU450" i="5"/>
  <c r="AT450" i="5"/>
  <c r="AU449" i="5"/>
  <c r="AU445" i="5"/>
  <c r="AT449" i="5"/>
  <c r="AU448" i="5"/>
  <c r="AT445" i="5"/>
  <c r="AT448" i="5"/>
  <c r="AU453" i="5"/>
  <c r="AU438" i="5"/>
  <c r="AU439" i="5" s="1"/>
  <c r="AX429" i="5"/>
  <c r="AX430" i="5" s="1"/>
  <c r="AW429" i="5"/>
  <c r="AW430" i="5" s="1"/>
  <c r="CM429" i="5"/>
  <c r="CM430" i="5" s="1"/>
  <c r="CL429" i="5"/>
  <c r="CL430" i="5" s="1"/>
  <c r="N39" i="24"/>
  <c r="N26" i="22"/>
  <c r="N29" i="22"/>
  <c r="N33" i="22"/>
  <c r="N26" i="23"/>
  <c r="N21" i="12"/>
  <c r="N22" i="13"/>
  <c r="N23" i="14"/>
  <c r="N32" i="14"/>
  <c r="N27" i="16"/>
  <c r="N20" i="17"/>
  <c r="N28" i="17"/>
  <c r="N29" i="18"/>
  <c r="N27" i="19"/>
  <c r="N20" i="20"/>
  <c r="N26" i="21"/>
  <c r="N28" i="22"/>
  <c r="N25" i="23"/>
  <c r="F52" i="24"/>
  <c r="F56" i="24" s="1"/>
  <c r="F60" i="24" s="1"/>
  <c r="N35" i="21"/>
  <c r="N21" i="23"/>
  <c r="N25" i="21"/>
  <c r="N34" i="23"/>
  <c r="N39" i="23"/>
  <c r="N30" i="22"/>
  <c r="N34" i="22"/>
  <c r="N34" i="20"/>
  <c r="N23" i="21"/>
  <c r="N22" i="22"/>
  <c r="F52" i="23"/>
  <c r="F56" i="23" s="1"/>
  <c r="F60" i="23" s="1"/>
  <c r="N24" i="20"/>
  <c r="N22" i="21"/>
  <c r="N24" i="22"/>
  <c r="AW423" i="5"/>
  <c r="CM423" i="5"/>
  <c r="AW425" i="5"/>
  <c r="AW422" i="5"/>
  <c r="AX427" i="5"/>
  <c r="AX428" i="5" s="1"/>
  <c r="AX424" i="5"/>
  <c r="AW424" i="5"/>
  <c r="AW427" i="5"/>
  <c r="AW428" i="5" s="1"/>
  <c r="CL425" i="5"/>
  <c r="CM422" i="5"/>
  <c r="CL422" i="5"/>
  <c r="CM427" i="5"/>
  <c r="CM428" i="5" s="1"/>
  <c r="CM424" i="5"/>
  <c r="CL423" i="5"/>
  <c r="CL427" i="5"/>
  <c r="CL428" i="5" s="1"/>
  <c r="CL424" i="5"/>
  <c r="AX425" i="5"/>
  <c r="CM425" i="5"/>
  <c r="AX422" i="5"/>
  <c r="AX423" i="5"/>
  <c r="N39" i="22"/>
  <c r="N21" i="20"/>
  <c r="N33" i="20"/>
  <c r="N29" i="20"/>
  <c r="N23" i="20"/>
  <c r="N34" i="21"/>
  <c r="N30" i="17"/>
  <c r="N23" i="18"/>
  <c r="N32" i="18"/>
  <c r="N21" i="19"/>
  <c r="N33" i="19"/>
  <c r="N25" i="20"/>
  <c r="N28" i="20"/>
  <c r="N21" i="21"/>
  <c r="N24" i="21"/>
  <c r="N27" i="21"/>
  <c r="F52" i="22"/>
  <c r="F56" i="22" s="1"/>
  <c r="F60" i="22" s="1"/>
  <c r="AW417" i="5"/>
  <c r="CM417" i="5"/>
  <c r="CM419" i="5"/>
  <c r="AW419" i="5"/>
  <c r="CL419" i="5"/>
  <c r="AX419" i="5"/>
  <c r="AX417" i="5"/>
  <c r="AX418" i="5"/>
  <c r="AW418" i="5"/>
  <c r="CM418" i="5"/>
  <c r="CL417" i="5"/>
  <c r="CL418" i="5"/>
  <c r="N39" i="21"/>
  <c r="F67" i="21"/>
  <c r="N27" i="17"/>
  <c r="N33" i="17"/>
  <c r="N25" i="18"/>
  <c r="N34" i="18"/>
  <c r="N23" i="19"/>
  <c r="N32" i="19"/>
  <c r="N22" i="20"/>
  <c r="N26" i="17"/>
  <c r="N28" i="19"/>
  <c r="N23" i="17"/>
  <c r="N24" i="16"/>
  <c r="N26" i="18"/>
  <c r="N35" i="18"/>
  <c r="N35" i="20"/>
  <c r="N39" i="20"/>
  <c r="N21" i="16"/>
  <c r="N26" i="16"/>
  <c r="N22" i="17"/>
  <c r="N20" i="18"/>
  <c r="N28" i="18"/>
  <c r="N30" i="19"/>
  <c r="N34" i="19"/>
  <c r="N32" i="16"/>
  <c r="N24" i="17"/>
  <c r="N29" i="17"/>
  <c r="N22" i="18"/>
  <c r="N30" i="18"/>
  <c r="N24" i="19"/>
  <c r="N26" i="19"/>
  <c r="N29" i="19"/>
  <c r="N33" i="18"/>
  <c r="F52" i="20"/>
  <c r="F56" i="20" s="1"/>
  <c r="F60" i="20" s="1"/>
  <c r="N20" i="19"/>
  <c r="N22" i="19"/>
  <c r="N25" i="19"/>
  <c r="AX414" i="5"/>
  <c r="AX415" i="5" s="1"/>
  <c r="CM414" i="5"/>
  <c r="CM415" i="5" s="1"/>
  <c r="AX412" i="5"/>
  <c r="AX413" i="5" s="1"/>
  <c r="AW412" i="5"/>
  <c r="AW413" i="5" s="1"/>
  <c r="CL414" i="5"/>
  <c r="CL415" i="5" s="1"/>
  <c r="CM412" i="5"/>
  <c r="CM413" i="5" s="1"/>
  <c r="I11" i="19" s="1"/>
  <c r="I39" i="19" s="1"/>
  <c r="AB39" i="19" s="1"/>
  <c r="AW414" i="5"/>
  <c r="AW415" i="5" s="1"/>
  <c r="CL412" i="5"/>
  <c r="CL413" i="5" s="1"/>
  <c r="N39" i="19"/>
  <c r="N35" i="14"/>
  <c r="N33" i="15"/>
  <c r="N28" i="14"/>
  <c r="N35" i="17"/>
  <c r="F52" i="19"/>
  <c r="F56" i="19" s="1"/>
  <c r="F60" i="19" s="1"/>
  <c r="N34" i="12"/>
  <c r="N26" i="13"/>
  <c r="N35" i="13"/>
  <c r="N34" i="15"/>
  <c r="N25" i="16"/>
  <c r="N21" i="18"/>
  <c r="N24" i="18"/>
  <c r="N27" i="18"/>
  <c r="N39" i="18"/>
  <c r="F67" i="18"/>
  <c r="N23" i="16"/>
  <c r="N35" i="16"/>
  <c r="N26" i="14"/>
  <c r="N25" i="17"/>
  <c r="N30" i="16"/>
  <c r="N34" i="16"/>
  <c r="N21" i="17"/>
  <c r="N32" i="17"/>
  <c r="N34" i="17"/>
  <c r="N20" i="15"/>
  <c r="N28" i="15"/>
  <c r="N29" i="16"/>
  <c r="N33" i="16"/>
  <c r="AX409" i="5"/>
  <c r="AX410" i="5" s="1"/>
  <c r="AW409" i="5"/>
  <c r="AW410" i="5" s="1"/>
  <c r="CM409" i="5"/>
  <c r="CM410" i="5" s="1"/>
  <c r="CL409" i="5"/>
  <c r="CL410" i="5" s="1"/>
  <c r="AX407" i="5"/>
  <c r="AX408" i="5" s="1"/>
  <c r="AW407" i="5"/>
  <c r="AW408" i="5" s="1"/>
  <c r="CM407" i="5"/>
  <c r="CM408" i="5" s="1"/>
  <c r="CL407" i="5"/>
  <c r="CL408" i="5" s="1"/>
  <c r="N39" i="17"/>
  <c r="N20" i="13"/>
  <c r="N28" i="13"/>
  <c r="N21" i="14"/>
  <c r="N22" i="15"/>
  <c r="N30" i="15"/>
  <c r="N20" i="16"/>
  <c r="N27" i="15"/>
  <c r="F52" i="17"/>
  <c r="F56" i="17" s="1"/>
  <c r="F60" i="17" s="1"/>
  <c r="N24" i="15"/>
  <c r="N22" i="16"/>
  <c r="N35" i="15"/>
  <c r="N28" i="16"/>
  <c r="N23" i="15"/>
  <c r="N32" i="15"/>
  <c r="AX405" i="5"/>
  <c r="AX406" i="5" s="1"/>
  <c r="AW405" i="5"/>
  <c r="AW406" i="5" s="1"/>
  <c r="CM405" i="5"/>
  <c r="CM406" i="5" s="1"/>
  <c r="CL405" i="5"/>
  <c r="CL406" i="5" s="1"/>
  <c r="N39" i="16"/>
  <c r="N21" i="15"/>
  <c r="N32" i="13"/>
  <c r="N27" i="14"/>
  <c r="N26" i="15"/>
  <c r="N25" i="13"/>
  <c r="N29" i="14"/>
  <c r="N29" i="15"/>
  <c r="F52" i="16"/>
  <c r="F56" i="16" s="1"/>
  <c r="F60" i="16" s="1"/>
  <c r="N25" i="15"/>
  <c r="N32" i="12"/>
  <c r="N24" i="13"/>
  <c r="N33" i="13"/>
  <c r="N20" i="14"/>
  <c r="AW402" i="5"/>
  <c r="AW403" i="5" s="1"/>
  <c r="AX402" i="5"/>
  <c r="AX403" i="5" s="1"/>
  <c r="CM402" i="5"/>
  <c r="CM403" i="5" s="1"/>
  <c r="CL402" i="5"/>
  <c r="CL403" i="5" s="1"/>
  <c r="N39" i="15"/>
  <c r="N20" i="12"/>
  <c r="N21" i="13"/>
  <c r="N29" i="13"/>
  <c r="N22" i="14"/>
  <c r="N25" i="14"/>
  <c r="N23" i="13"/>
  <c r="N30" i="14"/>
  <c r="N34" i="14"/>
  <c r="N24" i="14"/>
  <c r="F52" i="15"/>
  <c r="F56" i="15" s="1"/>
  <c r="F60" i="15" s="1"/>
  <c r="N27" i="12"/>
  <c r="N24" i="12"/>
  <c r="N27" i="13"/>
  <c r="N33" i="14"/>
  <c r="CM399" i="5"/>
  <c r="N39" i="14"/>
  <c r="F67" i="14"/>
  <c r="N25" i="12"/>
  <c r="N30" i="13"/>
  <c r="N34" i="13"/>
  <c r="N30" i="12"/>
  <c r="N23" i="12"/>
  <c r="N26" i="12"/>
  <c r="N29" i="12"/>
  <c r="AX399" i="5"/>
  <c r="AX398" i="5"/>
  <c r="CM398" i="5"/>
  <c r="CL399" i="5"/>
  <c r="AW398" i="5"/>
  <c r="CL398" i="5"/>
  <c r="AW399" i="5"/>
  <c r="AT30" i="5"/>
  <c r="CI30" i="5" s="1"/>
  <c r="AT122" i="5"/>
  <c r="CK122" i="5" s="1"/>
  <c r="AT102" i="5"/>
  <c r="CA102" i="5" s="1"/>
  <c r="N39" i="13"/>
  <c r="N33" i="12"/>
  <c r="N22" i="12"/>
  <c r="N35" i="12"/>
  <c r="F52" i="13"/>
  <c r="F56" i="13" s="1"/>
  <c r="F60" i="13" s="1"/>
  <c r="N28" i="12"/>
  <c r="AT126" i="5"/>
  <c r="AV126" i="5" s="1"/>
  <c r="AT46" i="5"/>
  <c r="CE46" i="5" s="1"/>
  <c r="CM396" i="5"/>
  <c r="CM397" i="5" s="1"/>
  <c r="AT35" i="5"/>
  <c r="AV35" i="5" s="1"/>
  <c r="CL396" i="5"/>
  <c r="CL397" i="5" s="1"/>
  <c r="CM394" i="5"/>
  <c r="CM395" i="5" s="1"/>
  <c r="I11" i="12" s="1"/>
  <c r="I39" i="12" s="1"/>
  <c r="AB39" i="12" s="1"/>
  <c r="AT302" i="5"/>
  <c r="CJ302" i="5" s="1"/>
  <c r="AT94" i="5"/>
  <c r="AU94" i="5" s="1"/>
  <c r="AT19" i="5"/>
  <c r="AV19" i="5" s="1"/>
  <c r="AX394" i="5"/>
  <c r="AX395" i="5" s="1"/>
  <c r="AT238" i="5"/>
  <c r="CH238" i="5" s="1"/>
  <c r="AT90" i="5"/>
  <c r="AV90" i="5" s="1"/>
  <c r="AT14" i="5"/>
  <c r="CC14" i="5" s="1"/>
  <c r="AX396" i="5"/>
  <c r="AX397" i="5" s="1"/>
  <c r="AT366" i="5"/>
  <c r="BU366" i="5" s="1"/>
  <c r="AT198" i="5"/>
  <c r="BY198" i="5" s="1"/>
  <c r="AT70" i="5"/>
  <c r="AU70" i="5" s="1"/>
  <c r="AT3" i="5"/>
  <c r="BW3" i="5" s="1"/>
  <c r="AT174" i="5"/>
  <c r="CI174" i="5" s="1"/>
  <c r="AT62" i="5"/>
  <c r="AV62" i="5" s="1"/>
  <c r="BC62" i="5" s="1"/>
  <c r="AW396" i="5"/>
  <c r="AW397" i="5" s="1"/>
  <c r="AT134" i="5"/>
  <c r="AU134" i="5" s="1"/>
  <c r="AT51" i="5"/>
  <c r="CD51" i="5" s="1"/>
  <c r="AT374" i="5"/>
  <c r="AU374" i="5" s="1"/>
  <c r="AT310" i="5"/>
  <c r="AU310" i="5" s="1"/>
  <c r="AT246" i="5"/>
  <c r="AU246" i="5" s="1"/>
  <c r="BB246" i="5" s="1"/>
  <c r="AT182" i="5"/>
  <c r="BV182" i="5" s="1"/>
  <c r="AT66" i="5"/>
  <c r="CD66" i="5" s="1"/>
  <c r="AT47" i="5"/>
  <c r="CA47" i="5" s="1"/>
  <c r="AT31" i="5"/>
  <c r="CA31" i="5" s="1"/>
  <c r="AT15" i="5"/>
  <c r="BY15" i="5" s="1"/>
  <c r="AT358" i="5"/>
  <c r="CK358" i="5" s="1"/>
  <c r="AT294" i="5"/>
  <c r="AV294" i="5" s="1"/>
  <c r="AT230" i="5"/>
  <c r="AV230" i="5" s="1"/>
  <c r="BO230" i="5" s="1"/>
  <c r="AT166" i="5"/>
  <c r="AV166" i="5" s="1"/>
  <c r="AT118" i="5"/>
  <c r="AU118" i="5" s="1"/>
  <c r="AT86" i="5"/>
  <c r="CE86" i="5" s="1"/>
  <c r="AT59" i="5"/>
  <c r="CA59" i="5" s="1"/>
  <c r="AT43" i="5"/>
  <c r="AU43" i="5" s="1"/>
  <c r="BN43" i="5" s="1"/>
  <c r="AT27" i="5"/>
  <c r="CI27" i="5" s="1"/>
  <c r="AT11" i="5"/>
  <c r="BW11" i="5" s="1"/>
  <c r="AT350" i="5"/>
  <c r="AU350" i="5" s="1"/>
  <c r="AT286" i="5"/>
  <c r="CG286" i="5" s="1"/>
  <c r="AT222" i="5"/>
  <c r="BY222" i="5" s="1"/>
  <c r="AT158" i="5"/>
  <c r="CC158" i="5" s="1"/>
  <c r="AT114" i="5"/>
  <c r="CC114" i="5" s="1"/>
  <c r="AT82" i="5"/>
  <c r="CE82" i="5" s="1"/>
  <c r="AT58" i="5"/>
  <c r="CF58" i="5" s="1"/>
  <c r="AT42" i="5"/>
  <c r="CG42" i="5" s="1"/>
  <c r="AT26" i="5"/>
  <c r="AV26" i="5" s="1"/>
  <c r="AT10" i="5"/>
  <c r="AT342" i="5"/>
  <c r="AV342" i="5" s="1"/>
  <c r="AT278" i="5"/>
  <c r="CE278" i="5" s="1"/>
  <c r="AT214" i="5"/>
  <c r="BS214" i="5" s="1"/>
  <c r="AT150" i="5"/>
  <c r="BR150" i="5" s="1"/>
  <c r="AT110" i="5"/>
  <c r="AV110" i="5" s="1"/>
  <c r="BO110" i="5" s="1"/>
  <c r="AT78" i="5"/>
  <c r="AT55" i="5"/>
  <c r="CI55" i="5" s="1"/>
  <c r="AT39" i="5"/>
  <c r="AU39" i="5" s="1"/>
  <c r="BN39" i="5" s="1"/>
  <c r="AT23" i="5"/>
  <c r="CE23" i="5" s="1"/>
  <c r="AT7" i="5"/>
  <c r="CK7" i="5" s="1"/>
  <c r="AT334" i="5"/>
  <c r="CD334" i="5" s="1"/>
  <c r="AT270" i="5"/>
  <c r="AU270" i="5" s="1"/>
  <c r="BN270" i="5" s="1"/>
  <c r="AT206" i="5"/>
  <c r="AV206" i="5" s="1"/>
  <c r="AT142" i="5"/>
  <c r="AT106" i="5"/>
  <c r="CK106" i="5" s="1"/>
  <c r="AT74" i="5"/>
  <c r="CF74" i="5" s="1"/>
  <c r="AT54" i="5"/>
  <c r="CA54" i="5" s="1"/>
  <c r="AT38" i="5"/>
  <c r="CH38" i="5" s="1"/>
  <c r="AT22" i="5"/>
  <c r="CK22" i="5" s="1"/>
  <c r="AT6" i="5"/>
  <c r="CI6" i="5" s="1"/>
  <c r="CL394" i="5"/>
  <c r="CL395" i="5" s="1"/>
  <c r="AT390" i="5"/>
  <c r="AT326" i="5"/>
  <c r="AV326" i="5" s="1"/>
  <c r="AT262" i="5"/>
  <c r="BU262" i="5" s="1"/>
  <c r="AT382" i="5"/>
  <c r="AU382" i="5" s="1"/>
  <c r="AT318" i="5"/>
  <c r="AU318" i="5" s="1"/>
  <c r="BB318" i="5" s="1"/>
  <c r="AT254" i="5"/>
  <c r="AT190" i="5"/>
  <c r="CH190" i="5" s="1"/>
  <c r="AT130" i="5"/>
  <c r="CF130" i="5" s="1"/>
  <c r="AT98" i="5"/>
  <c r="AU98" i="5" s="1"/>
  <c r="AT67" i="5"/>
  <c r="CE67" i="5" s="1"/>
  <c r="AT50" i="5"/>
  <c r="AU50" i="5" s="1"/>
  <c r="AT34" i="5"/>
  <c r="CH34" i="5" s="1"/>
  <c r="AT18" i="5"/>
  <c r="BS18" i="5" s="1"/>
  <c r="N39" i="12"/>
  <c r="F52" i="12"/>
  <c r="F56" i="12" s="1"/>
  <c r="F60" i="12" s="1"/>
  <c r="AT388" i="5"/>
  <c r="AT380" i="5"/>
  <c r="AT372" i="5"/>
  <c r="AT364" i="5"/>
  <c r="AT356" i="5"/>
  <c r="AT348" i="5"/>
  <c r="AT340" i="5"/>
  <c r="AT332" i="5"/>
  <c r="AT324" i="5"/>
  <c r="AT316" i="5"/>
  <c r="AT308" i="5"/>
  <c r="AT300" i="5"/>
  <c r="AT292" i="5"/>
  <c r="AT284" i="5"/>
  <c r="AT276" i="5"/>
  <c r="AT268" i="5"/>
  <c r="AT260" i="5"/>
  <c r="AT252" i="5"/>
  <c r="AT244" i="5"/>
  <c r="AT236" i="5"/>
  <c r="AT228" i="5"/>
  <c r="AT220" i="5"/>
  <c r="AT212" i="5"/>
  <c r="AT204" i="5"/>
  <c r="AT196" i="5"/>
  <c r="AT188" i="5"/>
  <c r="AT180" i="5"/>
  <c r="AT172" i="5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AW394" i="5"/>
  <c r="AW395" i="5" s="1"/>
  <c r="AT387" i="5"/>
  <c r="AT379" i="5"/>
  <c r="AT371" i="5"/>
  <c r="AT363" i="5"/>
  <c r="AT355" i="5"/>
  <c r="AT347" i="5"/>
  <c r="AT339" i="5"/>
  <c r="AT331" i="5"/>
  <c r="AT323" i="5"/>
  <c r="AT315" i="5"/>
  <c r="AT307" i="5"/>
  <c r="AT299" i="5"/>
  <c r="AT291" i="5"/>
  <c r="AT283" i="5"/>
  <c r="AT275" i="5"/>
  <c r="AT267" i="5"/>
  <c r="AT259" i="5"/>
  <c r="AT251" i="5"/>
  <c r="AT243" i="5"/>
  <c r="AT235" i="5"/>
  <c r="AT227" i="5"/>
  <c r="AT219" i="5"/>
  <c r="AT211" i="5"/>
  <c r="AT203" i="5"/>
  <c r="AT195" i="5"/>
  <c r="AT187" i="5"/>
  <c r="AT179" i="5"/>
  <c r="AT171" i="5"/>
  <c r="AT163" i="5"/>
  <c r="AT155" i="5"/>
  <c r="AT147" i="5"/>
  <c r="AT139" i="5"/>
  <c r="AT131" i="5"/>
  <c r="AT123" i="5"/>
  <c r="AT115" i="5"/>
  <c r="AT107" i="5"/>
  <c r="AT99" i="5"/>
  <c r="AT91" i="5"/>
  <c r="AT83" i="5"/>
  <c r="AT75" i="5"/>
  <c r="AT386" i="5"/>
  <c r="AT378" i="5"/>
  <c r="AT370" i="5"/>
  <c r="AT362" i="5"/>
  <c r="AT354" i="5"/>
  <c r="AT346" i="5"/>
  <c r="AT338" i="5"/>
  <c r="AT330" i="5"/>
  <c r="AT322" i="5"/>
  <c r="AT314" i="5"/>
  <c r="AT306" i="5"/>
  <c r="AT298" i="5"/>
  <c r="AT290" i="5"/>
  <c r="AT282" i="5"/>
  <c r="AT274" i="5"/>
  <c r="AT266" i="5"/>
  <c r="AT258" i="5"/>
  <c r="AT250" i="5"/>
  <c r="AT242" i="5"/>
  <c r="AT234" i="5"/>
  <c r="AT226" i="5"/>
  <c r="AT218" i="5"/>
  <c r="AT210" i="5"/>
  <c r="AT202" i="5"/>
  <c r="AT194" i="5"/>
  <c r="AT186" i="5"/>
  <c r="AT178" i="5"/>
  <c r="AT170" i="5"/>
  <c r="AT162" i="5"/>
  <c r="AT154" i="5"/>
  <c r="AT146" i="5"/>
  <c r="AT138" i="5"/>
  <c r="AT385" i="5"/>
  <c r="AT377" i="5"/>
  <c r="AT369" i="5"/>
  <c r="AT361" i="5"/>
  <c r="AT353" i="5"/>
  <c r="AT345" i="5"/>
  <c r="AT337" i="5"/>
  <c r="AT329" i="5"/>
  <c r="AT321" i="5"/>
  <c r="AT313" i="5"/>
  <c r="AT305" i="5"/>
  <c r="AT297" i="5"/>
  <c r="AT289" i="5"/>
  <c r="AT281" i="5"/>
  <c r="AT273" i="5"/>
  <c r="AT265" i="5"/>
  <c r="AT257" i="5"/>
  <c r="AT249" i="5"/>
  <c r="AT241" i="5"/>
  <c r="AT233" i="5"/>
  <c r="AT225" i="5"/>
  <c r="AT217" i="5"/>
  <c r="AT209" i="5"/>
  <c r="AT201" i="5"/>
  <c r="AT193" i="5"/>
  <c r="AT185" i="5"/>
  <c r="AT177" i="5"/>
  <c r="AT169" i="5"/>
  <c r="AT161" i="5"/>
  <c r="AT153" i="5"/>
  <c r="AT145" i="5"/>
  <c r="AT137" i="5"/>
  <c r="AT129" i="5"/>
  <c r="AT121" i="5"/>
  <c r="AT113" i="5"/>
  <c r="AT105" i="5"/>
  <c r="AT97" i="5"/>
  <c r="AT89" i="5"/>
  <c r="AT81" i="5"/>
  <c r="AT73" i="5"/>
  <c r="AT65" i="5"/>
  <c r="AT57" i="5"/>
  <c r="AT49" i="5"/>
  <c r="AT41" i="5"/>
  <c r="AT33" i="5"/>
  <c r="AT25" i="5"/>
  <c r="AT17" i="5"/>
  <c r="AT9" i="5"/>
  <c r="AT2" i="5"/>
  <c r="AT384" i="5"/>
  <c r="AT376" i="5"/>
  <c r="AT368" i="5"/>
  <c r="AT360" i="5"/>
  <c r="AT352" i="5"/>
  <c r="AT344" i="5"/>
  <c r="AT336" i="5"/>
  <c r="AT328" i="5"/>
  <c r="AT320" i="5"/>
  <c r="AT312" i="5"/>
  <c r="AT304" i="5"/>
  <c r="AT296" i="5"/>
  <c r="AT288" i="5"/>
  <c r="AT280" i="5"/>
  <c r="AT272" i="5"/>
  <c r="AT264" i="5"/>
  <c r="AT256" i="5"/>
  <c r="AT248" i="5"/>
  <c r="AT240" i="5"/>
  <c r="AT232" i="5"/>
  <c r="AT224" i="5"/>
  <c r="AT216" i="5"/>
  <c r="AT208" i="5"/>
  <c r="AT200" i="5"/>
  <c r="AT192" i="5"/>
  <c r="AT184" i="5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4" i="5"/>
  <c r="AT16" i="5"/>
  <c r="AT8" i="5"/>
  <c r="AT391" i="5"/>
  <c r="AT383" i="5"/>
  <c r="AT375" i="5"/>
  <c r="AT367" i="5"/>
  <c r="AT359" i="5"/>
  <c r="AT351" i="5"/>
  <c r="AT343" i="5"/>
  <c r="AT335" i="5"/>
  <c r="AT327" i="5"/>
  <c r="AT319" i="5"/>
  <c r="AT311" i="5"/>
  <c r="AT303" i="5"/>
  <c r="AT295" i="5"/>
  <c r="AT287" i="5"/>
  <c r="AT279" i="5"/>
  <c r="AT271" i="5"/>
  <c r="AT263" i="5"/>
  <c r="AT255" i="5"/>
  <c r="AT247" i="5"/>
  <c r="AT239" i="5"/>
  <c r="AT231" i="5"/>
  <c r="AT223" i="5"/>
  <c r="AT215" i="5"/>
  <c r="AT207" i="5"/>
  <c r="AT199" i="5"/>
  <c r="AT191" i="5"/>
  <c r="AT183" i="5"/>
  <c r="AT175" i="5"/>
  <c r="AT167" i="5"/>
  <c r="AT159" i="5"/>
  <c r="AT151" i="5"/>
  <c r="AT143" i="5"/>
  <c r="AT135" i="5"/>
  <c r="AT127" i="5"/>
  <c r="AT119" i="5"/>
  <c r="AT111" i="5"/>
  <c r="AT103" i="5"/>
  <c r="AT95" i="5"/>
  <c r="AT87" i="5"/>
  <c r="AT79" i="5"/>
  <c r="AT71" i="5"/>
  <c r="AT63" i="5"/>
  <c r="AT389" i="5"/>
  <c r="AT381" i="5"/>
  <c r="AT373" i="5"/>
  <c r="AT365" i="5"/>
  <c r="AT357" i="5"/>
  <c r="AT349" i="5"/>
  <c r="AT341" i="5"/>
  <c r="AT333" i="5"/>
  <c r="AT325" i="5"/>
  <c r="AT317" i="5"/>
  <c r="AT309" i="5"/>
  <c r="AT301" i="5"/>
  <c r="AT293" i="5"/>
  <c r="AT285" i="5"/>
  <c r="AT277" i="5"/>
  <c r="AT269" i="5"/>
  <c r="AT261" i="5"/>
  <c r="AT253" i="5"/>
  <c r="AT245" i="5"/>
  <c r="AT237" i="5"/>
  <c r="AT229" i="5"/>
  <c r="AT221" i="5"/>
  <c r="AT213" i="5"/>
  <c r="AT205" i="5"/>
  <c r="AT197" i="5"/>
  <c r="AT189" i="5"/>
  <c r="AT181" i="5"/>
  <c r="AT173" i="5"/>
  <c r="AT165" i="5"/>
  <c r="AT157" i="5"/>
  <c r="AT149" i="5"/>
  <c r="AT141" i="5"/>
  <c r="AT133" i="5"/>
  <c r="AT125" i="5"/>
  <c r="AT117" i="5"/>
  <c r="AT109" i="5"/>
  <c r="AT101" i="5"/>
  <c r="AT93" i="5"/>
  <c r="AT85" i="5"/>
  <c r="AT77" i="5"/>
  <c r="AT69" i="5"/>
  <c r="AT61" i="5"/>
  <c r="AT53" i="5"/>
  <c r="AT45" i="5"/>
  <c r="AT37" i="5"/>
  <c r="AT29" i="5"/>
  <c r="AT21" i="5"/>
  <c r="AT13" i="5"/>
  <c r="AT5" i="5"/>
  <c r="C12" i="7"/>
  <c r="C13" i="7"/>
  <c r="C14" i="7"/>
  <c r="E51" i="9"/>
  <c r="BA476" i="5" l="1"/>
  <c r="AX476" i="5"/>
  <c r="AT476" i="5"/>
  <c r="CJ238" i="5"/>
  <c r="AU30" i="5"/>
  <c r="BB30" i="5" s="1"/>
  <c r="AY476" i="5"/>
  <c r="AX472" i="5"/>
  <c r="AX466" i="5"/>
  <c r="AU480" i="5"/>
  <c r="AY480" i="5"/>
  <c r="AT480" i="5"/>
  <c r="BA480" i="5"/>
  <c r="AV480" i="5"/>
  <c r="AX480" i="5"/>
  <c r="AY472" i="5"/>
  <c r="BA468" i="5"/>
  <c r="AU468" i="5"/>
  <c r="BA472" i="5"/>
  <c r="AV468" i="5"/>
  <c r="AT472" i="5"/>
  <c r="AU474" i="5"/>
  <c r="AV476" i="5"/>
  <c r="AX468" i="5"/>
  <c r="BA474" i="5"/>
  <c r="AU476" i="5"/>
  <c r="AT468" i="5"/>
  <c r="AT456" i="5"/>
  <c r="BS366" i="5"/>
  <c r="AX474" i="5"/>
  <c r="AV472" i="5"/>
  <c r="AT474" i="5"/>
  <c r="AU472" i="5"/>
  <c r="AZ302" i="5"/>
  <c r="BG302" i="5"/>
  <c r="BZ302" i="5"/>
  <c r="AY468" i="5"/>
  <c r="AY474" i="5"/>
  <c r="AV474" i="5"/>
  <c r="BE366" i="5"/>
  <c r="AU456" i="5"/>
  <c r="BA302" i="5"/>
  <c r="BP302" i="5" s="1"/>
  <c r="BY366" i="5"/>
  <c r="BM302" i="5"/>
  <c r="CH302" i="5"/>
  <c r="BD366" i="5"/>
  <c r="AY466" i="5"/>
  <c r="AU452" i="5"/>
  <c r="CA302" i="5"/>
  <c r="BW302" i="5"/>
  <c r="BT366" i="5"/>
  <c r="AU447" i="5"/>
  <c r="AY302" i="5"/>
  <c r="BX302" i="5"/>
  <c r="BX366" i="5"/>
  <c r="AS449" i="5"/>
  <c r="BM366" i="5"/>
  <c r="BV302" i="5"/>
  <c r="BR366" i="5"/>
  <c r="CC78" i="5"/>
  <c r="AS450" i="5"/>
  <c r="AS438" i="5"/>
  <c r="AS439" i="5" s="1"/>
  <c r="AU454" i="5"/>
  <c r="AS457" i="5"/>
  <c r="AS443" i="5"/>
  <c r="BR302" i="5"/>
  <c r="BD94" i="5"/>
  <c r="AS459" i="5"/>
  <c r="AS455" i="5"/>
  <c r="AS456" i="5" s="1"/>
  <c r="AS451" i="5"/>
  <c r="AS442" i="5"/>
  <c r="AU254" i="5"/>
  <c r="BB254" i="5" s="1"/>
  <c r="AS445" i="5"/>
  <c r="CD15" i="5"/>
  <c r="BG15" i="5"/>
  <c r="AV51" i="5"/>
  <c r="BC51" i="5" s="1"/>
  <c r="BM51" i="5"/>
  <c r="AU366" i="5"/>
  <c r="BN366" i="5" s="1"/>
  <c r="BQ366" i="5"/>
  <c r="CH366" i="5"/>
  <c r="AV302" i="5"/>
  <c r="BO302" i="5" s="1"/>
  <c r="CC302" i="5"/>
  <c r="BL302" i="5"/>
  <c r="AS446" i="5"/>
  <c r="BF302" i="5"/>
  <c r="BA366" i="5"/>
  <c r="BP366" i="5" s="1"/>
  <c r="CB366" i="5" s="1"/>
  <c r="BZ366" i="5"/>
  <c r="AS453" i="5"/>
  <c r="AS454" i="5" s="1"/>
  <c r="AS448" i="5"/>
  <c r="CG10" i="5"/>
  <c r="AS440" i="5"/>
  <c r="AS441" i="5" s="1"/>
  <c r="AU182" i="5"/>
  <c r="BB182" i="5" s="1"/>
  <c r="BY182" i="5"/>
  <c r="AU460" i="5"/>
  <c r="AT444" i="5"/>
  <c r="BA466" i="5"/>
  <c r="AT454" i="5"/>
  <c r="AU441" i="5"/>
  <c r="AS458" i="5"/>
  <c r="AT460" i="5"/>
  <c r="AU444" i="5"/>
  <c r="AT441" i="5"/>
  <c r="AT447" i="5"/>
  <c r="AT452" i="5"/>
  <c r="AU466" i="5"/>
  <c r="BV3" i="5"/>
  <c r="BR3" i="5"/>
  <c r="AZ230" i="5"/>
  <c r="AU46" i="5"/>
  <c r="BN46" i="5" s="1"/>
  <c r="BU230" i="5"/>
  <c r="BJ46" i="5"/>
  <c r="AZ246" i="5"/>
  <c r="CF46" i="5"/>
  <c r="BM230" i="5"/>
  <c r="BI302" i="5"/>
  <c r="CI302" i="5"/>
  <c r="BI366" i="5"/>
  <c r="CD366" i="5"/>
  <c r="AV174" i="5"/>
  <c r="BO174" i="5" s="1"/>
  <c r="CD46" i="5"/>
  <c r="BJ182" i="5"/>
  <c r="AV246" i="5"/>
  <c r="BO246" i="5" s="1"/>
  <c r="BT174" i="5"/>
  <c r="BL238" i="5"/>
  <c r="CA122" i="5"/>
  <c r="BW246" i="5"/>
  <c r="BY3" i="5"/>
  <c r="CI46" i="5"/>
  <c r="CD246" i="5"/>
  <c r="BF102" i="5"/>
  <c r="CC246" i="5"/>
  <c r="BU102" i="5"/>
  <c r="AZ46" i="5"/>
  <c r="BS102" i="5"/>
  <c r="AY46" i="5"/>
  <c r="BM246" i="5"/>
  <c r="BJ294" i="5"/>
  <c r="BE3" i="5"/>
  <c r="CE3" i="5"/>
  <c r="BI46" i="5"/>
  <c r="AY102" i="5"/>
  <c r="CD102" i="5"/>
  <c r="BG246" i="5"/>
  <c r="BI294" i="5"/>
  <c r="BJ3" i="5"/>
  <c r="CA3" i="5"/>
  <c r="BV46" i="5"/>
  <c r="BJ102" i="5"/>
  <c r="CH102" i="5"/>
  <c r="BI246" i="5"/>
  <c r="CF246" i="5"/>
  <c r="AZ3" i="5"/>
  <c r="CC3" i="5"/>
  <c r="BD46" i="5"/>
  <c r="BH102" i="5"/>
  <c r="BX102" i="5"/>
  <c r="BQ246" i="5"/>
  <c r="BX294" i="5"/>
  <c r="BH3" i="5"/>
  <c r="BW46" i="5"/>
  <c r="BD102" i="5"/>
  <c r="CI102" i="5"/>
  <c r="BV246" i="5"/>
  <c r="BU294" i="5"/>
  <c r="BQ3" i="5"/>
  <c r="CA46" i="5"/>
  <c r="BT102" i="5"/>
  <c r="BS15" i="5"/>
  <c r="CK310" i="5"/>
  <c r="AV70" i="5"/>
  <c r="BC70" i="5" s="1"/>
  <c r="AV122" i="5"/>
  <c r="BO122" i="5" s="1"/>
  <c r="CI126" i="5"/>
  <c r="BD70" i="5"/>
  <c r="BE122" i="5"/>
  <c r="AW420" i="5"/>
  <c r="BH15" i="5"/>
  <c r="CK294" i="5"/>
  <c r="BQ42" i="5"/>
  <c r="BQ350" i="5"/>
  <c r="G11" i="24"/>
  <c r="E137" i="10"/>
  <c r="I11" i="24"/>
  <c r="I39" i="24" s="1"/>
  <c r="AB39" i="24" s="1"/>
  <c r="G137" i="10"/>
  <c r="F67" i="24"/>
  <c r="AT429" i="5"/>
  <c r="AT430" i="5" s="1"/>
  <c r="AS429" i="5"/>
  <c r="AS430" i="5" s="1"/>
  <c r="AV350" i="5"/>
  <c r="BO350" i="5" s="1"/>
  <c r="BG294" i="5"/>
  <c r="BW294" i="5"/>
  <c r="BF42" i="5"/>
  <c r="BU246" i="5"/>
  <c r="BZ294" i="5"/>
  <c r="CF42" i="5"/>
  <c r="BD3" i="5"/>
  <c r="BI3" i="5"/>
  <c r="CK3" i="5"/>
  <c r="BA11" i="5"/>
  <c r="BP11" i="5" s="1"/>
  <c r="BS46" i="5"/>
  <c r="BW102" i="5"/>
  <c r="CJ102" i="5"/>
  <c r="AV78" i="5"/>
  <c r="BO78" i="5" s="1"/>
  <c r="BE246" i="5"/>
  <c r="BJ246" i="5"/>
  <c r="CE246" i="5"/>
  <c r="CI246" i="5"/>
  <c r="BM294" i="5"/>
  <c r="CI294" i="5"/>
  <c r="AV102" i="5"/>
  <c r="BC102" i="5" s="1"/>
  <c r="BL42" i="5"/>
  <c r="BF3" i="5"/>
  <c r="BT3" i="5"/>
  <c r="CD3" i="5"/>
  <c r="CI3" i="5"/>
  <c r="BE46" i="5"/>
  <c r="BT46" i="5"/>
  <c r="BU46" i="5"/>
  <c r="CK46" i="5"/>
  <c r="BG102" i="5"/>
  <c r="BQ102" i="5"/>
  <c r="CC102" i="5"/>
  <c r="CG102" i="5"/>
  <c r="BA246" i="5"/>
  <c r="BP246" i="5" s="1"/>
  <c r="BD246" i="5"/>
  <c r="CK246" i="5"/>
  <c r="BO294" i="5"/>
  <c r="AV11" i="5"/>
  <c r="BO11" i="5" s="1"/>
  <c r="BA46" i="5"/>
  <c r="BP46" i="5" s="1"/>
  <c r="BF46" i="5"/>
  <c r="AZ78" i="5"/>
  <c r="BI102" i="5"/>
  <c r="BY102" i="5"/>
  <c r="AU294" i="5"/>
  <c r="BN294" i="5" s="1"/>
  <c r="AY246" i="5"/>
  <c r="BF246" i="5"/>
  <c r="BS246" i="5"/>
  <c r="BA294" i="5"/>
  <c r="BP294" i="5" s="1"/>
  <c r="BL294" i="5"/>
  <c r="BY294" i="5"/>
  <c r="AU3" i="5"/>
  <c r="BN3" i="5" s="1"/>
  <c r="CH42" i="5"/>
  <c r="AY3" i="5"/>
  <c r="BG3" i="5"/>
  <c r="BU3" i="5"/>
  <c r="BY11" i="5"/>
  <c r="BK46" i="5"/>
  <c r="BH46" i="5"/>
  <c r="CC46" i="5"/>
  <c r="AZ102" i="5"/>
  <c r="BK102" i="5"/>
  <c r="BZ102" i="5"/>
  <c r="CF102" i="5"/>
  <c r="CK102" i="5"/>
  <c r="AU102" i="5"/>
  <c r="BB102" i="5" s="1"/>
  <c r="G11" i="23"/>
  <c r="E126" i="10"/>
  <c r="BK246" i="5"/>
  <c r="BT246" i="5"/>
  <c r="CA246" i="5"/>
  <c r="BD294" i="5"/>
  <c r="BS294" i="5"/>
  <c r="CA294" i="5"/>
  <c r="BM3" i="5"/>
  <c r="BK3" i="5"/>
  <c r="CF3" i="5"/>
  <c r="BZ11" i="5"/>
  <c r="BG46" i="5"/>
  <c r="BQ46" i="5"/>
  <c r="BY46" i="5"/>
  <c r="BA102" i="5"/>
  <c r="BP102" i="5" s="1"/>
  <c r="BL102" i="5"/>
  <c r="BR102" i="5"/>
  <c r="CE102" i="5"/>
  <c r="AV3" i="5"/>
  <c r="BC3" i="5" s="1"/>
  <c r="BH246" i="5"/>
  <c r="BR246" i="5"/>
  <c r="BY246" i="5"/>
  <c r="BC294" i="5"/>
  <c r="BV294" i="5"/>
  <c r="CH294" i="5"/>
  <c r="AV46" i="5"/>
  <c r="BC46" i="5" s="1"/>
  <c r="BA3" i="5"/>
  <c r="BP3" i="5" s="1"/>
  <c r="BS3" i="5"/>
  <c r="BM46" i="5"/>
  <c r="BR46" i="5"/>
  <c r="BE102" i="5"/>
  <c r="BM102" i="5"/>
  <c r="BV102" i="5"/>
  <c r="I11" i="23"/>
  <c r="I39" i="23" s="1"/>
  <c r="AB39" i="23" s="1"/>
  <c r="G126" i="10"/>
  <c r="F67" i="23"/>
  <c r="BD302" i="5"/>
  <c r="BH302" i="5"/>
  <c r="CD302" i="5"/>
  <c r="BK366" i="5"/>
  <c r="BV366" i="5"/>
  <c r="CI366" i="5"/>
  <c r="CF15" i="5"/>
  <c r="BH51" i="5"/>
  <c r="BK302" i="5"/>
  <c r="BQ302" i="5"/>
  <c r="CG302" i="5"/>
  <c r="BG366" i="5"/>
  <c r="BW366" i="5"/>
  <c r="CK366" i="5"/>
  <c r="CA51" i="5"/>
  <c r="BD51" i="5"/>
  <c r="AV214" i="5"/>
  <c r="BO214" i="5" s="1"/>
  <c r="AU174" i="5"/>
  <c r="BN174" i="5" s="1"/>
  <c r="AY182" i="5"/>
  <c r="BL182" i="5"/>
  <c r="CA182" i="5"/>
  <c r="CF182" i="5"/>
  <c r="AY230" i="5"/>
  <c r="BW230" i="5"/>
  <c r="CE230" i="5"/>
  <c r="AZ174" i="5"/>
  <c r="BY174" i="5"/>
  <c r="CC238" i="5"/>
  <c r="BH182" i="5"/>
  <c r="BT182" i="5"/>
  <c r="CE182" i="5"/>
  <c r="CI182" i="5"/>
  <c r="BJ230" i="5"/>
  <c r="BR230" i="5"/>
  <c r="CA230" i="5"/>
  <c r="BE174" i="5"/>
  <c r="CJ174" i="5"/>
  <c r="BZ238" i="5"/>
  <c r="BG182" i="5"/>
  <c r="BF182" i="5"/>
  <c r="BS182" i="5"/>
  <c r="CK182" i="5"/>
  <c r="BG230" i="5"/>
  <c r="BV230" i="5"/>
  <c r="CI230" i="5"/>
  <c r="BM174" i="5"/>
  <c r="AZ238" i="5"/>
  <c r="CE238" i="5"/>
  <c r="AU230" i="5"/>
  <c r="BB230" i="5" s="1"/>
  <c r="BK182" i="5"/>
  <c r="BR182" i="5"/>
  <c r="BX182" i="5"/>
  <c r="CJ182" i="5"/>
  <c r="BK230" i="5"/>
  <c r="CD230" i="5"/>
  <c r="CK230" i="5"/>
  <c r="AV238" i="5"/>
  <c r="BO238" i="5" s="1"/>
  <c r="BD174" i="5"/>
  <c r="BE238" i="5"/>
  <c r="CI238" i="5"/>
  <c r="BI182" i="5"/>
  <c r="BQ182" i="5"/>
  <c r="BZ182" i="5"/>
  <c r="BA230" i="5"/>
  <c r="BP230" i="5" s="1"/>
  <c r="BD230" i="5"/>
  <c r="CF230" i="5"/>
  <c r="BY350" i="5"/>
  <c r="BW174" i="5"/>
  <c r="BI238" i="5"/>
  <c r="BE182" i="5"/>
  <c r="BM182" i="5"/>
  <c r="CD182" i="5"/>
  <c r="CH182" i="5"/>
  <c r="BE230" i="5"/>
  <c r="BF230" i="5"/>
  <c r="BS230" i="5"/>
  <c r="CH350" i="5"/>
  <c r="BS174" i="5"/>
  <c r="BT238" i="5"/>
  <c r="AU238" i="5"/>
  <c r="BB238" i="5" s="1"/>
  <c r="AZ182" i="5"/>
  <c r="BD182" i="5"/>
  <c r="BU182" i="5"/>
  <c r="CG182" i="5"/>
  <c r="BI230" i="5"/>
  <c r="BT230" i="5"/>
  <c r="BY230" i="5"/>
  <c r="CA174" i="5"/>
  <c r="BV238" i="5"/>
  <c r="BH7" i="5"/>
  <c r="BS42" i="5"/>
  <c r="AZ294" i="5"/>
  <c r="BK294" i="5"/>
  <c r="BR294" i="5"/>
  <c r="CF294" i="5"/>
  <c r="BH42" i="5"/>
  <c r="CI42" i="5"/>
  <c r="BL11" i="5"/>
  <c r="BC230" i="5"/>
  <c r="BE294" i="5"/>
  <c r="BQ294" i="5"/>
  <c r="CD294" i="5"/>
  <c r="BT350" i="5"/>
  <c r="BY42" i="5"/>
  <c r="CI278" i="5"/>
  <c r="BG134" i="5"/>
  <c r="BS318" i="5"/>
  <c r="BZ31" i="5"/>
  <c r="BN246" i="5"/>
  <c r="BZ246" i="5" s="1"/>
  <c r="BH294" i="5"/>
  <c r="BT294" i="5"/>
  <c r="CC294" i="5"/>
  <c r="CJ294" i="5"/>
  <c r="BI42" i="5"/>
  <c r="BZ42" i="5"/>
  <c r="BK86" i="5"/>
  <c r="BM278" i="5"/>
  <c r="CK86" i="5"/>
  <c r="BT278" i="5"/>
  <c r="BQ31" i="5"/>
  <c r="BS134" i="5"/>
  <c r="AU214" i="5"/>
  <c r="BN214" i="5" s="1"/>
  <c r="AV15" i="5"/>
  <c r="BO15" i="5" s="1"/>
  <c r="AW426" i="5"/>
  <c r="AU14" i="5"/>
  <c r="BB14" i="5" s="1"/>
  <c r="BG342" i="5"/>
  <c r="BV222" i="5"/>
  <c r="BJ14" i="5"/>
  <c r="BG14" i="5"/>
  <c r="BF14" i="5"/>
  <c r="CC342" i="5"/>
  <c r="BV118" i="5"/>
  <c r="BY14" i="5"/>
  <c r="CD47" i="5"/>
  <c r="CE14" i="5"/>
  <c r="BA382" i="5"/>
  <c r="BP382" i="5" s="1"/>
  <c r="AV23" i="5"/>
  <c r="BO23" i="5" s="1"/>
  <c r="BJ310" i="5"/>
  <c r="CM420" i="5"/>
  <c r="I11" i="21" s="1"/>
  <c r="I39" i="21" s="1"/>
  <c r="AB39" i="21" s="1"/>
  <c r="BQ310" i="5"/>
  <c r="AU19" i="5"/>
  <c r="BN19" i="5" s="1"/>
  <c r="AU15" i="5"/>
  <c r="BB15" i="5" s="1"/>
  <c r="AV59" i="5"/>
  <c r="BC59" i="5" s="1"/>
  <c r="BM15" i="5"/>
  <c r="CA70" i="5"/>
  <c r="CM426" i="5"/>
  <c r="I11" i="22" s="1"/>
  <c r="I39" i="22" s="1"/>
  <c r="AB39" i="22" s="1"/>
  <c r="CA15" i="5"/>
  <c r="BR214" i="5"/>
  <c r="BR15" i="5"/>
  <c r="CF214" i="5"/>
  <c r="AY350" i="5"/>
  <c r="CA350" i="5"/>
  <c r="AX426" i="5"/>
  <c r="CL426" i="5"/>
  <c r="E115" i="10" s="1"/>
  <c r="BE278" i="5"/>
  <c r="BS278" i="5"/>
  <c r="BY278" i="5"/>
  <c r="AY318" i="5"/>
  <c r="CC318" i="5"/>
  <c r="AU86" i="5"/>
  <c r="BN86" i="5" s="1"/>
  <c r="BD278" i="5"/>
  <c r="BR278" i="5"/>
  <c r="CC278" i="5"/>
  <c r="BD318" i="5"/>
  <c r="BY318" i="5"/>
  <c r="CC7" i="5"/>
  <c r="AY31" i="5"/>
  <c r="BR31" i="5"/>
  <c r="CI31" i="5"/>
  <c r="BJ278" i="5"/>
  <c r="BQ278" i="5"/>
  <c r="CF278" i="5"/>
  <c r="BH318" i="5"/>
  <c r="CE382" i="5"/>
  <c r="AZ7" i="5"/>
  <c r="BM31" i="5"/>
  <c r="CG31" i="5"/>
  <c r="BM47" i="5"/>
  <c r="BI86" i="5"/>
  <c r="CI86" i="5"/>
  <c r="BL134" i="5"/>
  <c r="CH134" i="5"/>
  <c r="BM350" i="5"/>
  <c r="AV134" i="5"/>
  <c r="BO134" i="5" s="1"/>
  <c r="BI278" i="5"/>
  <c r="BW278" i="5"/>
  <c r="CK278" i="5"/>
  <c r="BI318" i="5"/>
  <c r="AV86" i="5"/>
  <c r="BO86" i="5" s="1"/>
  <c r="BW7" i="5"/>
  <c r="AZ31" i="5"/>
  <c r="BG31" i="5"/>
  <c r="CD31" i="5"/>
  <c r="BF86" i="5"/>
  <c r="BH134" i="5"/>
  <c r="CE134" i="5"/>
  <c r="AZ278" i="5"/>
  <c r="CA278" i="5"/>
  <c r="BE318" i="5"/>
  <c r="BL31" i="5"/>
  <c r="CF134" i="5"/>
  <c r="AV31" i="5"/>
  <c r="BO31" i="5" s="1"/>
  <c r="CF31" i="5"/>
  <c r="BQ86" i="5"/>
  <c r="BF134" i="5"/>
  <c r="AU278" i="5"/>
  <c r="BB278" i="5" s="1"/>
  <c r="BA278" i="5"/>
  <c r="BP278" i="5" s="1"/>
  <c r="BG278" i="5"/>
  <c r="BU278" i="5"/>
  <c r="BA318" i="5"/>
  <c r="BP318" i="5" s="1"/>
  <c r="BU318" i="5"/>
  <c r="BU7" i="5"/>
  <c r="BF31" i="5"/>
  <c r="BI31" i="5"/>
  <c r="CC31" i="5"/>
  <c r="BW86" i="5"/>
  <c r="BA134" i="5"/>
  <c r="BP134" i="5" s="1"/>
  <c r="BT134" i="5"/>
  <c r="CI134" i="5"/>
  <c r="CF7" i="5"/>
  <c r="BA31" i="5"/>
  <c r="BP31" i="5" s="1"/>
  <c r="BS31" i="5"/>
  <c r="CK31" i="5"/>
  <c r="AZ86" i="5"/>
  <c r="BS86" i="5"/>
  <c r="AZ134" i="5"/>
  <c r="BR134" i="5"/>
  <c r="CD134" i="5"/>
  <c r="BV14" i="5"/>
  <c r="BK278" i="5"/>
  <c r="BT318" i="5"/>
  <c r="BI7" i="5"/>
  <c r="BG158" i="5"/>
  <c r="BE86" i="5"/>
  <c r="BY86" i="5"/>
  <c r="BK134" i="5"/>
  <c r="BV134" i="5"/>
  <c r="CK134" i="5"/>
  <c r="AU31" i="5"/>
  <c r="BB31" i="5" s="1"/>
  <c r="AY278" i="5"/>
  <c r="BV278" i="5"/>
  <c r="BG318" i="5"/>
  <c r="CI318" i="5"/>
  <c r="BD7" i="5"/>
  <c r="CE7" i="5"/>
  <c r="BJ31" i="5"/>
  <c r="BV31" i="5"/>
  <c r="CJ31" i="5"/>
  <c r="BJ86" i="5"/>
  <c r="CF86" i="5"/>
  <c r="AY134" i="5"/>
  <c r="BU134" i="5"/>
  <c r="AT422" i="5"/>
  <c r="AS422" i="5"/>
  <c r="BU326" i="5"/>
  <c r="AT427" i="5"/>
  <c r="AT428" i="5" s="1"/>
  <c r="AS427" i="5"/>
  <c r="AS428" i="5" s="1"/>
  <c r="G11" i="22"/>
  <c r="AT423" i="5"/>
  <c r="AS423" i="5"/>
  <c r="BC326" i="5"/>
  <c r="AY15" i="5"/>
  <c r="CI15" i="5"/>
  <c r="AT425" i="5"/>
  <c r="AS425" i="5"/>
  <c r="AU302" i="5"/>
  <c r="BB302" i="5" s="1"/>
  <c r="AT424" i="5"/>
  <c r="AS424" i="5"/>
  <c r="BM90" i="5"/>
  <c r="F67" i="22"/>
  <c r="BG350" i="5"/>
  <c r="CG350" i="5"/>
  <c r="BG174" i="5"/>
  <c r="CF174" i="5"/>
  <c r="BA238" i="5"/>
  <c r="BP238" i="5" s="1"/>
  <c r="CA238" i="5"/>
  <c r="BA182" i="5"/>
  <c r="BP182" i="5" s="1"/>
  <c r="BW182" i="5"/>
  <c r="CC182" i="5"/>
  <c r="BH230" i="5"/>
  <c r="BQ230" i="5"/>
  <c r="CC230" i="5"/>
  <c r="BH350" i="5"/>
  <c r="BA26" i="5"/>
  <c r="BP26" i="5" s="1"/>
  <c r="AV182" i="5"/>
  <c r="BO182" i="5" s="1"/>
  <c r="BF174" i="5"/>
  <c r="CE174" i="5"/>
  <c r="BM238" i="5"/>
  <c r="BX238" i="5"/>
  <c r="AU67" i="5"/>
  <c r="BN67" i="5" s="1"/>
  <c r="BS350" i="5"/>
  <c r="BH174" i="5"/>
  <c r="CH174" i="5"/>
  <c r="BD238" i="5"/>
  <c r="CD238" i="5"/>
  <c r="CL420" i="5"/>
  <c r="E104" i="10" s="1"/>
  <c r="AX420" i="5"/>
  <c r="AT419" i="5"/>
  <c r="AS419" i="5"/>
  <c r="F75" i="21"/>
  <c r="F80" i="21" s="1"/>
  <c r="AV278" i="5"/>
  <c r="AT418" i="5"/>
  <c r="AS418" i="5"/>
  <c r="AT417" i="5"/>
  <c r="AS417" i="5"/>
  <c r="I11" i="20"/>
  <c r="I39" i="20" s="1"/>
  <c r="AB39" i="20" s="1"/>
  <c r="G93" i="10"/>
  <c r="G11" i="20"/>
  <c r="E93" i="10"/>
  <c r="F67" i="20"/>
  <c r="BV55" i="5"/>
  <c r="BN350" i="5"/>
  <c r="CC350" i="5"/>
  <c r="BA350" i="5"/>
  <c r="BP350" i="5" s="1"/>
  <c r="CE350" i="5"/>
  <c r="CG26" i="5"/>
  <c r="BR35" i="5"/>
  <c r="BJ90" i="5"/>
  <c r="CF90" i="5"/>
  <c r="BK35" i="5"/>
  <c r="AZ90" i="5"/>
  <c r="BR90" i="5"/>
  <c r="BY35" i="5"/>
  <c r="AY90" i="5"/>
  <c r="BU90" i="5"/>
  <c r="CD35" i="5"/>
  <c r="BJ35" i="5"/>
  <c r="CA35" i="5"/>
  <c r="BH90" i="5"/>
  <c r="CC90" i="5"/>
  <c r="BI90" i="5"/>
  <c r="CA90" i="5"/>
  <c r="BE35" i="5"/>
  <c r="CK35" i="5"/>
  <c r="BF90" i="5"/>
  <c r="BV90" i="5"/>
  <c r="BC35" i="5"/>
  <c r="BD90" i="5"/>
  <c r="CE90" i="5"/>
  <c r="BQ35" i="5"/>
  <c r="AU35" i="5"/>
  <c r="BN35" i="5" s="1"/>
  <c r="BG90" i="5"/>
  <c r="BT90" i="5"/>
  <c r="CK90" i="5"/>
  <c r="BH35" i="5"/>
  <c r="CJ35" i="5"/>
  <c r="BE90" i="5"/>
  <c r="BW90" i="5"/>
  <c r="BV35" i="5"/>
  <c r="BA55" i="5"/>
  <c r="BP55" i="5" s="1"/>
  <c r="BE78" i="5"/>
  <c r="CC11" i="5"/>
  <c r="BW78" i="5"/>
  <c r="BD42" i="5"/>
  <c r="CA11" i="5"/>
  <c r="AZ55" i="5"/>
  <c r="BY55" i="5"/>
  <c r="BD350" i="5"/>
  <c r="BV350" i="5"/>
  <c r="CF350" i="5"/>
  <c r="BJ7" i="5"/>
  <c r="BL70" i="5"/>
  <c r="BJ350" i="5"/>
  <c r="BW350" i="5"/>
  <c r="CJ350" i="5"/>
  <c r="BK7" i="5"/>
  <c r="BE42" i="5"/>
  <c r="BX42" i="5"/>
  <c r="AZ11" i="5"/>
  <c r="CJ11" i="5"/>
  <c r="BU78" i="5"/>
  <c r="BG42" i="5"/>
  <c r="CA42" i="5"/>
  <c r="BE11" i="5"/>
  <c r="G82" i="10"/>
  <c r="AT412" i="5"/>
  <c r="AT413" i="5" s="1"/>
  <c r="AS412" i="5"/>
  <c r="AS413" i="5" s="1"/>
  <c r="BQ318" i="5"/>
  <c r="CD318" i="5"/>
  <c r="BV7" i="5"/>
  <c r="BD15" i="5"/>
  <c r="CC15" i="5"/>
  <c r="BE54" i="5"/>
  <c r="AT414" i="5"/>
  <c r="AT415" i="5" s="1"/>
  <c r="AS414" i="5"/>
  <c r="AS415" i="5" s="1"/>
  <c r="BT214" i="5"/>
  <c r="G11" i="19"/>
  <c r="E82" i="10"/>
  <c r="F67" i="19"/>
  <c r="AY294" i="5"/>
  <c r="BF294" i="5"/>
  <c r="CE294" i="5"/>
  <c r="CG294" i="5"/>
  <c r="BK42" i="5"/>
  <c r="CE42" i="5"/>
  <c r="AY11" i="5"/>
  <c r="BA7" i="5"/>
  <c r="BP7" i="5" s="1"/>
  <c r="BR7" i="5"/>
  <c r="AU7" i="5"/>
  <c r="BB7" i="5" s="1"/>
  <c r="BK318" i="5"/>
  <c r="BW318" i="5"/>
  <c r="CF318" i="5"/>
  <c r="BQ7" i="5"/>
  <c r="CA7" i="5"/>
  <c r="BH278" i="5"/>
  <c r="BF278" i="5"/>
  <c r="CD278" i="5"/>
  <c r="AZ318" i="5"/>
  <c r="BN318" i="5"/>
  <c r="BZ318" i="5" s="1"/>
  <c r="BV318" i="5"/>
  <c r="CK318" i="5"/>
  <c r="AV7" i="5"/>
  <c r="BO7" i="5" s="1"/>
  <c r="AY7" i="5"/>
  <c r="CD7" i="5"/>
  <c r="BD31" i="5"/>
  <c r="BK31" i="5"/>
  <c r="BX31" i="5"/>
  <c r="CE31" i="5"/>
  <c r="BA86" i="5"/>
  <c r="BP86" i="5" s="1"/>
  <c r="BD86" i="5"/>
  <c r="CC86" i="5"/>
  <c r="BB134" i="5"/>
  <c r="BN134" i="5"/>
  <c r="CC134" i="5"/>
  <c r="CA134" i="5"/>
  <c r="BE31" i="5"/>
  <c r="BU31" i="5"/>
  <c r="BW31" i="5"/>
  <c r="CH31" i="5"/>
  <c r="AY86" i="5"/>
  <c r="BT86" i="5"/>
  <c r="CD86" i="5"/>
  <c r="BI134" i="5"/>
  <c r="BD134" i="5"/>
  <c r="BX134" i="5"/>
  <c r="CJ134" i="5"/>
  <c r="BJ318" i="5"/>
  <c r="BR318" i="5"/>
  <c r="CE318" i="5"/>
  <c r="BE7" i="5"/>
  <c r="BY7" i="5"/>
  <c r="BH31" i="5"/>
  <c r="BT31" i="5"/>
  <c r="BY31" i="5"/>
  <c r="BG86" i="5"/>
  <c r="BU86" i="5"/>
  <c r="BM134" i="5"/>
  <c r="BQ134" i="5"/>
  <c r="BY134" i="5"/>
  <c r="BR158" i="5"/>
  <c r="BM7" i="5"/>
  <c r="BT7" i="5"/>
  <c r="AU11" i="5"/>
  <c r="BN11" i="5" s="1"/>
  <c r="BR42" i="5"/>
  <c r="BU42" i="5"/>
  <c r="CJ42" i="5"/>
  <c r="BX11" i="5"/>
  <c r="AZ42" i="5"/>
  <c r="BT42" i="5"/>
  <c r="BW42" i="5"/>
  <c r="BK11" i="5"/>
  <c r="I11" i="18"/>
  <c r="I39" i="18" s="1"/>
  <c r="AB39" i="18" s="1"/>
  <c r="G71" i="10"/>
  <c r="G11" i="18"/>
  <c r="E71" i="10"/>
  <c r="F75" i="18"/>
  <c r="F80" i="18" s="1"/>
  <c r="BQ23" i="5"/>
  <c r="BI47" i="5"/>
  <c r="BE118" i="5"/>
  <c r="BI374" i="5"/>
  <c r="BK14" i="5"/>
  <c r="BH14" i="5"/>
  <c r="CA14" i="5"/>
  <c r="AV6" i="5"/>
  <c r="BO6" i="5" s="1"/>
  <c r="BT342" i="5"/>
  <c r="BR382" i="5"/>
  <c r="BE302" i="5"/>
  <c r="BJ302" i="5"/>
  <c r="BT302" i="5"/>
  <c r="BY302" i="5"/>
  <c r="CK302" i="5"/>
  <c r="BU342" i="5"/>
  <c r="BL366" i="5"/>
  <c r="CA366" i="5"/>
  <c r="CE366" i="5"/>
  <c r="BL382" i="5"/>
  <c r="BJ15" i="5"/>
  <c r="BW15" i="5"/>
  <c r="BU23" i="5"/>
  <c r="BV47" i="5"/>
  <c r="CA30" i="5"/>
  <c r="BM118" i="5"/>
  <c r="BV214" i="5"/>
  <c r="AU51" i="5"/>
  <c r="BN51" i="5" s="1"/>
  <c r="BQ51" i="5"/>
  <c r="CK51" i="5"/>
  <c r="BM14" i="5"/>
  <c r="BT14" i="5"/>
  <c r="CF14" i="5"/>
  <c r="BG222" i="5"/>
  <c r="BT54" i="5"/>
  <c r="CC118" i="5"/>
  <c r="BW114" i="5"/>
  <c r="BV51" i="5"/>
  <c r="BA14" i="5"/>
  <c r="BP14" i="5" s="1"/>
  <c r="BQ14" i="5"/>
  <c r="BW14" i="5"/>
  <c r="CD14" i="5"/>
  <c r="CI222" i="5"/>
  <c r="G11" i="17"/>
  <c r="E60" i="10"/>
  <c r="CD54" i="5"/>
  <c r="CJ118" i="5"/>
  <c r="CG254" i="5"/>
  <c r="BT51" i="5"/>
  <c r="AZ14" i="5"/>
  <c r="BD14" i="5"/>
  <c r="BU14" i="5"/>
  <c r="CI14" i="5"/>
  <c r="I11" i="17"/>
  <c r="I39" i="17" s="1"/>
  <c r="AB39" i="17" s="1"/>
  <c r="G60" i="10"/>
  <c r="CK342" i="5"/>
  <c r="CE302" i="5"/>
  <c r="BA342" i="5"/>
  <c r="BP342" i="5" s="1"/>
  <c r="AY366" i="5"/>
  <c r="BF366" i="5"/>
  <c r="CF366" i="5"/>
  <c r="CG366" i="5"/>
  <c r="AV114" i="5"/>
  <c r="BC114" i="5" s="1"/>
  <c r="BF15" i="5"/>
  <c r="BT15" i="5"/>
  <c r="CE15" i="5"/>
  <c r="AV47" i="5"/>
  <c r="BC47" i="5" s="1"/>
  <c r="BS302" i="5"/>
  <c r="BU302" i="5"/>
  <c r="CF302" i="5"/>
  <c r="BE342" i="5"/>
  <c r="AZ366" i="5"/>
  <c r="BJ366" i="5"/>
  <c r="BH366" i="5"/>
  <c r="CC366" i="5"/>
  <c r="CJ366" i="5"/>
  <c r="BA15" i="5"/>
  <c r="BP15" i="5" s="1"/>
  <c r="BI15" i="5"/>
  <c r="CK15" i="5"/>
  <c r="BA47" i="5"/>
  <c r="BP47" i="5" s="1"/>
  <c r="BW55" i="5"/>
  <c r="AY94" i="5"/>
  <c r="BR26" i="5"/>
  <c r="BR51" i="5"/>
  <c r="AY14" i="5"/>
  <c r="BI14" i="5"/>
  <c r="BS14" i="5"/>
  <c r="CK14" i="5"/>
  <c r="AT409" i="5"/>
  <c r="AT410" i="5" s="1"/>
  <c r="AS409" i="5"/>
  <c r="AS410" i="5" s="1"/>
  <c r="BK342" i="5"/>
  <c r="BQ47" i="5"/>
  <c r="BB94" i="5"/>
  <c r="BE214" i="5"/>
  <c r="AV14" i="5"/>
  <c r="BO14" i="5" s="1"/>
  <c r="AZ51" i="5"/>
  <c r="BY51" i="5"/>
  <c r="BE14" i="5"/>
  <c r="BR14" i="5"/>
  <c r="F67" i="17"/>
  <c r="BR374" i="5"/>
  <c r="BB98" i="5"/>
  <c r="BQ206" i="5"/>
  <c r="BU30" i="5"/>
  <c r="BV94" i="5"/>
  <c r="BM214" i="5"/>
  <c r="CD98" i="5"/>
  <c r="AT407" i="5"/>
  <c r="AT408" i="5" s="1"/>
  <c r="AS407" i="5"/>
  <c r="AS408" i="5" s="1"/>
  <c r="BG70" i="5"/>
  <c r="CI70" i="5"/>
  <c r="BG310" i="5"/>
  <c r="BQ122" i="5"/>
  <c r="CC122" i="5"/>
  <c r="CA206" i="5"/>
  <c r="AU58" i="5"/>
  <c r="BN58" i="5" s="1"/>
  <c r="BN70" i="5"/>
  <c r="CK70" i="5"/>
  <c r="BI310" i="5"/>
  <c r="AU126" i="5"/>
  <c r="BB126" i="5" s="1"/>
  <c r="BF122" i="5"/>
  <c r="BW122" i="5"/>
  <c r="BK122" i="5"/>
  <c r="BV122" i="5"/>
  <c r="BF19" i="5"/>
  <c r="BJ126" i="5"/>
  <c r="BF70" i="5"/>
  <c r="AZ110" i="5"/>
  <c r="BW310" i="5"/>
  <c r="BA122" i="5"/>
  <c r="BP122" i="5" s="1"/>
  <c r="BM122" i="5"/>
  <c r="CF122" i="5"/>
  <c r="BT19" i="5"/>
  <c r="BR126" i="5"/>
  <c r="BV70" i="5"/>
  <c r="CD310" i="5"/>
  <c r="BH122" i="5"/>
  <c r="BR122" i="5"/>
  <c r="CE122" i="5"/>
  <c r="CG19" i="5"/>
  <c r="BI126" i="5"/>
  <c r="BB70" i="5"/>
  <c r="BS70" i="5"/>
  <c r="BE310" i="5"/>
  <c r="CE310" i="5"/>
  <c r="BG122" i="5"/>
  <c r="BT122" i="5"/>
  <c r="CD122" i="5"/>
  <c r="BU126" i="5"/>
  <c r="AU122" i="5"/>
  <c r="BN122" i="5" s="1"/>
  <c r="BE70" i="5"/>
  <c r="CE70" i="5"/>
  <c r="BK310" i="5"/>
  <c r="CC310" i="5"/>
  <c r="BI122" i="5"/>
  <c r="BY122" i="5"/>
  <c r="CI122" i="5"/>
  <c r="CE126" i="5"/>
  <c r="BS206" i="5"/>
  <c r="BJ70" i="5"/>
  <c r="BR70" i="5"/>
  <c r="CF70" i="5"/>
  <c r="BB310" i="5"/>
  <c r="BM310" i="5"/>
  <c r="CF310" i="5"/>
  <c r="AZ122" i="5"/>
  <c r="BJ122" i="5"/>
  <c r="BU122" i="5"/>
  <c r="CK19" i="5"/>
  <c r="BK126" i="5"/>
  <c r="CC206" i="5"/>
  <c r="AY70" i="5"/>
  <c r="CC70" i="5"/>
  <c r="CD70" i="5"/>
  <c r="AZ310" i="5"/>
  <c r="BS310" i="5"/>
  <c r="CI310" i="5"/>
  <c r="BE19" i="5"/>
  <c r="BD126" i="5"/>
  <c r="BE206" i="5"/>
  <c r="BM70" i="5"/>
  <c r="BU70" i="5"/>
  <c r="BA310" i="5"/>
  <c r="BP310" i="5" s="1"/>
  <c r="BV310" i="5"/>
  <c r="BA19" i="5"/>
  <c r="BP19" i="5" s="1"/>
  <c r="BF206" i="5"/>
  <c r="BE110" i="5"/>
  <c r="AU27" i="5"/>
  <c r="BB27" i="5" s="1"/>
  <c r="BR19" i="5"/>
  <c r="BV206" i="5"/>
  <c r="BT110" i="5"/>
  <c r="BY19" i="5"/>
  <c r="BE126" i="5"/>
  <c r="CC126" i="5"/>
  <c r="CJ94" i="5"/>
  <c r="BY374" i="5"/>
  <c r="CK30" i="5"/>
  <c r="BM94" i="5"/>
  <c r="BE374" i="5"/>
  <c r="AY206" i="5"/>
  <c r="CE206" i="5"/>
  <c r="BJ30" i="5"/>
  <c r="BJ206" i="5"/>
  <c r="CG206" i="5"/>
  <c r="BD206" i="5"/>
  <c r="CJ206" i="5"/>
  <c r="BB350" i="5"/>
  <c r="BF350" i="5"/>
  <c r="CI350" i="5"/>
  <c r="BJ26" i="5"/>
  <c r="BS39" i="5"/>
  <c r="AV55" i="5"/>
  <c r="BC55" i="5" s="1"/>
  <c r="CC110" i="5"/>
  <c r="CE110" i="5"/>
  <c r="BT62" i="5"/>
  <c r="BD35" i="5"/>
  <c r="BO35" i="5"/>
  <c r="BX35" i="5"/>
  <c r="CC35" i="5"/>
  <c r="CH35" i="5"/>
  <c r="BY62" i="5"/>
  <c r="CE166" i="5"/>
  <c r="AU90" i="5"/>
  <c r="BN90" i="5" s="1"/>
  <c r="BQ90" i="5"/>
  <c r="BS90" i="5"/>
  <c r="CD90" i="5"/>
  <c r="AZ35" i="5"/>
  <c r="BA35" i="5"/>
  <c r="BP35" i="5" s="1"/>
  <c r="BG35" i="5"/>
  <c r="BW35" i="5"/>
  <c r="CI35" i="5"/>
  <c r="BM39" i="5"/>
  <c r="BA90" i="5"/>
  <c r="BP90" i="5" s="1"/>
  <c r="BK90" i="5"/>
  <c r="BY90" i="5"/>
  <c r="CI90" i="5"/>
  <c r="BF35" i="5"/>
  <c r="BS35" i="5"/>
  <c r="BL35" i="5"/>
  <c r="CG35" i="5"/>
  <c r="AU62" i="5"/>
  <c r="BN62" i="5" s="1"/>
  <c r="BM35" i="5"/>
  <c r="BT35" i="5"/>
  <c r="BU35" i="5"/>
  <c r="CE35" i="5"/>
  <c r="AY35" i="5"/>
  <c r="BI35" i="5"/>
  <c r="BZ35" i="5"/>
  <c r="CF35" i="5"/>
  <c r="AZ62" i="5"/>
  <c r="AY114" i="5"/>
  <c r="BH62" i="5"/>
  <c r="BC206" i="5"/>
  <c r="BW206" i="5"/>
  <c r="CK206" i="5"/>
  <c r="AU358" i="5"/>
  <c r="BB358" i="5" s="1"/>
  <c r="BM110" i="5"/>
  <c r="CD110" i="5"/>
  <c r="CE198" i="5"/>
  <c r="BI110" i="5"/>
  <c r="BO206" i="5"/>
  <c r="BZ206" i="5"/>
  <c r="BF110" i="5"/>
  <c r="AV358" i="5"/>
  <c r="BC358" i="5" s="1"/>
  <c r="BV110" i="5"/>
  <c r="BI206" i="5"/>
  <c r="CF206" i="5"/>
  <c r="AY110" i="5"/>
  <c r="CA110" i="5"/>
  <c r="CI82" i="5"/>
  <c r="BK62" i="5"/>
  <c r="BR62" i="5"/>
  <c r="BT11" i="5"/>
  <c r="CG11" i="5"/>
  <c r="BL78" i="5"/>
  <c r="BG198" i="5"/>
  <c r="CI198" i="5"/>
  <c r="BE30" i="5"/>
  <c r="BT94" i="5"/>
  <c r="AZ214" i="5"/>
  <c r="BU214" i="5"/>
  <c r="CJ374" i="5"/>
  <c r="BV11" i="5"/>
  <c r="CK11" i="5"/>
  <c r="BE51" i="5"/>
  <c r="CC51" i="5"/>
  <c r="BH30" i="5"/>
  <c r="BY94" i="5"/>
  <c r="AY214" i="5"/>
  <c r="CI214" i="5"/>
  <c r="BG114" i="5"/>
  <c r="BR30" i="5"/>
  <c r="BZ94" i="5"/>
  <c r="BI214" i="5"/>
  <c r="CK214" i="5"/>
  <c r="BY114" i="5"/>
  <c r="AZ198" i="5"/>
  <c r="AY55" i="5"/>
  <c r="CC55" i="5"/>
  <c r="BK55" i="5"/>
  <c r="CK55" i="5"/>
  <c r="BD55" i="5"/>
  <c r="BU55" i="5"/>
  <c r="BM55" i="5"/>
  <c r="BS55" i="5"/>
  <c r="BF55" i="5"/>
  <c r="CA55" i="5"/>
  <c r="BY26" i="5"/>
  <c r="BF62" i="5"/>
  <c r="CC62" i="5"/>
  <c r="AY62" i="5"/>
  <c r="CK62" i="5"/>
  <c r="CK270" i="5"/>
  <c r="AZ374" i="5"/>
  <c r="BN374" i="5"/>
  <c r="BL374" i="5"/>
  <c r="CA374" i="5"/>
  <c r="CI374" i="5"/>
  <c r="AU198" i="5"/>
  <c r="BN198" i="5" s="1"/>
  <c r="BW43" i="5"/>
  <c r="BA198" i="5"/>
  <c r="BP198" i="5" s="1"/>
  <c r="BH198" i="5"/>
  <c r="CC198" i="5"/>
  <c r="CA198" i="5"/>
  <c r="BG30" i="5"/>
  <c r="BF30" i="5"/>
  <c r="BS30" i="5"/>
  <c r="BG94" i="5"/>
  <c r="BH94" i="5"/>
  <c r="BX94" i="5"/>
  <c r="CG94" i="5"/>
  <c r="BA374" i="5"/>
  <c r="BP374" i="5" s="1"/>
  <c r="BM374" i="5"/>
  <c r="BV374" i="5"/>
  <c r="CD374" i="5"/>
  <c r="CK374" i="5"/>
  <c r="BE198" i="5"/>
  <c r="BD198" i="5"/>
  <c r="CF198" i="5"/>
  <c r="CK198" i="5"/>
  <c r="CA114" i="5"/>
  <c r="BF51" i="5"/>
  <c r="BS51" i="5"/>
  <c r="BU51" i="5"/>
  <c r="CI51" i="5"/>
  <c r="BK198" i="5"/>
  <c r="BT198" i="5"/>
  <c r="BV198" i="5"/>
  <c r="AU150" i="5"/>
  <c r="BB150" i="5" s="1"/>
  <c r="BK30" i="5"/>
  <c r="BI30" i="5"/>
  <c r="BY30" i="5"/>
  <c r="BE94" i="5"/>
  <c r="BL94" i="5"/>
  <c r="CE94" i="5"/>
  <c r="CH94" i="5"/>
  <c r="BD374" i="5"/>
  <c r="BG374" i="5"/>
  <c r="BQ374" i="5"/>
  <c r="CE374" i="5"/>
  <c r="AV198" i="5"/>
  <c r="BC198" i="5" s="1"/>
  <c r="BE15" i="5"/>
  <c r="BK15" i="5"/>
  <c r="BV15" i="5"/>
  <c r="AY30" i="5"/>
  <c r="BM30" i="5"/>
  <c r="BT30" i="5"/>
  <c r="CE30" i="5"/>
  <c r="BJ94" i="5"/>
  <c r="BF94" i="5"/>
  <c r="CC94" i="5"/>
  <c r="CF94" i="5"/>
  <c r="BI190" i="5"/>
  <c r="BJ214" i="5"/>
  <c r="CD214" i="5"/>
  <c r="BQ270" i="5"/>
  <c r="BB374" i="5"/>
  <c r="BJ374" i="5"/>
  <c r="BX374" i="5"/>
  <c r="CC374" i="5"/>
  <c r="AV366" i="5"/>
  <c r="BO366" i="5" s="1"/>
  <c r="CE114" i="5"/>
  <c r="BJ51" i="5"/>
  <c r="BI51" i="5"/>
  <c r="CE51" i="5"/>
  <c r="CI59" i="5"/>
  <c r="BM198" i="5"/>
  <c r="BF198" i="5"/>
  <c r="BU198" i="5"/>
  <c r="AV94" i="5"/>
  <c r="BC94" i="5" s="1"/>
  <c r="BA30" i="5"/>
  <c r="BP30" i="5" s="1"/>
  <c r="BV30" i="5"/>
  <c r="CF30" i="5"/>
  <c r="BN94" i="5"/>
  <c r="BI94" i="5"/>
  <c r="BU94" i="5"/>
  <c r="CD94" i="5"/>
  <c r="BT190" i="5"/>
  <c r="BR270" i="5"/>
  <c r="AY374" i="5"/>
  <c r="BS374" i="5"/>
  <c r="BW374" i="5"/>
  <c r="CG374" i="5"/>
  <c r="AV374" i="5"/>
  <c r="BC374" i="5" s="1"/>
  <c r="AY198" i="5"/>
  <c r="BQ198" i="5"/>
  <c r="BS198" i="5"/>
  <c r="AV30" i="5"/>
  <c r="BC30" i="5" s="1"/>
  <c r="AZ30" i="5"/>
  <c r="BQ30" i="5"/>
  <c r="BW30" i="5"/>
  <c r="CD30" i="5"/>
  <c r="BA94" i="5"/>
  <c r="BP94" i="5" s="1"/>
  <c r="BQ94" i="5"/>
  <c r="BR94" i="5"/>
  <c r="BS94" i="5"/>
  <c r="CI94" i="5"/>
  <c r="BV190" i="5"/>
  <c r="BG214" i="5"/>
  <c r="BY214" i="5"/>
  <c r="BS270" i="5"/>
  <c r="BH374" i="5"/>
  <c r="BF374" i="5"/>
  <c r="BU374" i="5"/>
  <c r="CF374" i="5"/>
  <c r="BM114" i="5"/>
  <c r="AY51" i="5"/>
  <c r="BG51" i="5"/>
  <c r="CF51" i="5"/>
  <c r="BJ198" i="5"/>
  <c r="BW198" i="5"/>
  <c r="CD198" i="5"/>
  <c r="AV43" i="5"/>
  <c r="BO43" i="5" s="1"/>
  <c r="AZ206" i="5"/>
  <c r="BR206" i="5"/>
  <c r="BY206" i="5"/>
  <c r="AV150" i="5"/>
  <c r="BC150" i="5" s="1"/>
  <c r="AZ15" i="5"/>
  <c r="BQ15" i="5"/>
  <c r="BU15" i="5"/>
  <c r="BD30" i="5"/>
  <c r="CC30" i="5"/>
  <c r="AZ94" i="5"/>
  <c r="BK94" i="5"/>
  <c r="BW94" i="5"/>
  <c r="CA94" i="5"/>
  <c r="CK94" i="5"/>
  <c r="CG190" i="5"/>
  <c r="BF214" i="5"/>
  <c r="CC214" i="5"/>
  <c r="CF270" i="5"/>
  <c r="BF334" i="5"/>
  <c r="BK374" i="5"/>
  <c r="BT374" i="5"/>
  <c r="BZ374" i="5"/>
  <c r="CH374" i="5"/>
  <c r="BH114" i="5"/>
  <c r="BA51" i="5"/>
  <c r="BP51" i="5" s="1"/>
  <c r="BK51" i="5"/>
  <c r="BW51" i="5"/>
  <c r="BI198" i="5"/>
  <c r="BR198" i="5"/>
  <c r="BA62" i="5"/>
  <c r="BP62" i="5" s="1"/>
  <c r="BS62" i="5"/>
  <c r="BS78" i="5"/>
  <c r="BE39" i="5"/>
  <c r="BY39" i="5"/>
  <c r="CE39" i="5"/>
  <c r="AV262" i="5"/>
  <c r="BO262" i="5" s="1"/>
  <c r="AZ39" i="5"/>
  <c r="BI39" i="5"/>
  <c r="CI39" i="5"/>
  <c r="BJ166" i="5"/>
  <c r="BH39" i="5"/>
  <c r="BT39" i="5"/>
  <c r="BD166" i="5"/>
  <c r="BJ39" i="5"/>
  <c r="BW39" i="5"/>
  <c r="BQ166" i="5"/>
  <c r="AY39" i="5"/>
  <c r="BR39" i="5"/>
  <c r="AV286" i="5"/>
  <c r="BO286" i="5" s="1"/>
  <c r="BW166" i="5"/>
  <c r="AV39" i="5"/>
  <c r="BC39" i="5" s="1"/>
  <c r="BQ39" i="5"/>
  <c r="CK39" i="5"/>
  <c r="BB39" i="5"/>
  <c r="BZ39" i="5" s="1"/>
  <c r="BU39" i="5"/>
  <c r="CC39" i="5"/>
  <c r="BX190" i="5"/>
  <c r="BJ270" i="5"/>
  <c r="BH82" i="5"/>
  <c r="BQ43" i="5"/>
  <c r="BY78" i="5"/>
  <c r="CI43" i="5"/>
  <c r="CI190" i="5"/>
  <c r="BH270" i="5"/>
  <c r="BQ190" i="5"/>
  <c r="CH270" i="5"/>
  <c r="BQ62" i="5"/>
  <c r="CE62" i="5"/>
  <c r="BE190" i="5"/>
  <c r="BU190" i="5"/>
  <c r="BX270" i="5"/>
  <c r="AU82" i="5"/>
  <c r="BN82" i="5" s="1"/>
  <c r="BK190" i="5"/>
  <c r="CD190" i="5"/>
  <c r="AZ270" i="5"/>
  <c r="BY270" i="5"/>
  <c r="BM190" i="5"/>
  <c r="CE190" i="5"/>
  <c r="BE270" i="5"/>
  <c r="CA270" i="5"/>
  <c r="AV50" i="5"/>
  <c r="BC50" i="5" s="1"/>
  <c r="CD166" i="5"/>
  <c r="BG66" i="5"/>
  <c r="BR166" i="5"/>
  <c r="BM62" i="5"/>
  <c r="BU62" i="5"/>
  <c r="BC166" i="5"/>
  <c r="CJ166" i="5"/>
  <c r="CF78" i="5"/>
  <c r="BK166" i="5"/>
  <c r="CK166" i="5"/>
  <c r="BJ190" i="5"/>
  <c r="CC190" i="5"/>
  <c r="CK190" i="5"/>
  <c r="BG270" i="5"/>
  <c r="BV270" i="5"/>
  <c r="CJ270" i="5"/>
  <c r="CA82" i="5"/>
  <c r="BF11" i="5"/>
  <c r="BQ11" i="5"/>
  <c r="CI11" i="5"/>
  <c r="CF43" i="5"/>
  <c r="BJ78" i="5"/>
  <c r="CH78" i="5"/>
  <c r="BD190" i="5"/>
  <c r="BY190" i="5"/>
  <c r="BL270" i="5"/>
  <c r="BU270" i="5"/>
  <c r="BA42" i="5"/>
  <c r="BP42" i="5" s="1"/>
  <c r="BJ42" i="5"/>
  <c r="CD42" i="5"/>
  <c r="BM11" i="5"/>
  <c r="BF78" i="5"/>
  <c r="BG190" i="5"/>
  <c r="BW190" i="5"/>
  <c r="CF190" i="5"/>
  <c r="BA270" i="5"/>
  <c r="BP270" i="5" s="1"/>
  <c r="BT270" i="5"/>
  <c r="CD270" i="5"/>
  <c r="AY43" i="5"/>
  <c r="BM206" i="5"/>
  <c r="BL206" i="5"/>
  <c r="CD206" i="5"/>
  <c r="CC23" i="5"/>
  <c r="BA39" i="5"/>
  <c r="BP39" i="5" s="1"/>
  <c r="BV39" i="5"/>
  <c r="CF39" i="5"/>
  <c r="BG55" i="5"/>
  <c r="CD55" i="5"/>
  <c r="BK110" i="5"/>
  <c r="CF110" i="5"/>
  <c r="BI166" i="5"/>
  <c r="CF166" i="5"/>
  <c r="BF58" i="5"/>
  <c r="CC59" i="5"/>
  <c r="AZ66" i="5"/>
  <c r="BD62" i="5"/>
  <c r="CA62" i="5"/>
  <c r="BI78" i="5"/>
  <c r="CD78" i="5"/>
  <c r="AY166" i="5"/>
  <c r="BX166" i="5"/>
  <c r="AZ190" i="5"/>
  <c r="BF190" i="5"/>
  <c r="BS190" i="5"/>
  <c r="BK270" i="5"/>
  <c r="BW270" i="5"/>
  <c r="CE270" i="5"/>
  <c r="AV66" i="5"/>
  <c r="BC66" i="5" s="1"/>
  <c r="AU10" i="5"/>
  <c r="BB10" i="5" s="1"/>
  <c r="BE62" i="5"/>
  <c r="BI62" i="5"/>
  <c r="CD62" i="5"/>
  <c r="BH78" i="5"/>
  <c r="CI78" i="5"/>
  <c r="AU166" i="5"/>
  <c r="BN166" i="5" s="1"/>
  <c r="BD39" i="5"/>
  <c r="BG39" i="5"/>
  <c r="CD39" i="5"/>
  <c r="BL166" i="5"/>
  <c r="CG166" i="5"/>
  <c r="CI10" i="5"/>
  <c r="BE66" i="5"/>
  <c r="BD106" i="5"/>
  <c r="AZ166" i="5"/>
  <c r="BF166" i="5"/>
  <c r="BY166" i="5"/>
  <c r="BT10" i="5"/>
  <c r="BD10" i="5"/>
  <c r="CF66" i="5"/>
  <c r="BK78" i="5"/>
  <c r="BV78" i="5"/>
  <c r="CK78" i="5"/>
  <c r="BZ10" i="5"/>
  <c r="CH66" i="5"/>
  <c r="BG166" i="5"/>
  <c r="BV166" i="5"/>
  <c r="BZ166" i="5"/>
  <c r="AY10" i="5"/>
  <c r="BH66" i="5"/>
  <c r="CA10" i="5"/>
  <c r="BQ66" i="5"/>
  <c r="BH10" i="5"/>
  <c r="CK10" i="5"/>
  <c r="BX66" i="5"/>
  <c r="BF39" i="5"/>
  <c r="BK39" i="5"/>
  <c r="CA39" i="5"/>
  <c r="BJ55" i="5"/>
  <c r="BI55" i="5"/>
  <c r="CF55" i="5"/>
  <c r="BA166" i="5"/>
  <c r="BP166" i="5" s="1"/>
  <c r="BO166" i="5"/>
  <c r="BS166" i="5"/>
  <c r="CH166" i="5"/>
  <c r="BQ10" i="5"/>
  <c r="CE66" i="5"/>
  <c r="BY10" i="5"/>
  <c r="BJ59" i="5"/>
  <c r="BJ62" i="5"/>
  <c r="BV62" i="5"/>
  <c r="CI62" i="5"/>
  <c r="BU10" i="5"/>
  <c r="BJ58" i="5"/>
  <c r="BV66" i="5"/>
  <c r="G11" i="16"/>
  <c r="E49" i="10"/>
  <c r="AT405" i="5"/>
  <c r="AT406" i="5" s="1"/>
  <c r="AS405" i="5"/>
  <c r="AS406" i="5" s="1"/>
  <c r="I11" i="16"/>
  <c r="G49" i="10"/>
  <c r="F67" i="16"/>
  <c r="AU342" i="5"/>
  <c r="BN342" i="5" s="1"/>
  <c r="AY342" i="5"/>
  <c r="BF342" i="5"/>
  <c r="CD342" i="5"/>
  <c r="BB382" i="5"/>
  <c r="BH382" i="5"/>
  <c r="CI382" i="5"/>
  <c r="BY382" i="5"/>
  <c r="AU23" i="5"/>
  <c r="BN23" i="5" s="1"/>
  <c r="BM342" i="5"/>
  <c r="BS342" i="5"/>
  <c r="BY342" i="5"/>
  <c r="BG382" i="5"/>
  <c r="BF382" i="5"/>
  <c r="BV382" i="5"/>
  <c r="CC382" i="5"/>
  <c r="AU74" i="5"/>
  <c r="BB74" i="5" s="1"/>
  <c r="BF23" i="5"/>
  <c r="BM23" i="5"/>
  <c r="BR23" i="5"/>
  <c r="CK23" i="5"/>
  <c r="AY47" i="5"/>
  <c r="BG47" i="5"/>
  <c r="CF47" i="5"/>
  <c r="BA54" i="5"/>
  <c r="BP54" i="5" s="1"/>
  <c r="BQ54" i="5"/>
  <c r="AY118" i="5"/>
  <c r="BJ118" i="5"/>
  <c r="BU118" i="5"/>
  <c r="CH118" i="5"/>
  <c r="BH166" i="5"/>
  <c r="BM166" i="5"/>
  <c r="BU166" i="5"/>
  <c r="CA166" i="5"/>
  <c r="AZ10" i="5"/>
  <c r="BK10" i="5"/>
  <c r="CJ10" i="5"/>
  <c r="BK34" i="5"/>
  <c r="BM66" i="5"/>
  <c r="BZ66" i="5"/>
  <c r="AV118" i="5"/>
  <c r="BO118" i="5" s="1"/>
  <c r="BK222" i="5"/>
  <c r="CE222" i="5"/>
  <c r="CM400" i="5"/>
  <c r="I11" i="14" s="1"/>
  <c r="I39" i="14" s="1"/>
  <c r="AB39" i="14" s="1"/>
  <c r="BI342" i="5"/>
  <c r="BR342" i="5"/>
  <c r="CA342" i="5"/>
  <c r="BK382" i="5"/>
  <c r="BI382" i="5"/>
  <c r="CF382" i="5"/>
  <c r="CG382" i="5"/>
  <c r="AU47" i="5"/>
  <c r="BN47" i="5" s="1"/>
  <c r="AZ23" i="5"/>
  <c r="BG23" i="5"/>
  <c r="BT23" i="5"/>
  <c r="CI23" i="5"/>
  <c r="BD47" i="5"/>
  <c r="BK47" i="5"/>
  <c r="CC47" i="5"/>
  <c r="BK54" i="5"/>
  <c r="BW54" i="5"/>
  <c r="BK118" i="5"/>
  <c r="BD118" i="5"/>
  <c r="BS118" i="5"/>
  <c r="CD118" i="5"/>
  <c r="BW34" i="5"/>
  <c r="BL50" i="5"/>
  <c r="BQ222" i="5"/>
  <c r="CD222" i="5"/>
  <c r="AY382" i="5"/>
  <c r="BN382" i="5"/>
  <c r="BT382" i="5"/>
  <c r="BU382" i="5"/>
  <c r="CH382" i="5"/>
  <c r="BE23" i="5"/>
  <c r="BY23" i="5"/>
  <c r="BH54" i="5"/>
  <c r="BS54" i="5"/>
  <c r="BH118" i="5"/>
  <c r="BT118" i="5"/>
  <c r="CA118" i="5"/>
  <c r="CF118" i="5"/>
  <c r="BV34" i="5"/>
  <c r="BD222" i="5"/>
  <c r="BU222" i="5"/>
  <c r="AZ342" i="5"/>
  <c r="BH342" i="5"/>
  <c r="BW342" i="5"/>
  <c r="CF342" i="5"/>
  <c r="BD382" i="5"/>
  <c r="BJ382" i="5"/>
  <c r="BS382" i="5"/>
  <c r="CD382" i="5"/>
  <c r="CK382" i="5"/>
  <c r="BJ54" i="5"/>
  <c r="CE54" i="5"/>
  <c r="BG118" i="5"/>
  <c r="BF118" i="5"/>
  <c r="BX118" i="5"/>
  <c r="CG118" i="5"/>
  <c r="BL10" i="5"/>
  <c r="CF10" i="5"/>
  <c r="BX34" i="5"/>
  <c r="BR66" i="5"/>
  <c r="AU286" i="5"/>
  <c r="BN286" i="5" s="1"/>
  <c r="AZ222" i="5"/>
  <c r="BH222" i="5"/>
  <c r="BS222" i="5"/>
  <c r="BH23" i="5"/>
  <c r="BW23" i="5"/>
  <c r="CA23" i="5"/>
  <c r="AZ47" i="5"/>
  <c r="BU47" i="5"/>
  <c r="BR47" i="5"/>
  <c r="CE47" i="5"/>
  <c r="BD342" i="5"/>
  <c r="BJ342" i="5"/>
  <c r="BQ342" i="5"/>
  <c r="CE342" i="5"/>
  <c r="AZ382" i="5"/>
  <c r="BM382" i="5"/>
  <c r="BW382" i="5"/>
  <c r="CA382" i="5"/>
  <c r="CJ382" i="5"/>
  <c r="BJ23" i="5"/>
  <c r="BI23" i="5"/>
  <c r="CD23" i="5"/>
  <c r="BF47" i="5"/>
  <c r="BT47" i="5"/>
  <c r="BW47" i="5"/>
  <c r="CK47" i="5"/>
  <c r="BI54" i="5"/>
  <c r="BY54" i="5"/>
  <c r="AZ118" i="5"/>
  <c r="BL118" i="5"/>
  <c r="BR118" i="5"/>
  <c r="BY118" i="5"/>
  <c r="CI118" i="5"/>
  <c r="BE10" i="5"/>
  <c r="BV10" i="5"/>
  <c r="CE34" i="5"/>
  <c r="CI58" i="5"/>
  <c r="BT66" i="5"/>
  <c r="BR82" i="5"/>
  <c r="AU222" i="5"/>
  <c r="BB222" i="5" s="1"/>
  <c r="BA222" i="5"/>
  <c r="BP222" i="5" s="1"/>
  <c r="BI222" i="5"/>
  <c r="CA222" i="5"/>
  <c r="BK23" i="5"/>
  <c r="AV34" i="5"/>
  <c r="BO34" i="5" s="1"/>
  <c r="BC342" i="5"/>
  <c r="BO342" i="5"/>
  <c r="BV342" i="5"/>
  <c r="CI342" i="5"/>
  <c r="BE382" i="5"/>
  <c r="BQ382" i="5"/>
  <c r="BZ382" i="5"/>
  <c r="BX382" i="5"/>
  <c r="BA23" i="5"/>
  <c r="BP23" i="5" s="1"/>
  <c r="BV23" i="5"/>
  <c r="CF23" i="5"/>
  <c r="BH47" i="5"/>
  <c r="BJ47" i="5"/>
  <c r="BY47" i="5"/>
  <c r="CI47" i="5"/>
  <c r="BF54" i="5"/>
  <c r="CC54" i="5"/>
  <c r="BA118" i="5"/>
  <c r="BP118" i="5" s="1"/>
  <c r="BI118" i="5"/>
  <c r="BQ118" i="5"/>
  <c r="CE118" i="5"/>
  <c r="CK118" i="5"/>
  <c r="AY222" i="5"/>
  <c r="BR222" i="5"/>
  <c r="CF222" i="5"/>
  <c r="BD23" i="5"/>
  <c r="AY23" i="5"/>
  <c r="BS23" i="5"/>
  <c r="BE47" i="5"/>
  <c r="BS47" i="5"/>
  <c r="AV222" i="5"/>
  <c r="BO222" i="5" s="1"/>
  <c r="AZ54" i="5"/>
  <c r="BR54" i="5"/>
  <c r="CI54" i="5"/>
  <c r="BB118" i="5"/>
  <c r="BN118" i="5"/>
  <c r="BW118" i="5"/>
  <c r="BZ118" i="5"/>
  <c r="AY34" i="5"/>
  <c r="BE222" i="5"/>
  <c r="BW222" i="5"/>
  <c r="CK222" i="5"/>
  <c r="BK206" i="5"/>
  <c r="BH206" i="5"/>
  <c r="BU206" i="5"/>
  <c r="CI206" i="5"/>
  <c r="AV58" i="5"/>
  <c r="BC58" i="5" s="1"/>
  <c r="BA70" i="5"/>
  <c r="BP70" i="5" s="1"/>
  <c r="BK70" i="5"/>
  <c r="BQ70" i="5"/>
  <c r="BZ70" i="5"/>
  <c r="CG70" i="5"/>
  <c r="BG110" i="5"/>
  <c r="BR110" i="5"/>
  <c r="BS110" i="5"/>
  <c r="BN310" i="5"/>
  <c r="BF310" i="5"/>
  <c r="CA310" i="5"/>
  <c r="BD58" i="5"/>
  <c r="CD58" i="5"/>
  <c r="BL19" i="5"/>
  <c r="BS19" i="5"/>
  <c r="CC19" i="5"/>
  <c r="CH19" i="5"/>
  <c r="AY126" i="5"/>
  <c r="BQ126" i="5"/>
  <c r="BV126" i="5"/>
  <c r="CD126" i="5"/>
  <c r="BA206" i="5"/>
  <c r="BP206" i="5" s="1"/>
  <c r="BG206" i="5"/>
  <c r="BT206" i="5"/>
  <c r="BX206" i="5"/>
  <c r="CH206" i="5"/>
  <c r="AZ70" i="5"/>
  <c r="BH70" i="5"/>
  <c r="BW70" i="5"/>
  <c r="BY70" i="5"/>
  <c r="CJ70" i="5"/>
  <c r="BJ110" i="5"/>
  <c r="BH110" i="5"/>
  <c r="BY110" i="5"/>
  <c r="BD310" i="5"/>
  <c r="BH310" i="5"/>
  <c r="BR310" i="5"/>
  <c r="BY310" i="5"/>
  <c r="AY58" i="5"/>
  <c r="BM58" i="5"/>
  <c r="AY122" i="5"/>
  <c r="BD122" i="5"/>
  <c r="BS122" i="5"/>
  <c r="BJ19" i="5"/>
  <c r="BI19" i="5"/>
  <c r="BZ19" i="5"/>
  <c r="CJ19" i="5"/>
  <c r="AZ126" i="5"/>
  <c r="BH126" i="5"/>
  <c r="BS126" i="5"/>
  <c r="CK126" i="5"/>
  <c r="AZ58" i="5"/>
  <c r="BS58" i="5"/>
  <c r="AY19" i="5"/>
  <c r="BX19" i="5"/>
  <c r="BW19" i="5"/>
  <c r="CI19" i="5"/>
  <c r="BA126" i="5"/>
  <c r="BP126" i="5" s="1"/>
  <c r="BT126" i="5"/>
  <c r="CA126" i="5"/>
  <c r="BH58" i="5"/>
  <c r="BW58" i="5"/>
  <c r="BC19" i="5"/>
  <c r="BG19" i="5"/>
  <c r="CE19" i="5"/>
  <c r="AZ27" i="5"/>
  <c r="AU110" i="5"/>
  <c r="BB110" i="5" s="1"/>
  <c r="BA110" i="5"/>
  <c r="BP110" i="5" s="1"/>
  <c r="BD110" i="5"/>
  <c r="BW110" i="5"/>
  <c r="CI110" i="5"/>
  <c r="AV130" i="5"/>
  <c r="BO130" i="5" s="1"/>
  <c r="BQ58" i="5"/>
  <c r="BU58" i="5"/>
  <c r="AZ19" i="5"/>
  <c r="BQ19" i="5"/>
  <c r="BK19" i="5"/>
  <c r="CF19" i="5"/>
  <c r="BU27" i="5"/>
  <c r="BG126" i="5"/>
  <c r="BF126" i="5"/>
  <c r="BY126" i="5"/>
  <c r="CK27" i="5"/>
  <c r="CA358" i="5"/>
  <c r="BI70" i="5"/>
  <c r="BT70" i="5"/>
  <c r="BX70" i="5"/>
  <c r="CH70" i="5"/>
  <c r="BC110" i="5"/>
  <c r="BQ110" i="5"/>
  <c r="BU110" i="5"/>
  <c r="CK110" i="5"/>
  <c r="AY310" i="5"/>
  <c r="BT310" i="5"/>
  <c r="BU310" i="5"/>
  <c r="BR58" i="5"/>
  <c r="CE58" i="5"/>
  <c r="AZ74" i="5"/>
  <c r="AV310" i="5"/>
  <c r="BO310" i="5" s="1"/>
  <c r="BD19" i="5"/>
  <c r="BH19" i="5"/>
  <c r="BV19" i="5"/>
  <c r="CD19" i="5"/>
  <c r="BM126" i="5"/>
  <c r="BW126" i="5"/>
  <c r="CF126" i="5"/>
  <c r="CJ358" i="5"/>
  <c r="BF26" i="5"/>
  <c r="BU26" i="5"/>
  <c r="BT106" i="5"/>
  <c r="BQ78" i="5"/>
  <c r="AY174" i="5"/>
  <c r="BJ174" i="5"/>
  <c r="BV174" i="5"/>
  <c r="BX174" i="5"/>
  <c r="CK174" i="5"/>
  <c r="BJ238" i="5"/>
  <c r="BH238" i="5"/>
  <c r="BS238" i="5"/>
  <c r="CK238" i="5"/>
  <c r="AY26" i="5"/>
  <c r="BT26" i="5"/>
  <c r="BV26" i="5"/>
  <c r="BW106" i="5"/>
  <c r="BH27" i="5"/>
  <c r="BA174" i="5"/>
  <c r="BP174" i="5" s="1"/>
  <c r="BI174" i="5"/>
  <c r="BU174" i="5"/>
  <c r="CD174" i="5"/>
  <c r="AY238" i="5"/>
  <c r="BR238" i="5"/>
  <c r="BW238" i="5"/>
  <c r="BY238" i="5"/>
  <c r="BR286" i="5"/>
  <c r="BC26" i="5"/>
  <c r="BD26" i="5"/>
  <c r="CC26" i="5"/>
  <c r="CF106" i="5"/>
  <c r="BH26" i="5"/>
  <c r="CE26" i="5"/>
  <c r="CK26" i="5"/>
  <c r="CK6" i="5"/>
  <c r="BQ158" i="5"/>
  <c r="BK174" i="5"/>
  <c r="BQ174" i="5"/>
  <c r="BZ174" i="5"/>
  <c r="CG174" i="5"/>
  <c r="BG238" i="5"/>
  <c r="BQ238" i="5"/>
  <c r="CF238" i="5"/>
  <c r="CG238" i="5"/>
  <c r="BE350" i="5"/>
  <c r="BI350" i="5"/>
  <c r="BU350" i="5"/>
  <c r="AV38" i="5"/>
  <c r="BO38" i="5" s="1"/>
  <c r="AU26" i="5"/>
  <c r="BB26" i="5" s="1"/>
  <c r="BE26" i="5"/>
  <c r="CA26" i="5"/>
  <c r="BH55" i="5"/>
  <c r="BT55" i="5"/>
  <c r="AV67" i="5"/>
  <c r="BC67" i="5" s="1"/>
  <c r="BH86" i="5"/>
  <c r="BV86" i="5"/>
  <c r="BE134" i="5"/>
  <c r="BJ134" i="5"/>
  <c r="BW134" i="5"/>
  <c r="BZ134" i="5"/>
  <c r="CG134" i="5"/>
  <c r="BL350" i="5"/>
  <c r="BR350" i="5"/>
  <c r="BX350" i="5"/>
  <c r="BI26" i="5"/>
  <c r="BW26" i="5"/>
  <c r="CE74" i="5"/>
  <c r="BF106" i="5"/>
  <c r="BH130" i="5"/>
  <c r="BW158" i="5"/>
  <c r="BL174" i="5"/>
  <c r="BR174" i="5"/>
  <c r="CC174" i="5"/>
  <c r="BK238" i="5"/>
  <c r="BF238" i="5"/>
  <c r="BU238" i="5"/>
  <c r="BW74" i="5"/>
  <c r="BW27" i="5"/>
  <c r="BG358" i="5"/>
  <c r="G11" i="15"/>
  <c r="E38" i="10"/>
  <c r="CA130" i="5"/>
  <c r="AS402" i="5"/>
  <c r="AS403" i="5" s="1"/>
  <c r="AT402" i="5"/>
  <c r="AT403" i="5" s="1"/>
  <c r="BI10" i="5"/>
  <c r="BS10" i="5"/>
  <c r="CD18" i="5"/>
  <c r="BU50" i="5"/>
  <c r="AY66" i="5"/>
  <c r="BW66" i="5"/>
  <c r="CK66" i="5"/>
  <c r="BK27" i="5"/>
  <c r="I11" i="15"/>
  <c r="I39" i="15" s="1"/>
  <c r="AB39" i="15" s="1"/>
  <c r="G38" i="10"/>
  <c r="F67" i="15"/>
  <c r="BQ50" i="5"/>
  <c r="BR130" i="5"/>
  <c r="BT27" i="5"/>
  <c r="CC358" i="5"/>
  <c r="BX50" i="5"/>
  <c r="BJ74" i="5"/>
  <c r="BU130" i="5"/>
  <c r="CI50" i="5"/>
  <c r="BD74" i="5"/>
  <c r="AV27" i="5"/>
  <c r="BC27" i="5" s="1"/>
  <c r="CE27" i="5"/>
  <c r="BE326" i="5"/>
  <c r="BJ10" i="5"/>
  <c r="BX10" i="5"/>
  <c r="BG18" i="5"/>
  <c r="BH50" i="5"/>
  <c r="BG58" i="5"/>
  <c r="CA58" i="5"/>
  <c r="BA66" i="5"/>
  <c r="BP66" i="5" s="1"/>
  <c r="BY66" i="5"/>
  <c r="CG66" i="5"/>
  <c r="CG74" i="5"/>
  <c r="BH106" i="5"/>
  <c r="AY27" i="5"/>
  <c r="BE6" i="5"/>
  <c r="BE358" i="5"/>
  <c r="BF10" i="5"/>
  <c r="CC10" i="5"/>
  <c r="CH10" i="5"/>
  <c r="CA50" i="5"/>
  <c r="BI58" i="5"/>
  <c r="BY58" i="5"/>
  <c r="CK58" i="5"/>
  <c r="BF66" i="5"/>
  <c r="CC66" i="5"/>
  <c r="BL74" i="5"/>
  <c r="CK74" i="5"/>
  <c r="BA106" i="5"/>
  <c r="BP106" i="5" s="1"/>
  <c r="BS130" i="5"/>
  <c r="BI27" i="5"/>
  <c r="CF6" i="5"/>
  <c r="CI286" i="5"/>
  <c r="BX358" i="5"/>
  <c r="AV74" i="5"/>
  <c r="BO74" i="5" s="1"/>
  <c r="CC50" i="5"/>
  <c r="BT74" i="5"/>
  <c r="AZ130" i="5"/>
  <c r="CC27" i="5"/>
  <c r="BI358" i="5"/>
  <c r="BV18" i="5"/>
  <c r="BI50" i="5"/>
  <c r="BV74" i="5"/>
  <c r="CC106" i="5"/>
  <c r="BG130" i="5"/>
  <c r="BF358" i="5"/>
  <c r="BG286" i="5"/>
  <c r="BR358" i="5"/>
  <c r="BB50" i="5"/>
  <c r="BY50" i="5"/>
  <c r="BG74" i="5"/>
  <c r="CD74" i="5"/>
  <c r="BQ130" i="5"/>
  <c r="BV130" i="5"/>
  <c r="BF67" i="5"/>
  <c r="BI150" i="5"/>
  <c r="BE166" i="5"/>
  <c r="BT166" i="5"/>
  <c r="CC166" i="5"/>
  <c r="CI166" i="5"/>
  <c r="AY190" i="5"/>
  <c r="BH190" i="5"/>
  <c r="BZ190" i="5"/>
  <c r="AY270" i="5"/>
  <c r="BI270" i="5"/>
  <c r="CC270" i="5"/>
  <c r="CI270" i="5"/>
  <c r="AV10" i="5"/>
  <c r="BO10" i="5" s="1"/>
  <c r="BA10" i="5"/>
  <c r="BP10" i="5" s="1"/>
  <c r="BM10" i="5"/>
  <c r="CE10" i="5"/>
  <c r="CD10" i="5"/>
  <c r="CE18" i="5"/>
  <c r="BJ34" i="5"/>
  <c r="BK50" i="5"/>
  <c r="CH50" i="5"/>
  <c r="BE58" i="5"/>
  <c r="BT58" i="5"/>
  <c r="BV58" i="5"/>
  <c r="BJ66" i="5"/>
  <c r="BD66" i="5"/>
  <c r="BS66" i="5"/>
  <c r="CJ66" i="5"/>
  <c r="BK74" i="5"/>
  <c r="CI74" i="5"/>
  <c r="BR106" i="5"/>
  <c r="BA130" i="5"/>
  <c r="BP130" i="5" s="1"/>
  <c r="CD130" i="5"/>
  <c r="BJ27" i="5"/>
  <c r="BR27" i="5"/>
  <c r="BG6" i="5"/>
  <c r="BK286" i="5"/>
  <c r="BM358" i="5"/>
  <c r="AX400" i="5"/>
  <c r="BG10" i="5"/>
  <c r="BR10" i="5"/>
  <c r="BW10" i="5"/>
  <c r="BU34" i="5"/>
  <c r="AY50" i="5"/>
  <c r="BW50" i="5"/>
  <c r="BA58" i="5"/>
  <c r="BP58" i="5" s="1"/>
  <c r="BK58" i="5"/>
  <c r="CC58" i="5"/>
  <c r="BI66" i="5"/>
  <c r="CA66" i="5"/>
  <c r="AY74" i="5"/>
  <c r="CJ74" i="5"/>
  <c r="BI82" i="5"/>
  <c r="BI106" i="5"/>
  <c r="CE106" i="5"/>
  <c r="BK130" i="5"/>
  <c r="CC130" i="5"/>
  <c r="BA27" i="5"/>
  <c r="BP27" i="5" s="1"/>
  <c r="BY27" i="5"/>
  <c r="CH286" i="5"/>
  <c r="BZ358" i="5"/>
  <c r="BA50" i="5"/>
  <c r="BP50" i="5" s="1"/>
  <c r="BG50" i="5"/>
  <c r="CG50" i="5"/>
  <c r="CJ50" i="5"/>
  <c r="BE74" i="5"/>
  <c r="BY74" i="5"/>
  <c r="CA74" i="5"/>
  <c r="AY106" i="5"/>
  <c r="BS106" i="5"/>
  <c r="BE130" i="5"/>
  <c r="BD130" i="5"/>
  <c r="CE130" i="5"/>
  <c r="CF67" i="5"/>
  <c r="CK262" i="5"/>
  <c r="BX286" i="5"/>
  <c r="CI326" i="5"/>
  <c r="CL400" i="5"/>
  <c r="E27" i="10" s="1"/>
  <c r="BE50" i="5"/>
  <c r="BR50" i="5"/>
  <c r="BV50" i="5"/>
  <c r="CK50" i="5"/>
  <c r="BF74" i="5"/>
  <c r="BS74" i="5"/>
  <c r="BZ74" i="5"/>
  <c r="BI130" i="5"/>
  <c r="BW130" i="5"/>
  <c r="BA286" i="5"/>
  <c r="BP286" i="5" s="1"/>
  <c r="BY286" i="5"/>
  <c r="BD358" i="5"/>
  <c r="BQ358" i="5"/>
  <c r="CH358" i="5"/>
  <c r="AZ262" i="5"/>
  <c r="BD27" i="5"/>
  <c r="BG27" i="5"/>
  <c r="CA27" i="5"/>
  <c r="BU6" i="5"/>
  <c r="BI262" i="5"/>
  <c r="BH286" i="5"/>
  <c r="CJ286" i="5"/>
  <c r="AY358" i="5"/>
  <c r="CD358" i="5"/>
  <c r="AZ50" i="5"/>
  <c r="BN50" i="5"/>
  <c r="BT50" i="5"/>
  <c r="CF50" i="5"/>
  <c r="BI74" i="5"/>
  <c r="BQ74" i="5"/>
  <c r="CC74" i="5"/>
  <c r="CH74" i="5"/>
  <c r="BS262" i="5"/>
  <c r="BM67" i="5"/>
  <c r="CD262" i="5"/>
  <c r="BS286" i="5"/>
  <c r="AY326" i="5"/>
  <c r="BJ50" i="5"/>
  <c r="BD50" i="5"/>
  <c r="CD50" i="5"/>
  <c r="BZ50" i="5"/>
  <c r="BH74" i="5"/>
  <c r="BR74" i="5"/>
  <c r="BX74" i="5"/>
  <c r="BI67" i="5"/>
  <c r="CC262" i="5"/>
  <c r="BW286" i="5"/>
  <c r="CE326" i="5"/>
  <c r="BS358" i="5"/>
  <c r="CF358" i="5"/>
  <c r="BG254" i="5"/>
  <c r="CA334" i="5"/>
  <c r="BQ34" i="5"/>
  <c r="CK34" i="5"/>
  <c r="BU82" i="5"/>
  <c r="BS43" i="5"/>
  <c r="BD6" i="5"/>
  <c r="BT254" i="5"/>
  <c r="AU34" i="5"/>
  <c r="BN34" i="5" s="1"/>
  <c r="BG34" i="5"/>
  <c r="BE82" i="5"/>
  <c r="BV82" i="5"/>
  <c r="BT43" i="5"/>
  <c r="BT6" i="5"/>
  <c r="BG262" i="5"/>
  <c r="AW400" i="5"/>
  <c r="BT34" i="5"/>
  <c r="BJ82" i="5"/>
  <c r="BF27" i="5"/>
  <c r="CD27" i="5"/>
  <c r="BY43" i="5"/>
  <c r="CK67" i="5"/>
  <c r="BY6" i="5"/>
  <c r="BG62" i="5"/>
  <c r="BW62" i="5"/>
  <c r="CF62" i="5"/>
  <c r="CA158" i="5"/>
  <c r="BQ262" i="5"/>
  <c r="BJ358" i="5"/>
  <c r="BT358" i="5"/>
  <c r="CE358" i="5"/>
  <c r="BW82" i="5"/>
  <c r="BK98" i="5"/>
  <c r="BM27" i="5"/>
  <c r="BQ27" i="5"/>
  <c r="CF27" i="5"/>
  <c r="BM43" i="5"/>
  <c r="CA43" i="5"/>
  <c r="BI6" i="5"/>
  <c r="BA262" i="5"/>
  <c r="BP262" i="5" s="1"/>
  <c r="CE262" i="5"/>
  <c r="BQ326" i="5"/>
  <c r="BL358" i="5"/>
  <c r="BW358" i="5"/>
  <c r="CI358" i="5"/>
  <c r="G5" i="10"/>
  <c r="F75" i="14"/>
  <c r="F80" i="14" s="1"/>
  <c r="BC90" i="5"/>
  <c r="BO90" i="5"/>
  <c r="BM318" i="5"/>
  <c r="BF318" i="5"/>
  <c r="CA318" i="5"/>
  <c r="AV22" i="5"/>
  <c r="BO22" i="5" s="1"/>
  <c r="AU38" i="5"/>
  <c r="BN38" i="5" s="1"/>
  <c r="BK214" i="5"/>
  <c r="BQ214" i="5"/>
  <c r="CE214" i="5"/>
  <c r="CA254" i="5"/>
  <c r="BB270" i="5"/>
  <c r="BM334" i="5"/>
  <c r="AZ18" i="5"/>
  <c r="BQ82" i="5"/>
  <c r="CC82" i="5"/>
  <c r="AZ114" i="5"/>
  <c r="BU114" i="5"/>
  <c r="BA43" i="5"/>
  <c r="BP43" i="5" s="1"/>
  <c r="CC43" i="5"/>
  <c r="BH59" i="5"/>
  <c r="BD67" i="5"/>
  <c r="CI67" i="5"/>
  <c r="BV6" i="5"/>
  <c r="BJ222" i="5"/>
  <c r="BF222" i="5"/>
  <c r="CC222" i="5"/>
  <c r="BD262" i="5"/>
  <c r="BY262" i="5"/>
  <c r="BY326" i="5"/>
  <c r="BH18" i="5"/>
  <c r="CI22" i="5"/>
  <c r="BM18" i="5"/>
  <c r="BD82" i="5"/>
  <c r="CK82" i="5"/>
  <c r="BA114" i="5"/>
  <c r="BP114" i="5" s="1"/>
  <c r="CF114" i="5"/>
  <c r="BF59" i="5"/>
  <c r="BI38" i="5"/>
  <c r="BE262" i="5"/>
  <c r="BT262" i="5"/>
  <c r="CI262" i="5"/>
  <c r="BG59" i="5"/>
  <c r="BM38" i="5"/>
  <c r="BA214" i="5"/>
  <c r="BP214" i="5" s="1"/>
  <c r="BD214" i="5"/>
  <c r="BY18" i="5"/>
  <c r="BG26" i="5"/>
  <c r="BO26" i="5"/>
  <c r="CD26" i="5"/>
  <c r="BM50" i="5"/>
  <c r="BF50" i="5"/>
  <c r="BS50" i="5"/>
  <c r="CE50" i="5"/>
  <c r="BA74" i="5"/>
  <c r="BP74" i="5" s="1"/>
  <c r="BM74" i="5"/>
  <c r="BU74" i="5"/>
  <c r="AZ82" i="5"/>
  <c r="BS82" i="5"/>
  <c r="BQ106" i="5"/>
  <c r="CA106" i="5"/>
  <c r="BQ114" i="5"/>
  <c r="CI114" i="5"/>
  <c r="AU326" i="5"/>
  <c r="BM19" i="5"/>
  <c r="BO19" i="5"/>
  <c r="BU19" i="5"/>
  <c r="CA19" i="5"/>
  <c r="AZ43" i="5"/>
  <c r="BU43" i="5"/>
  <c r="BK59" i="5"/>
  <c r="BG67" i="5"/>
  <c r="BK6" i="5"/>
  <c r="CC38" i="5"/>
  <c r="BM222" i="5"/>
  <c r="BT222" i="5"/>
  <c r="BM262" i="5"/>
  <c r="BW262" i="5"/>
  <c r="AY286" i="5"/>
  <c r="CA286" i="5"/>
  <c r="BJ326" i="5"/>
  <c r="BH43" i="5"/>
  <c r="BV43" i="5"/>
  <c r="BV59" i="5"/>
  <c r="CC67" i="5"/>
  <c r="BZ38" i="5"/>
  <c r="BJ262" i="5"/>
  <c r="BV262" i="5"/>
  <c r="BS326" i="5"/>
  <c r="BC126" i="5"/>
  <c r="BO126" i="5"/>
  <c r="BU18" i="5"/>
  <c r="AZ34" i="5"/>
  <c r="CF34" i="5"/>
  <c r="BK82" i="5"/>
  <c r="BT82" i="5"/>
  <c r="CF82" i="5"/>
  <c r="CE98" i="5"/>
  <c r="BJ106" i="5"/>
  <c r="BV106" i="5"/>
  <c r="BI114" i="5"/>
  <c r="BT114" i="5"/>
  <c r="AU158" i="5"/>
  <c r="BN158" i="5" s="1"/>
  <c r="BD43" i="5"/>
  <c r="BG43" i="5"/>
  <c r="CE43" i="5"/>
  <c r="AZ59" i="5"/>
  <c r="BS59" i="5"/>
  <c r="BA67" i="5"/>
  <c r="BP67" i="5" s="1"/>
  <c r="CD67" i="5"/>
  <c r="BR38" i="5"/>
  <c r="BF158" i="5"/>
  <c r="BE286" i="5"/>
  <c r="BT286" i="5"/>
  <c r="CF286" i="5"/>
  <c r="BM326" i="5"/>
  <c r="CK326" i="5"/>
  <c r="AY59" i="5"/>
  <c r="CF59" i="5"/>
  <c r="BS67" i="5"/>
  <c r="BI22" i="5"/>
  <c r="BM286" i="5"/>
  <c r="CD286" i="5"/>
  <c r="CK286" i="5"/>
  <c r="CD326" i="5"/>
  <c r="AY54" i="5"/>
  <c r="BV54" i="5"/>
  <c r="CF54" i="5"/>
  <c r="BD18" i="5"/>
  <c r="AZ26" i="5"/>
  <c r="BK26" i="5"/>
  <c r="BS26" i="5"/>
  <c r="CF26" i="5"/>
  <c r="BR34" i="5"/>
  <c r="CJ34" i="5"/>
  <c r="BF82" i="5"/>
  <c r="BG106" i="5"/>
  <c r="BY106" i="5"/>
  <c r="CI106" i="5"/>
  <c r="BF114" i="5"/>
  <c r="BF43" i="5"/>
  <c r="BR43" i="5"/>
  <c r="BA59" i="5"/>
  <c r="BP59" i="5" s="1"/>
  <c r="BY67" i="5"/>
  <c r="BT22" i="5"/>
  <c r="AY158" i="5"/>
  <c r="BQ286" i="5"/>
  <c r="BU286" i="5"/>
  <c r="BA326" i="5"/>
  <c r="BV326" i="5"/>
  <c r="BM54" i="5"/>
  <c r="BE18" i="5"/>
  <c r="BM34" i="5"/>
  <c r="CC34" i="5"/>
  <c r="BY390" i="5"/>
  <c r="CJ390" i="5"/>
  <c r="CE142" i="5"/>
  <c r="BA142" i="5"/>
  <c r="AU55" i="5"/>
  <c r="CE55" i="5"/>
  <c r="BR55" i="5"/>
  <c r="BQ55" i="5"/>
  <c r="BE55" i="5"/>
  <c r="AT399" i="5"/>
  <c r="AS399" i="5"/>
  <c r="AU190" i="5"/>
  <c r="CJ190" i="5"/>
  <c r="CA190" i="5"/>
  <c r="BR190" i="5"/>
  <c r="BL190" i="5"/>
  <c r="BA190" i="5"/>
  <c r="BP190" i="5" s="1"/>
  <c r="CE6" i="5"/>
  <c r="BR6" i="5"/>
  <c r="BA6" i="5"/>
  <c r="BP6" i="5" s="1"/>
  <c r="BS6" i="5"/>
  <c r="BM6" i="5"/>
  <c r="AV270" i="5"/>
  <c r="CG270" i="5"/>
  <c r="BZ270" i="5"/>
  <c r="BF270" i="5"/>
  <c r="BM270" i="5"/>
  <c r="BD270" i="5"/>
  <c r="AT398" i="5"/>
  <c r="AS398" i="5"/>
  <c r="CC150" i="5"/>
  <c r="CF150" i="5"/>
  <c r="AV82" i="5"/>
  <c r="BO82" i="5" s="1"/>
  <c r="CD82" i="5"/>
  <c r="BG82" i="5"/>
  <c r="BA82" i="5"/>
  <c r="BP82" i="5" s="1"/>
  <c r="CG82" i="5"/>
  <c r="BY82" i="5"/>
  <c r="BM82" i="5"/>
  <c r="AY82" i="5"/>
  <c r="CF18" i="5"/>
  <c r="CA18" i="5"/>
  <c r="BJ18" i="5"/>
  <c r="CC18" i="5"/>
  <c r="BQ18" i="5"/>
  <c r="AY18" i="5"/>
  <c r="CK38" i="5"/>
  <c r="BL38" i="5"/>
  <c r="BX38" i="5"/>
  <c r="CA214" i="5"/>
  <c r="BW214" i="5"/>
  <c r="BH214" i="5"/>
  <c r="CK114" i="5"/>
  <c r="BS114" i="5"/>
  <c r="BJ114" i="5"/>
  <c r="CD114" i="5"/>
  <c r="BD114" i="5"/>
  <c r="BE114" i="5"/>
  <c r="AU59" i="5"/>
  <c r="BN59" i="5" s="1"/>
  <c r="BW59" i="5"/>
  <c r="BM59" i="5"/>
  <c r="CE59" i="5"/>
  <c r="BU59" i="5"/>
  <c r="BZ34" i="5"/>
  <c r="CI34" i="5"/>
  <c r="BS34" i="5"/>
  <c r="BH34" i="5"/>
  <c r="CA34" i="5"/>
  <c r="BL34" i="5"/>
  <c r="BA34" i="5"/>
  <c r="BP34" i="5" s="1"/>
  <c r="AU54" i="5"/>
  <c r="AV54" i="5"/>
  <c r="BO54" i="5" s="1"/>
  <c r="CK54" i="5"/>
  <c r="BU54" i="5"/>
  <c r="BD54" i="5"/>
  <c r="BG54" i="5"/>
  <c r="CI7" i="5"/>
  <c r="BS7" i="5"/>
  <c r="BG7" i="5"/>
  <c r="BF7" i="5"/>
  <c r="CK158" i="5"/>
  <c r="BV158" i="5"/>
  <c r="BY158" i="5"/>
  <c r="BK158" i="5"/>
  <c r="AV158" i="5"/>
  <c r="BO158" i="5" s="1"/>
  <c r="CA86" i="5"/>
  <c r="BR86" i="5"/>
  <c r="BM86" i="5"/>
  <c r="BT390" i="5"/>
  <c r="AZ350" i="5"/>
  <c r="BK350" i="5"/>
  <c r="BZ350" i="5"/>
  <c r="CD350" i="5"/>
  <c r="CK350" i="5"/>
  <c r="BQ26" i="5"/>
  <c r="BM26" i="5"/>
  <c r="CI26" i="5"/>
  <c r="BE106" i="5"/>
  <c r="BK106" i="5"/>
  <c r="CD106" i="5"/>
  <c r="AU262" i="5"/>
  <c r="BN262" i="5" s="1"/>
  <c r="BE27" i="5"/>
  <c r="BS27" i="5"/>
  <c r="BV27" i="5"/>
  <c r="BJ43" i="5"/>
  <c r="BK43" i="5"/>
  <c r="CD43" i="5"/>
  <c r="BH67" i="5"/>
  <c r="BW67" i="5"/>
  <c r="BH262" i="5"/>
  <c r="CF262" i="5"/>
  <c r="BD286" i="5"/>
  <c r="BI286" i="5"/>
  <c r="BZ286" i="5"/>
  <c r="AZ326" i="5"/>
  <c r="BW326" i="5"/>
  <c r="BA358" i="5"/>
  <c r="BP358" i="5" s="1"/>
  <c r="BK358" i="5"/>
  <c r="BU358" i="5"/>
  <c r="CG358" i="5"/>
  <c r="G11" i="13"/>
  <c r="E16" i="10"/>
  <c r="I11" i="13"/>
  <c r="I39" i="13" s="1"/>
  <c r="AB39" i="13" s="1"/>
  <c r="G16" i="10"/>
  <c r="AZ106" i="5"/>
  <c r="BM106" i="5"/>
  <c r="BU106" i="5"/>
  <c r="BB43" i="5"/>
  <c r="BZ43" i="5" s="1"/>
  <c r="AY67" i="5"/>
  <c r="BU67" i="5"/>
  <c r="BO62" i="5"/>
  <c r="BH326" i="5"/>
  <c r="CA326" i="5"/>
  <c r="F67" i="13"/>
  <c r="BA150" i="5"/>
  <c r="BP150" i="5" s="1"/>
  <c r="BH150" i="5"/>
  <c r="BT150" i="5"/>
  <c r="CE150" i="5"/>
  <c r="AZ254" i="5"/>
  <c r="BQ254" i="5"/>
  <c r="BS254" i="5"/>
  <c r="CE254" i="5"/>
  <c r="CJ254" i="5"/>
  <c r="AY334" i="5"/>
  <c r="BR334" i="5"/>
  <c r="CI334" i="5"/>
  <c r="BJ67" i="5"/>
  <c r="BV67" i="5"/>
  <c r="BH6" i="5"/>
  <c r="CC6" i="5"/>
  <c r="BJ22" i="5"/>
  <c r="BS22" i="5"/>
  <c r="BA38" i="5"/>
  <c r="BP38" i="5" s="1"/>
  <c r="BT38" i="5"/>
  <c r="CG38" i="5"/>
  <c r="BR142" i="5"/>
  <c r="BM158" i="5"/>
  <c r="BS158" i="5"/>
  <c r="AZ286" i="5"/>
  <c r="BL286" i="5"/>
  <c r="BV286" i="5"/>
  <c r="CE286" i="5"/>
  <c r="BD326" i="5"/>
  <c r="BG326" i="5"/>
  <c r="BR326" i="5"/>
  <c r="CF326" i="5"/>
  <c r="AV382" i="5"/>
  <c r="AZ150" i="5"/>
  <c r="BM150" i="5"/>
  <c r="BW150" i="5"/>
  <c r="CD150" i="5"/>
  <c r="BE254" i="5"/>
  <c r="BL254" i="5"/>
  <c r="BX254" i="5"/>
  <c r="CK254" i="5"/>
  <c r="BE334" i="5"/>
  <c r="BQ334" i="5"/>
  <c r="BW334" i="5"/>
  <c r="CE334" i="5"/>
  <c r="BD22" i="5"/>
  <c r="BY22" i="5"/>
  <c r="BG38" i="5"/>
  <c r="BQ38" i="5"/>
  <c r="CA38" i="5"/>
  <c r="CI142" i="5"/>
  <c r="AV254" i="5"/>
  <c r="BC254" i="5" s="1"/>
  <c r="AY150" i="5"/>
  <c r="CA150" i="5"/>
  <c r="CI150" i="5"/>
  <c r="BA254" i="5"/>
  <c r="BP254" i="5" s="1"/>
  <c r="BD254" i="5"/>
  <c r="BW254" i="5"/>
  <c r="BY254" i="5"/>
  <c r="BD334" i="5"/>
  <c r="BI334" i="5"/>
  <c r="CF334" i="5"/>
  <c r="CK334" i="5"/>
  <c r="AZ22" i="5"/>
  <c r="BF22" i="5"/>
  <c r="CC22" i="5"/>
  <c r="BJ150" i="5"/>
  <c r="BD150" i="5"/>
  <c r="BU150" i="5"/>
  <c r="CK150" i="5"/>
  <c r="BH254" i="5"/>
  <c r="BZ254" i="5"/>
  <c r="CC254" i="5"/>
  <c r="AZ334" i="5"/>
  <c r="BT334" i="5"/>
  <c r="CC334" i="5"/>
  <c r="AU18" i="5"/>
  <c r="BB18" i="5" s="1"/>
  <c r="BK18" i="5"/>
  <c r="BT18" i="5"/>
  <c r="CK18" i="5"/>
  <c r="BE34" i="5"/>
  <c r="BF34" i="5"/>
  <c r="BY34" i="5"/>
  <c r="BD98" i="5"/>
  <c r="BE43" i="5"/>
  <c r="BI43" i="5"/>
  <c r="CK43" i="5"/>
  <c r="BT59" i="5"/>
  <c r="CD59" i="5"/>
  <c r="AZ67" i="5"/>
  <c r="BQ67" i="5"/>
  <c r="BK67" i="5"/>
  <c r="CA67" i="5"/>
  <c r="AZ6" i="5"/>
  <c r="BF6" i="5"/>
  <c r="CD6" i="5"/>
  <c r="BA22" i="5"/>
  <c r="BP22" i="5" s="1"/>
  <c r="BL22" i="5"/>
  <c r="CE22" i="5"/>
  <c r="BH38" i="5"/>
  <c r="BV38" i="5"/>
  <c r="CJ38" i="5"/>
  <c r="BE158" i="5"/>
  <c r="BI158" i="5"/>
  <c r="CE158" i="5"/>
  <c r="BK262" i="5"/>
  <c r="BR262" i="5"/>
  <c r="CA262" i="5"/>
  <c r="BJ286" i="5"/>
  <c r="BF286" i="5"/>
  <c r="CC286" i="5"/>
  <c r="BI326" i="5"/>
  <c r="BT326" i="5"/>
  <c r="CC326" i="5"/>
  <c r="AZ358" i="5"/>
  <c r="BH358" i="5"/>
  <c r="BV358" i="5"/>
  <c r="BY358" i="5"/>
  <c r="BG150" i="5"/>
  <c r="BF150" i="5"/>
  <c r="BS150" i="5"/>
  <c r="BK254" i="5"/>
  <c r="BR254" i="5"/>
  <c r="BV254" i="5"/>
  <c r="CF254" i="5"/>
  <c r="BJ334" i="5"/>
  <c r="BS334" i="5"/>
  <c r="BU334" i="5"/>
  <c r="BD59" i="5"/>
  <c r="BQ59" i="5"/>
  <c r="BY59" i="5"/>
  <c r="BE67" i="5"/>
  <c r="BT67" i="5"/>
  <c r="BR67" i="5"/>
  <c r="BG22" i="5"/>
  <c r="BQ22" i="5"/>
  <c r="CF22" i="5"/>
  <c r="BJ38" i="5"/>
  <c r="CE38" i="5"/>
  <c r="BJ158" i="5"/>
  <c r="BT158" i="5"/>
  <c r="CI158" i="5"/>
  <c r="BK326" i="5"/>
  <c r="BF326" i="5"/>
  <c r="BD390" i="5"/>
  <c r="BK150" i="5"/>
  <c r="BV150" i="5"/>
  <c r="BY150" i="5"/>
  <c r="BM254" i="5"/>
  <c r="BF254" i="5"/>
  <c r="BU254" i="5"/>
  <c r="CI254" i="5"/>
  <c r="BG334" i="5"/>
  <c r="BH334" i="5"/>
  <c r="BY334" i="5"/>
  <c r="BK22" i="5"/>
  <c r="CA22" i="5"/>
  <c r="CJ22" i="5"/>
  <c r="BE150" i="5"/>
  <c r="BQ150" i="5"/>
  <c r="AY254" i="5"/>
  <c r="BJ254" i="5"/>
  <c r="BI254" i="5"/>
  <c r="CD254" i="5"/>
  <c r="CH254" i="5"/>
  <c r="BA334" i="5"/>
  <c r="BP334" i="5" s="1"/>
  <c r="BK334" i="5"/>
  <c r="BV334" i="5"/>
  <c r="AU22" i="5"/>
  <c r="BN22" i="5" s="1"/>
  <c r="BH22" i="5"/>
  <c r="BU22" i="5"/>
  <c r="AV142" i="5"/>
  <c r="BC142" i="5" s="1"/>
  <c r="BI98" i="5"/>
  <c r="BR98" i="5"/>
  <c r="AY142" i="5"/>
  <c r="BI142" i="5"/>
  <c r="BE390" i="5"/>
  <c r="AV318" i="5"/>
  <c r="BO318" i="5" s="1"/>
  <c r="CC98" i="5"/>
  <c r="BT98" i="5"/>
  <c r="BH98" i="5"/>
  <c r="AY98" i="5"/>
  <c r="CH390" i="5"/>
  <c r="BU390" i="5"/>
  <c r="BF390" i="5"/>
  <c r="BI390" i="5"/>
  <c r="BA390" i="5"/>
  <c r="BP390" i="5" s="1"/>
  <c r="CG390" i="5"/>
  <c r="CD390" i="5"/>
  <c r="BS390" i="5"/>
  <c r="BM390" i="5"/>
  <c r="CE390" i="5"/>
  <c r="BR390" i="5"/>
  <c r="AZ390" i="5"/>
  <c r="AU142" i="5"/>
  <c r="CA142" i="5"/>
  <c r="BF142" i="5"/>
  <c r="BK142" i="5"/>
  <c r="BY142" i="5"/>
  <c r="BT142" i="5"/>
  <c r="CD142" i="5"/>
  <c r="BW142" i="5"/>
  <c r="BQ142" i="5"/>
  <c r="AZ142" i="5"/>
  <c r="AZ98" i="5"/>
  <c r="BW98" i="5"/>
  <c r="BV98" i="5"/>
  <c r="BE142" i="5"/>
  <c r="BH142" i="5"/>
  <c r="CK142" i="5"/>
  <c r="BJ390" i="5"/>
  <c r="BQ390" i="5"/>
  <c r="CF390" i="5"/>
  <c r="AU130" i="5"/>
  <c r="CK130" i="5"/>
  <c r="BY130" i="5"/>
  <c r="BF130" i="5"/>
  <c r="BJ130" i="5"/>
  <c r="G11" i="12"/>
  <c r="E5" i="10"/>
  <c r="AU78" i="5"/>
  <c r="BB78" i="5" s="1"/>
  <c r="CJ78" i="5"/>
  <c r="BX78" i="5"/>
  <c r="BR78" i="5"/>
  <c r="AY78" i="5"/>
  <c r="CG78" i="5"/>
  <c r="BZ78" i="5"/>
  <c r="BT78" i="5"/>
  <c r="BG78" i="5"/>
  <c r="BA78" i="5"/>
  <c r="BP78" i="5" s="1"/>
  <c r="CE78" i="5"/>
  <c r="CA78" i="5"/>
  <c r="BD78" i="5"/>
  <c r="BM78" i="5"/>
  <c r="AU42" i="5"/>
  <c r="AV42" i="5"/>
  <c r="CK42" i="5"/>
  <c r="BV42" i="5"/>
  <c r="CC42" i="5"/>
  <c r="BM42" i="5"/>
  <c r="AY42" i="5"/>
  <c r="CE11" i="5"/>
  <c r="BR11" i="5"/>
  <c r="BI11" i="5"/>
  <c r="BH11" i="5"/>
  <c r="CF11" i="5"/>
  <c r="BU11" i="5"/>
  <c r="BS11" i="5"/>
  <c r="BD11" i="5"/>
  <c r="CH11" i="5"/>
  <c r="CD11" i="5"/>
  <c r="BG11" i="5"/>
  <c r="BJ11" i="5"/>
  <c r="AU66" i="5"/>
  <c r="BN66" i="5" s="1"/>
  <c r="CI66" i="5"/>
  <c r="BU66" i="5"/>
  <c r="BL66" i="5"/>
  <c r="BK66" i="5"/>
  <c r="AV98" i="5"/>
  <c r="BI18" i="5"/>
  <c r="BR18" i="5"/>
  <c r="BJ98" i="5"/>
  <c r="CI98" i="5"/>
  <c r="CF98" i="5"/>
  <c r="AY130" i="5"/>
  <c r="BM130" i="5"/>
  <c r="BT130" i="5"/>
  <c r="CI130" i="5"/>
  <c r="BM142" i="5"/>
  <c r="BV142" i="5"/>
  <c r="BL390" i="5"/>
  <c r="BX390" i="5"/>
  <c r="CA390" i="5"/>
  <c r="AU206" i="5"/>
  <c r="BM98" i="5"/>
  <c r="BS98" i="5"/>
  <c r="CK98" i="5"/>
  <c r="BJ142" i="5"/>
  <c r="BU142" i="5"/>
  <c r="AY390" i="5"/>
  <c r="CC390" i="5"/>
  <c r="CI390" i="5"/>
  <c r="CG22" i="5"/>
  <c r="BX22" i="5"/>
  <c r="BW22" i="5"/>
  <c r="BE22" i="5"/>
  <c r="CD22" i="5"/>
  <c r="CH22" i="5"/>
  <c r="BR22" i="5"/>
  <c r="BM22" i="5"/>
  <c r="BZ22" i="5"/>
  <c r="BV22" i="5"/>
  <c r="AY22" i="5"/>
  <c r="AV334" i="5"/>
  <c r="AU334" i="5"/>
  <c r="BQ98" i="5"/>
  <c r="BU98" i="5"/>
  <c r="BG142" i="5"/>
  <c r="BS142" i="5"/>
  <c r="BO326" i="5"/>
  <c r="BK390" i="5"/>
  <c r="BW390" i="5"/>
  <c r="CK390" i="5"/>
  <c r="AV18" i="5"/>
  <c r="CI18" i="5"/>
  <c r="BW18" i="5"/>
  <c r="BF18" i="5"/>
  <c r="BA18" i="5"/>
  <c r="BP18" i="5" s="1"/>
  <c r="CD38" i="5"/>
  <c r="BS38" i="5"/>
  <c r="BF38" i="5"/>
  <c r="BE38" i="5"/>
  <c r="CF38" i="5"/>
  <c r="BU38" i="5"/>
  <c r="BD38" i="5"/>
  <c r="AY38" i="5"/>
  <c r="CI38" i="5"/>
  <c r="BY38" i="5"/>
  <c r="BW38" i="5"/>
  <c r="BK38" i="5"/>
  <c r="AZ38" i="5"/>
  <c r="AU114" i="5"/>
  <c r="BV114" i="5"/>
  <c r="BR114" i="5"/>
  <c r="BK114" i="5"/>
  <c r="AV390" i="5"/>
  <c r="BC390" i="5" s="1"/>
  <c r="BE98" i="5"/>
  <c r="BF98" i="5"/>
  <c r="BY98" i="5"/>
  <c r="CC142" i="5"/>
  <c r="BG390" i="5"/>
  <c r="BV390" i="5"/>
  <c r="CG34" i="5"/>
  <c r="CD34" i="5"/>
  <c r="BD34" i="5"/>
  <c r="BI34" i="5"/>
  <c r="BA98" i="5"/>
  <c r="BG98" i="5"/>
  <c r="CA98" i="5"/>
  <c r="AU390" i="5"/>
  <c r="BN390" i="5" s="1"/>
  <c r="BD142" i="5"/>
  <c r="CF142" i="5"/>
  <c r="BH390" i="5"/>
  <c r="BZ390" i="5"/>
  <c r="AY6" i="5"/>
  <c r="BQ6" i="5"/>
  <c r="CA6" i="5"/>
  <c r="AZ158" i="5"/>
  <c r="BD158" i="5"/>
  <c r="CD158" i="5"/>
  <c r="CF158" i="5"/>
  <c r="AV190" i="5"/>
  <c r="BE59" i="5"/>
  <c r="BI59" i="5"/>
  <c r="BR59" i="5"/>
  <c r="CK59" i="5"/>
  <c r="AU6" i="5"/>
  <c r="BN6" i="5" s="1"/>
  <c r="BJ6" i="5"/>
  <c r="BW6" i="5"/>
  <c r="BA158" i="5"/>
  <c r="BP158" i="5" s="1"/>
  <c r="BH158" i="5"/>
  <c r="BU158" i="5"/>
  <c r="AY262" i="5"/>
  <c r="BF262" i="5"/>
  <c r="AU106" i="5"/>
  <c r="AV106" i="5"/>
  <c r="AT396" i="5"/>
  <c r="AT397" i="5" s="1"/>
  <c r="AS396" i="5"/>
  <c r="AS397" i="5" s="1"/>
  <c r="F67" i="12"/>
  <c r="CI159" i="5"/>
  <c r="CK159" i="5"/>
  <c r="CE159" i="5"/>
  <c r="CC159" i="5"/>
  <c r="CF159" i="5"/>
  <c r="CA159" i="5"/>
  <c r="CD159" i="5"/>
  <c r="BW159" i="5"/>
  <c r="BV159" i="5"/>
  <c r="BR159" i="5"/>
  <c r="BY159" i="5"/>
  <c r="BS159" i="5"/>
  <c r="BI159" i="5"/>
  <c r="BK159" i="5"/>
  <c r="BG159" i="5"/>
  <c r="BU159" i="5"/>
  <c r="BQ159" i="5"/>
  <c r="BT159" i="5"/>
  <c r="BM159" i="5"/>
  <c r="BJ159" i="5"/>
  <c r="BE159" i="5"/>
  <c r="AY159" i="5"/>
  <c r="BD159" i="5"/>
  <c r="BA159" i="5"/>
  <c r="BP159" i="5" s="1"/>
  <c r="BH159" i="5"/>
  <c r="BF159" i="5"/>
  <c r="AV159" i="5"/>
  <c r="BO159" i="5" s="1"/>
  <c r="AZ159" i="5"/>
  <c r="AU159" i="5"/>
  <c r="BB159" i="5" s="1"/>
  <c r="CK224" i="5"/>
  <c r="CI224" i="5"/>
  <c r="CE224" i="5"/>
  <c r="CA224" i="5"/>
  <c r="CF224" i="5"/>
  <c r="BW224" i="5"/>
  <c r="BY224" i="5"/>
  <c r="CC224" i="5"/>
  <c r="BT224" i="5"/>
  <c r="CD224" i="5"/>
  <c r="BQ224" i="5"/>
  <c r="BV224" i="5"/>
  <c r="BK224" i="5"/>
  <c r="BE224" i="5"/>
  <c r="BU224" i="5"/>
  <c r="BS224" i="5"/>
  <c r="BG224" i="5"/>
  <c r="BM224" i="5"/>
  <c r="BR224" i="5"/>
  <c r="BJ224" i="5"/>
  <c r="BF224" i="5"/>
  <c r="BH224" i="5"/>
  <c r="BI224" i="5"/>
  <c r="BD224" i="5"/>
  <c r="AZ224" i="5"/>
  <c r="BA224" i="5"/>
  <c r="BP224" i="5" s="1"/>
  <c r="AY224" i="5"/>
  <c r="AV224" i="5"/>
  <c r="BC224" i="5" s="1"/>
  <c r="AU224" i="5"/>
  <c r="BN224" i="5" s="1"/>
  <c r="CK9" i="5"/>
  <c r="CJ9" i="5"/>
  <c r="CI9" i="5"/>
  <c r="CH9" i="5"/>
  <c r="CD9" i="5"/>
  <c r="CF9" i="5"/>
  <c r="CE9" i="5"/>
  <c r="CG9" i="5"/>
  <c r="BY9" i="5"/>
  <c r="BX9" i="5"/>
  <c r="BU9" i="5"/>
  <c r="BV9" i="5"/>
  <c r="CA9" i="5"/>
  <c r="BQ9" i="5"/>
  <c r="BZ9" i="5"/>
  <c r="CC9" i="5"/>
  <c r="BW9" i="5"/>
  <c r="BT9" i="5"/>
  <c r="BH9" i="5"/>
  <c r="BS9" i="5"/>
  <c r="BM9" i="5"/>
  <c r="BJ9" i="5"/>
  <c r="BR9" i="5"/>
  <c r="BI9" i="5"/>
  <c r="BL9" i="5"/>
  <c r="BK9" i="5"/>
  <c r="BD9" i="5"/>
  <c r="AZ9" i="5"/>
  <c r="BF9" i="5"/>
  <c r="BG9" i="5"/>
  <c r="BE9" i="5"/>
  <c r="AY9" i="5"/>
  <c r="BA9" i="5"/>
  <c r="BP9" i="5" s="1"/>
  <c r="AV9" i="5"/>
  <c r="BO9" i="5" s="1"/>
  <c r="AU9" i="5"/>
  <c r="BB9" i="5" s="1"/>
  <c r="CK138" i="5"/>
  <c r="CJ138" i="5"/>
  <c r="CH138" i="5"/>
  <c r="CI138" i="5"/>
  <c r="CG138" i="5"/>
  <c r="CE138" i="5"/>
  <c r="BZ138" i="5"/>
  <c r="CF138" i="5"/>
  <c r="CD138" i="5"/>
  <c r="CA138" i="5"/>
  <c r="BX138" i="5"/>
  <c r="BV138" i="5"/>
  <c r="CC138" i="5"/>
  <c r="BW138" i="5"/>
  <c r="BU138" i="5"/>
  <c r="BS138" i="5"/>
  <c r="BY138" i="5"/>
  <c r="BL138" i="5"/>
  <c r="BK138" i="5"/>
  <c r="BD138" i="5"/>
  <c r="BT138" i="5"/>
  <c r="BR138" i="5"/>
  <c r="BQ138" i="5"/>
  <c r="BM138" i="5"/>
  <c r="BJ138" i="5"/>
  <c r="BF138" i="5"/>
  <c r="BE138" i="5"/>
  <c r="BG138" i="5"/>
  <c r="BH138" i="5"/>
  <c r="BI138" i="5"/>
  <c r="BA138" i="5"/>
  <c r="BP138" i="5" s="1"/>
  <c r="AZ138" i="5"/>
  <c r="AY138" i="5"/>
  <c r="AU138" i="5"/>
  <c r="BB138" i="5" s="1"/>
  <c r="AV138" i="5"/>
  <c r="BO138" i="5" s="1"/>
  <c r="CK202" i="5"/>
  <c r="CI202" i="5"/>
  <c r="CE202" i="5"/>
  <c r="CD202" i="5"/>
  <c r="CF202" i="5"/>
  <c r="CA202" i="5"/>
  <c r="BV202" i="5"/>
  <c r="CC202" i="5"/>
  <c r="BW202" i="5"/>
  <c r="BU202" i="5"/>
  <c r="BS202" i="5"/>
  <c r="BY202" i="5"/>
  <c r="BQ202" i="5"/>
  <c r="BK202" i="5"/>
  <c r="BD202" i="5"/>
  <c r="BT202" i="5"/>
  <c r="BM202" i="5"/>
  <c r="BJ202" i="5"/>
  <c r="BF202" i="5"/>
  <c r="BE202" i="5"/>
  <c r="BR202" i="5"/>
  <c r="BI202" i="5"/>
  <c r="BG202" i="5"/>
  <c r="BH202" i="5"/>
  <c r="BA202" i="5"/>
  <c r="BP202" i="5" s="1"/>
  <c r="AY202" i="5"/>
  <c r="AZ202" i="5"/>
  <c r="AU202" i="5"/>
  <c r="BN202" i="5" s="1"/>
  <c r="AV202" i="5"/>
  <c r="BO202" i="5" s="1"/>
  <c r="CK266" i="5"/>
  <c r="CG266" i="5"/>
  <c r="CH266" i="5"/>
  <c r="CE266" i="5"/>
  <c r="CD266" i="5"/>
  <c r="BZ266" i="5"/>
  <c r="CF266" i="5"/>
  <c r="CJ266" i="5"/>
  <c r="CI266" i="5"/>
  <c r="CA266" i="5"/>
  <c r="BV266" i="5"/>
  <c r="CC266" i="5"/>
  <c r="BW266" i="5"/>
  <c r="BU266" i="5"/>
  <c r="BX266" i="5"/>
  <c r="BY266" i="5"/>
  <c r="BS266" i="5"/>
  <c r="BT266" i="5"/>
  <c r="BL266" i="5"/>
  <c r="BK266" i="5"/>
  <c r="BQ266" i="5"/>
  <c r="BM266" i="5"/>
  <c r="BJ266" i="5"/>
  <c r="BF266" i="5"/>
  <c r="BE266" i="5"/>
  <c r="BR266" i="5"/>
  <c r="BH266" i="5"/>
  <c r="BI266" i="5"/>
  <c r="BG266" i="5"/>
  <c r="BD266" i="5"/>
  <c r="BA266" i="5"/>
  <c r="BP266" i="5" s="1"/>
  <c r="AZ266" i="5"/>
  <c r="AY266" i="5"/>
  <c r="AU266" i="5"/>
  <c r="BB266" i="5" s="1"/>
  <c r="AV266" i="5"/>
  <c r="BO266" i="5" s="1"/>
  <c r="CK330" i="5"/>
  <c r="CI330" i="5"/>
  <c r="CE330" i="5"/>
  <c r="CD330" i="5"/>
  <c r="CF330" i="5"/>
  <c r="CA330" i="5"/>
  <c r="BV330" i="5"/>
  <c r="CC330" i="5"/>
  <c r="BW330" i="5"/>
  <c r="BU330" i="5"/>
  <c r="BY330" i="5"/>
  <c r="BQ330" i="5"/>
  <c r="BK330" i="5"/>
  <c r="BS330" i="5"/>
  <c r="BT330" i="5"/>
  <c r="BM330" i="5"/>
  <c r="BJ330" i="5"/>
  <c r="BF330" i="5"/>
  <c r="BE330" i="5"/>
  <c r="BR330" i="5"/>
  <c r="BI330" i="5"/>
  <c r="BG330" i="5"/>
  <c r="BH330" i="5"/>
  <c r="BD330" i="5"/>
  <c r="BA330" i="5"/>
  <c r="BP330" i="5" s="1"/>
  <c r="AZ330" i="5"/>
  <c r="AY330" i="5"/>
  <c r="AU330" i="5"/>
  <c r="BN330" i="5" s="1"/>
  <c r="AV330" i="5"/>
  <c r="BO330" i="5" s="1"/>
  <c r="CI75" i="5"/>
  <c r="CF75" i="5"/>
  <c r="CA75" i="5"/>
  <c r="CK75" i="5"/>
  <c r="CC75" i="5"/>
  <c r="CD75" i="5"/>
  <c r="BW75" i="5"/>
  <c r="BY75" i="5"/>
  <c r="CE75" i="5"/>
  <c r="BR75" i="5"/>
  <c r="BV75" i="5"/>
  <c r="BQ75" i="5"/>
  <c r="BK75" i="5"/>
  <c r="BG75" i="5"/>
  <c r="BI75" i="5"/>
  <c r="BT75" i="5"/>
  <c r="BU75" i="5"/>
  <c r="BS75" i="5"/>
  <c r="BJ75" i="5"/>
  <c r="BA75" i="5"/>
  <c r="BP75" i="5" s="1"/>
  <c r="BM75" i="5"/>
  <c r="BF75" i="5"/>
  <c r="AY75" i="5"/>
  <c r="BH75" i="5"/>
  <c r="BD75" i="5"/>
  <c r="BE75" i="5"/>
  <c r="AZ75" i="5"/>
  <c r="AV75" i="5"/>
  <c r="BC75" i="5" s="1"/>
  <c r="AU75" i="5"/>
  <c r="BN75" i="5" s="1"/>
  <c r="CK139" i="5"/>
  <c r="CF139" i="5"/>
  <c r="CI139" i="5"/>
  <c r="CA139" i="5"/>
  <c r="CC139" i="5"/>
  <c r="BW139" i="5"/>
  <c r="BY139" i="5"/>
  <c r="CD139" i="5"/>
  <c r="CE139" i="5"/>
  <c r="BR139" i="5"/>
  <c r="BV139" i="5"/>
  <c r="BQ139" i="5"/>
  <c r="BK139" i="5"/>
  <c r="BG139" i="5"/>
  <c r="BI139" i="5"/>
  <c r="BS139" i="5"/>
  <c r="BU139" i="5"/>
  <c r="BT139" i="5"/>
  <c r="BM139" i="5"/>
  <c r="BA139" i="5"/>
  <c r="BP139" i="5" s="1"/>
  <c r="BJ139" i="5"/>
  <c r="BF139" i="5"/>
  <c r="AY139" i="5"/>
  <c r="BH139" i="5"/>
  <c r="BD139" i="5"/>
  <c r="AZ139" i="5"/>
  <c r="BE139" i="5"/>
  <c r="AV139" i="5"/>
  <c r="BO139" i="5" s="1"/>
  <c r="AU139" i="5"/>
  <c r="BN139" i="5" s="1"/>
  <c r="CJ267" i="5"/>
  <c r="CH267" i="5"/>
  <c r="CI267" i="5"/>
  <c r="CG267" i="5"/>
  <c r="CF267" i="5"/>
  <c r="CA267" i="5"/>
  <c r="CK267" i="5"/>
  <c r="BZ267" i="5"/>
  <c r="CC267" i="5"/>
  <c r="BX267" i="5"/>
  <c r="BW267" i="5"/>
  <c r="CE267" i="5"/>
  <c r="BY267" i="5"/>
  <c r="CD267" i="5"/>
  <c r="BR267" i="5"/>
  <c r="BV267" i="5"/>
  <c r="BQ267" i="5"/>
  <c r="BK267" i="5"/>
  <c r="BI267" i="5"/>
  <c r="BS267" i="5"/>
  <c r="BT267" i="5"/>
  <c r="BU267" i="5"/>
  <c r="BM267" i="5"/>
  <c r="BG267" i="5"/>
  <c r="BA267" i="5"/>
  <c r="BP267" i="5" s="1"/>
  <c r="BJ267" i="5"/>
  <c r="BF267" i="5"/>
  <c r="AY267" i="5"/>
  <c r="BL267" i="5"/>
  <c r="BH267" i="5"/>
  <c r="BE267" i="5"/>
  <c r="AZ267" i="5"/>
  <c r="BD267" i="5"/>
  <c r="AV267" i="5"/>
  <c r="BO267" i="5" s="1"/>
  <c r="AU267" i="5"/>
  <c r="BN267" i="5" s="1"/>
  <c r="CK29" i="5"/>
  <c r="CF29" i="5"/>
  <c r="CI29" i="5"/>
  <c r="CD29" i="5"/>
  <c r="CE29" i="5"/>
  <c r="CC29" i="5"/>
  <c r="CA29" i="5"/>
  <c r="BV29" i="5"/>
  <c r="BU29" i="5"/>
  <c r="BT29" i="5"/>
  <c r="BQ29" i="5"/>
  <c r="BW29" i="5"/>
  <c r="BM29" i="5"/>
  <c r="BJ29" i="5"/>
  <c r="BY29" i="5"/>
  <c r="BH29" i="5"/>
  <c r="BS29" i="5"/>
  <c r="BG29" i="5"/>
  <c r="BR29" i="5"/>
  <c r="AZ29" i="5"/>
  <c r="BK29" i="5"/>
  <c r="BI29" i="5"/>
  <c r="BF29" i="5"/>
  <c r="BA29" i="5"/>
  <c r="BP29" i="5" s="1"/>
  <c r="BE29" i="5"/>
  <c r="AY29" i="5"/>
  <c r="BD29" i="5"/>
  <c r="AU29" i="5"/>
  <c r="BN29" i="5" s="1"/>
  <c r="AV29" i="5"/>
  <c r="BC29" i="5" s="1"/>
  <c r="CK93" i="5"/>
  <c r="CF93" i="5"/>
  <c r="CI93" i="5"/>
  <c r="CD93" i="5"/>
  <c r="CE93" i="5"/>
  <c r="CC93" i="5"/>
  <c r="BV93" i="5"/>
  <c r="BU93" i="5"/>
  <c r="CA93" i="5"/>
  <c r="BT93" i="5"/>
  <c r="BQ93" i="5"/>
  <c r="BY93" i="5"/>
  <c r="BW93" i="5"/>
  <c r="BM93" i="5"/>
  <c r="BJ93" i="5"/>
  <c r="BH93" i="5"/>
  <c r="BR93" i="5"/>
  <c r="BG93" i="5"/>
  <c r="BS93" i="5"/>
  <c r="AZ93" i="5"/>
  <c r="BE93" i="5"/>
  <c r="BK93" i="5"/>
  <c r="BA93" i="5"/>
  <c r="BP93" i="5" s="1"/>
  <c r="BI93" i="5"/>
  <c r="BF93" i="5"/>
  <c r="BD93" i="5"/>
  <c r="AY93" i="5"/>
  <c r="AU93" i="5"/>
  <c r="BN93" i="5" s="1"/>
  <c r="AV93" i="5"/>
  <c r="BC93" i="5" s="1"/>
  <c r="CK157" i="5"/>
  <c r="CG157" i="5"/>
  <c r="CF157" i="5"/>
  <c r="CJ157" i="5"/>
  <c r="CI157" i="5"/>
  <c r="CD157" i="5"/>
  <c r="BZ157" i="5"/>
  <c r="CH157" i="5"/>
  <c r="CE157" i="5"/>
  <c r="CC157" i="5"/>
  <c r="CA157" i="5"/>
  <c r="BX157" i="5"/>
  <c r="BV157" i="5"/>
  <c r="BU157" i="5"/>
  <c r="BY157" i="5"/>
  <c r="BT157" i="5"/>
  <c r="BQ157" i="5"/>
  <c r="BM157" i="5"/>
  <c r="BJ157" i="5"/>
  <c r="BW157" i="5"/>
  <c r="BH157" i="5"/>
  <c r="BS157" i="5"/>
  <c r="BG157" i="5"/>
  <c r="BR157" i="5"/>
  <c r="AZ157" i="5"/>
  <c r="BF157" i="5"/>
  <c r="BA157" i="5"/>
  <c r="BP157" i="5" s="1"/>
  <c r="BL157" i="5"/>
  <c r="BK157" i="5"/>
  <c r="BE157" i="5"/>
  <c r="BI157" i="5"/>
  <c r="BD157" i="5"/>
  <c r="AU157" i="5"/>
  <c r="BN157" i="5" s="1"/>
  <c r="AY157" i="5"/>
  <c r="AV157" i="5"/>
  <c r="BC157" i="5" s="1"/>
  <c r="CK221" i="5"/>
  <c r="CF221" i="5"/>
  <c r="CD221" i="5"/>
  <c r="CE221" i="5"/>
  <c r="CI221" i="5"/>
  <c r="CC221" i="5"/>
  <c r="BV221" i="5"/>
  <c r="CA221" i="5"/>
  <c r="BU221" i="5"/>
  <c r="BY221" i="5"/>
  <c r="BT221" i="5"/>
  <c r="BQ221" i="5"/>
  <c r="BW221" i="5"/>
  <c r="BM221" i="5"/>
  <c r="BJ221" i="5"/>
  <c r="BH221" i="5"/>
  <c r="BR221" i="5"/>
  <c r="BS221" i="5"/>
  <c r="AZ221" i="5"/>
  <c r="BK221" i="5"/>
  <c r="BI221" i="5"/>
  <c r="BG221" i="5"/>
  <c r="BA221" i="5"/>
  <c r="BP221" i="5" s="1"/>
  <c r="BF221" i="5"/>
  <c r="BD221" i="5"/>
  <c r="BE221" i="5"/>
  <c r="AY221" i="5"/>
  <c r="AU221" i="5"/>
  <c r="BN221" i="5" s="1"/>
  <c r="AV221" i="5"/>
  <c r="BO221" i="5" s="1"/>
  <c r="CK285" i="5"/>
  <c r="CF285" i="5"/>
  <c r="CI285" i="5"/>
  <c r="CD285" i="5"/>
  <c r="CE285" i="5"/>
  <c r="CC285" i="5"/>
  <c r="CA285" i="5"/>
  <c r="BV285" i="5"/>
  <c r="BU285" i="5"/>
  <c r="BS285" i="5"/>
  <c r="BT285" i="5"/>
  <c r="BQ285" i="5"/>
  <c r="BY285" i="5"/>
  <c r="BM285" i="5"/>
  <c r="BJ285" i="5"/>
  <c r="BW285" i="5"/>
  <c r="BH285" i="5"/>
  <c r="BR285" i="5"/>
  <c r="BD285" i="5"/>
  <c r="AZ285" i="5"/>
  <c r="BF285" i="5"/>
  <c r="BA285" i="5"/>
  <c r="BP285" i="5" s="1"/>
  <c r="BK285" i="5"/>
  <c r="BI285" i="5"/>
  <c r="BG285" i="5"/>
  <c r="BE285" i="5"/>
  <c r="AU285" i="5"/>
  <c r="BN285" i="5" s="1"/>
  <c r="AY285" i="5"/>
  <c r="AV285" i="5"/>
  <c r="BC285" i="5" s="1"/>
  <c r="CK349" i="5"/>
  <c r="CJ349" i="5"/>
  <c r="CF349" i="5"/>
  <c r="CI349" i="5"/>
  <c r="CG349" i="5"/>
  <c r="CD349" i="5"/>
  <c r="CE349" i="5"/>
  <c r="CH349" i="5"/>
  <c r="CC349" i="5"/>
  <c r="BV349" i="5"/>
  <c r="CA349" i="5"/>
  <c r="BZ349" i="5"/>
  <c r="BU349" i="5"/>
  <c r="BS349" i="5"/>
  <c r="BT349" i="5"/>
  <c r="BQ349" i="5"/>
  <c r="BM349" i="5"/>
  <c r="BL349" i="5"/>
  <c r="BJ349" i="5"/>
  <c r="BY349" i="5"/>
  <c r="BX349" i="5"/>
  <c r="BW349" i="5"/>
  <c r="BH349" i="5"/>
  <c r="BR349" i="5"/>
  <c r="BD349" i="5"/>
  <c r="AZ349" i="5"/>
  <c r="BI349" i="5"/>
  <c r="BG349" i="5"/>
  <c r="BA349" i="5"/>
  <c r="BP349" i="5" s="1"/>
  <c r="BK349" i="5"/>
  <c r="BF349" i="5"/>
  <c r="BE349" i="5"/>
  <c r="AU349" i="5"/>
  <c r="BN349" i="5" s="1"/>
  <c r="AY349" i="5"/>
  <c r="AV349" i="5"/>
  <c r="BC349" i="5" s="1"/>
  <c r="CK87" i="5"/>
  <c r="CE87" i="5"/>
  <c r="CI87" i="5"/>
  <c r="CF87" i="5"/>
  <c r="CC87" i="5"/>
  <c r="CD87" i="5"/>
  <c r="CA87" i="5"/>
  <c r="BT87" i="5"/>
  <c r="BR87" i="5"/>
  <c r="BS87" i="5"/>
  <c r="BY87" i="5"/>
  <c r="BW87" i="5"/>
  <c r="BI87" i="5"/>
  <c r="BU87" i="5"/>
  <c r="BV87" i="5"/>
  <c r="BK87" i="5"/>
  <c r="BG87" i="5"/>
  <c r="BQ87" i="5"/>
  <c r="AY87" i="5"/>
  <c r="BM87" i="5"/>
  <c r="BA87" i="5"/>
  <c r="BP87" i="5" s="1"/>
  <c r="BF87" i="5"/>
  <c r="AZ87" i="5"/>
  <c r="BJ87" i="5"/>
  <c r="BH87" i="5"/>
  <c r="BE87" i="5"/>
  <c r="BD87" i="5"/>
  <c r="AV87" i="5"/>
  <c r="BO87" i="5" s="1"/>
  <c r="AU87" i="5"/>
  <c r="BB87" i="5" s="1"/>
  <c r="CJ151" i="5"/>
  <c r="CK151" i="5"/>
  <c r="CI151" i="5"/>
  <c r="CH151" i="5"/>
  <c r="CG151" i="5"/>
  <c r="CE151" i="5"/>
  <c r="CC151" i="5"/>
  <c r="CD151" i="5"/>
  <c r="CF151" i="5"/>
  <c r="BZ151" i="5"/>
  <c r="BT151" i="5"/>
  <c r="BR151" i="5"/>
  <c r="BS151" i="5"/>
  <c r="BV151" i="5"/>
  <c r="BU151" i="5"/>
  <c r="CA151" i="5"/>
  <c r="BL151" i="5"/>
  <c r="BI151" i="5"/>
  <c r="BW151" i="5"/>
  <c r="BX151" i="5"/>
  <c r="BY151" i="5"/>
  <c r="BK151" i="5"/>
  <c r="BG151" i="5"/>
  <c r="BM151" i="5"/>
  <c r="AY151" i="5"/>
  <c r="BQ151" i="5"/>
  <c r="BA151" i="5"/>
  <c r="BP151" i="5" s="1"/>
  <c r="BJ151" i="5"/>
  <c r="BH151" i="5"/>
  <c r="BE151" i="5"/>
  <c r="AZ151" i="5"/>
  <c r="BF151" i="5"/>
  <c r="BD151" i="5"/>
  <c r="AV151" i="5"/>
  <c r="BC151" i="5" s="1"/>
  <c r="AU151" i="5"/>
  <c r="BB151" i="5" s="1"/>
  <c r="CK215" i="5"/>
  <c r="CI215" i="5"/>
  <c r="CE215" i="5"/>
  <c r="CC215" i="5"/>
  <c r="CF215" i="5"/>
  <c r="CD215" i="5"/>
  <c r="CA215" i="5"/>
  <c r="BT215" i="5"/>
  <c r="BR215" i="5"/>
  <c r="BY215" i="5"/>
  <c r="BS215" i="5"/>
  <c r="BV215" i="5"/>
  <c r="BI215" i="5"/>
  <c r="BW215" i="5"/>
  <c r="BK215" i="5"/>
  <c r="BG215" i="5"/>
  <c r="BU215" i="5"/>
  <c r="AY215" i="5"/>
  <c r="BM215" i="5"/>
  <c r="BQ215" i="5"/>
  <c r="BA215" i="5"/>
  <c r="BP215" i="5" s="1"/>
  <c r="BJ215" i="5"/>
  <c r="BF215" i="5"/>
  <c r="AZ215" i="5"/>
  <c r="BH215" i="5"/>
  <c r="BE215" i="5"/>
  <c r="BD215" i="5"/>
  <c r="AV215" i="5"/>
  <c r="BO215" i="5" s="1"/>
  <c r="AU215" i="5"/>
  <c r="BN215" i="5" s="1"/>
  <c r="CK279" i="5"/>
  <c r="CJ279" i="5"/>
  <c r="CI279" i="5"/>
  <c r="CE279" i="5"/>
  <c r="CH279" i="5"/>
  <c r="CC279" i="5"/>
  <c r="CG279" i="5"/>
  <c r="BZ279" i="5"/>
  <c r="CD279" i="5"/>
  <c r="BX279" i="5"/>
  <c r="CA279" i="5"/>
  <c r="CF279" i="5"/>
  <c r="BT279" i="5"/>
  <c r="BR279" i="5"/>
  <c r="BY279" i="5"/>
  <c r="BW279" i="5"/>
  <c r="BS279" i="5"/>
  <c r="BI279" i="5"/>
  <c r="BV279" i="5"/>
  <c r="BK279" i="5"/>
  <c r="BU279" i="5"/>
  <c r="BQ279" i="5"/>
  <c r="BM279" i="5"/>
  <c r="AY279" i="5"/>
  <c r="BA279" i="5"/>
  <c r="BP279" i="5" s="1"/>
  <c r="BE279" i="5"/>
  <c r="AZ279" i="5"/>
  <c r="BL279" i="5"/>
  <c r="BG279" i="5"/>
  <c r="BJ279" i="5"/>
  <c r="BH279" i="5"/>
  <c r="BF279" i="5"/>
  <c r="BD279" i="5"/>
  <c r="AV279" i="5"/>
  <c r="BO279" i="5" s="1"/>
  <c r="AU279" i="5"/>
  <c r="BN279" i="5" s="1"/>
  <c r="CK343" i="5"/>
  <c r="CE343" i="5"/>
  <c r="CI343" i="5"/>
  <c r="CF343" i="5"/>
  <c r="CC343" i="5"/>
  <c r="CA343" i="5"/>
  <c r="CD343" i="5"/>
  <c r="BT343" i="5"/>
  <c r="BR343" i="5"/>
  <c r="BY343" i="5"/>
  <c r="BS343" i="5"/>
  <c r="BI343" i="5"/>
  <c r="BW343" i="5"/>
  <c r="BK343" i="5"/>
  <c r="BV343" i="5"/>
  <c r="BU343" i="5"/>
  <c r="AY343" i="5"/>
  <c r="BQ343" i="5"/>
  <c r="BM343" i="5"/>
  <c r="BA343" i="5"/>
  <c r="BP343" i="5" s="1"/>
  <c r="BG343" i="5"/>
  <c r="BJ343" i="5"/>
  <c r="BH343" i="5"/>
  <c r="BF343" i="5"/>
  <c r="AZ343" i="5"/>
  <c r="BE343" i="5"/>
  <c r="BD343" i="5"/>
  <c r="AV343" i="5"/>
  <c r="BO343" i="5" s="1"/>
  <c r="AU343" i="5"/>
  <c r="BB343" i="5" s="1"/>
  <c r="CI24" i="5"/>
  <c r="CK24" i="5"/>
  <c r="CA24" i="5"/>
  <c r="CG24" i="5"/>
  <c r="CF24" i="5"/>
  <c r="BW24" i="5"/>
  <c r="CE24" i="5"/>
  <c r="BT24" i="5"/>
  <c r="CC24" i="5"/>
  <c r="BY24" i="5"/>
  <c r="CD24" i="5"/>
  <c r="BU24" i="5"/>
  <c r="BV24" i="5"/>
  <c r="BS24" i="5"/>
  <c r="BR24" i="5"/>
  <c r="BH24" i="5"/>
  <c r="BE24" i="5"/>
  <c r="BQ24" i="5"/>
  <c r="BG24" i="5"/>
  <c r="BM24" i="5"/>
  <c r="BK24" i="5"/>
  <c r="BJ24" i="5"/>
  <c r="BF24" i="5"/>
  <c r="BI24" i="5"/>
  <c r="BD24" i="5"/>
  <c r="BA24" i="5"/>
  <c r="BP24" i="5" s="1"/>
  <c r="AZ24" i="5"/>
  <c r="AY24" i="5"/>
  <c r="AV24" i="5"/>
  <c r="BC24" i="5" s="1"/>
  <c r="AU24" i="5"/>
  <c r="BN24" i="5" s="1"/>
  <c r="CI88" i="5"/>
  <c r="CK88" i="5"/>
  <c r="CA88" i="5"/>
  <c r="CF88" i="5"/>
  <c r="CE88" i="5"/>
  <c r="BW88" i="5"/>
  <c r="BT88" i="5"/>
  <c r="CD88" i="5"/>
  <c r="CC88" i="5"/>
  <c r="BY88" i="5"/>
  <c r="BU88" i="5"/>
  <c r="BS88" i="5"/>
  <c r="BV88" i="5"/>
  <c r="BQ88" i="5"/>
  <c r="BH88" i="5"/>
  <c r="BE88" i="5"/>
  <c r="BR88" i="5"/>
  <c r="BG88" i="5"/>
  <c r="BJ88" i="5"/>
  <c r="BM88" i="5"/>
  <c r="BK88" i="5"/>
  <c r="BI88" i="5"/>
  <c r="BD88" i="5"/>
  <c r="BA88" i="5"/>
  <c r="BP88" i="5" s="1"/>
  <c r="BF88" i="5"/>
  <c r="AZ88" i="5"/>
  <c r="AY88" i="5"/>
  <c r="AV88" i="5"/>
  <c r="BC88" i="5" s="1"/>
  <c r="AU88" i="5"/>
  <c r="BN88" i="5" s="1"/>
  <c r="CK152" i="5"/>
  <c r="CA152" i="5"/>
  <c r="CI152" i="5"/>
  <c r="CF152" i="5"/>
  <c r="BW152" i="5"/>
  <c r="CD152" i="5"/>
  <c r="BT152" i="5"/>
  <c r="CC152" i="5"/>
  <c r="CE152" i="5"/>
  <c r="BU152" i="5"/>
  <c r="BV152" i="5"/>
  <c r="BY152" i="5"/>
  <c r="BS152" i="5"/>
  <c r="BR152" i="5"/>
  <c r="BH152" i="5"/>
  <c r="BE152" i="5"/>
  <c r="BQ152" i="5"/>
  <c r="BG152" i="5"/>
  <c r="BM152" i="5"/>
  <c r="BK152" i="5"/>
  <c r="BJ152" i="5"/>
  <c r="BI152" i="5"/>
  <c r="BD152" i="5"/>
  <c r="BA152" i="5"/>
  <c r="BP152" i="5" s="1"/>
  <c r="BF152" i="5"/>
  <c r="AY152" i="5"/>
  <c r="AZ152" i="5"/>
  <c r="AV152" i="5"/>
  <c r="BC152" i="5" s="1"/>
  <c r="AU152" i="5"/>
  <c r="BN152" i="5" s="1"/>
  <c r="CK216" i="5"/>
  <c r="CI216" i="5"/>
  <c r="CF216" i="5"/>
  <c r="CA216" i="5"/>
  <c r="CD216" i="5"/>
  <c r="CE216" i="5"/>
  <c r="BW216" i="5"/>
  <c r="CC216" i="5"/>
  <c r="BT216" i="5"/>
  <c r="BU216" i="5"/>
  <c r="BS216" i="5"/>
  <c r="BY216" i="5"/>
  <c r="BV216" i="5"/>
  <c r="BQ216" i="5"/>
  <c r="BH216" i="5"/>
  <c r="BE216" i="5"/>
  <c r="BR216" i="5"/>
  <c r="BG216" i="5"/>
  <c r="BJ216" i="5"/>
  <c r="BM216" i="5"/>
  <c r="BK216" i="5"/>
  <c r="BI216" i="5"/>
  <c r="BD216" i="5"/>
  <c r="BA216" i="5"/>
  <c r="BP216" i="5" s="1"/>
  <c r="BF216" i="5"/>
  <c r="AZ216" i="5"/>
  <c r="AY216" i="5"/>
  <c r="AV216" i="5"/>
  <c r="BO216" i="5" s="1"/>
  <c r="AU216" i="5"/>
  <c r="BB216" i="5" s="1"/>
  <c r="CK280" i="5"/>
  <c r="CA280" i="5"/>
  <c r="CD280" i="5"/>
  <c r="CI280" i="5"/>
  <c r="CF280" i="5"/>
  <c r="BW280" i="5"/>
  <c r="CC280" i="5"/>
  <c r="BT280" i="5"/>
  <c r="BY280" i="5"/>
  <c r="CE280" i="5"/>
  <c r="BU280" i="5"/>
  <c r="BV280" i="5"/>
  <c r="BS280" i="5"/>
  <c r="BR280" i="5"/>
  <c r="BH280" i="5"/>
  <c r="BE280" i="5"/>
  <c r="BQ280" i="5"/>
  <c r="BG280" i="5"/>
  <c r="BM280" i="5"/>
  <c r="BK280" i="5"/>
  <c r="BJ280" i="5"/>
  <c r="BI280" i="5"/>
  <c r="BA280" i="5"/>
  <c r="BP280" i="5" s="1"/>
  <c r="BF280" i="5"/>
  <c r="BD280" i="5"/>
  <c r="AZ280" i="5"/>
  <c r="AY280" i="5"/>
  <c r="AV280" i="5"/>
  <c r="BC280" i="5" s="1"/>
  <c r="AU280" i="5"/>
  <c r="BB280" i="5" s="1"/>
  <c r="CI344" i="5"/>
  <c r="CJ344" i="5"/>
  <c r="CH344" i="5"/>
  <c r="CK344" i="5"/>
  <c r="CG344" i="5"/>
  <c r="CA344" i="5"/>
  <c r="CD344" i="5"/>
  <c r="CE344" i="5"/>
  <c r="BW344" i="5"/>
  <c r="CC344" i="5"/>
  <c r="BT344" i="5"/>
  <c r="BY344" i="5"/>
  <c r="CF344" i="5"/>
  <c r="BU344" i="5"/>
  <c r="BV344" i="5"/>
  <c r="BZ344" i="5"/>
  <c r="BX344" i="5"/>
  <c r="BQ344" i="5"/>
  <c r="BH344" i="5"/>
  <c r="BE344" i="5"/>
  <c r="BS344" i="5"/>
  <c r="BR344" i="5"/>
  <c r="BG344" i="5"/>
  <c r="BL344" i="5"/>
  <c r="BJ344" i="5"/>
  <c r="BM344" i="5"/>
  <c r="BK344" i="5"/>
  <c r="BI344" i="5"/>
  <c r="BA344" i="5"/>
  <c r="BP344" i="5" s="1"/>
  <c r="BD344" i="5"/>
  <c r="BF344" i="5"/>
  <c r="AZ344" i="5"/>
  <c r="AY344" i="5"/>
  <c r="AV344" i="5"/>
  <c r="BC344" i="5" s="1"/>
  <c r="AU344" i="5"/>
  <c r="BB344" i="5" s="1"/>
  <c r="CK65" i="5"/>
  <c r="CD65" i="5"/>
  <c r="CI65" i="5"/>
  <c r="CE65" i="5"/>
  <c r="CF65" i="5"/>
  <c r="CC65" i="5"/>
  <c r="BY65" i="5"/>
  <c r="BQ65" i="5"/>
  <c r="CA65" i="5"/>
  <c r="BS65" i="5"/>
  <c r="BU65" i="5"/>
  <c r="BT65" i="5"/>
  <c r="BH65" i="5"/>
  <c r="BV65" i="5"/>
  <c r="BW65" i="5"/>
  <c r="BR65" i="5"/>
  <c r="BM65" i="5"/>
  <c r="BJ65" i="5"/>
  <c r="AZ65" i="5"/>
  <c r="BI65" i="5"/>
  <c r="BG65" i="5"/>
  <c r="BE65" i="5"/>
  <c r="BK65" i="5"/>
  <c r="BF65" i="5"/>
  <c r="AY65" i="5"/>
  <c r="BD65" i="5"/>
  <c r="BA65" i="5"/>
  <c r="BP65" i="5" s="1"/>
  <c r="AU65" i="5"/>
  <c r="BB65" i="5" s="1"/>
  <c r="AV65" i="5"/>
  <c r="BO65" i="5" s="1"/>
  <c r="CK129" i="5"/>
  <c r="CI129" i="5"/>
  <c r="CD129" i="5"/>
  <c r="CE129" i="5"/>
  <c r="CF129" i="5"/>
  <c r="CC129" i="5"/>
  <c r="CA129" i="5"/>
  <c r="BY129" i="5"/>
  <c r="BQ129" i="5"/>
  <c r="BS129" i="5"/>
  <c r="BW129" i="5"/>
  <c r="BH129" i="5"/>
  <c r="BU129" i="5"/>
  <c r="BV129" i="5"/>
  <c r="BT129" i="5"/>
  <c r="BR129" i="5"/>
  <c r="BM129" i="5"/>
  <c r="BJ129" i="5"/>
  <c r="AZ129" i="5"/>
  <c r="BK129" i="5"/>
  <c r="BI129" i="5"/>
  <c r="BF129" i="5"/>
  <c r="BG129" i="5"/>
  <c r="BE129" i="5"/>
  <c r="AY129" i="5"/>
  <c r="BD129" i="5"/>
  <c r="BA129" i="5"/>
  <c r="BP129" i="5" s="1"/>
  <c r="AU129" i="5"/>
  <c r="BN129" i="5" s="1"/>
  <c r="AV129" i="5"/>
  <c r="BC129" i="5" s="1"/>
  <c r="CK193" i="5"/>
  <c r="CE193" i="5"/>
  <c r="CF193" i="5"/>
  <c r="CI193" i="5"/>
  <c r="CC193" i="5"/>
  <c r="CD193" i="5"/>
  <c r="BY193" i="5"/>
  <c r="BQ193" i="5"/>
  <c r="CA193" i="5"/>
  <c r="BS193" i="5"/>
  <c r="BV193" i="5"/>
  <c r="BT193" i="5"/>
  <c r="BH193" i="5"/>
  <c r="BW193" i="5"/>
  <c r="BR193" i="5"/>
  <c r="BM193" i="5"/>
  <c r="BJ193" i="5"/>
  <c r="BU193" i="5"/>
  <c r="AZ193" i="5"/>
  <c r="BK193" i="5"/>
  <c r="BI193" i="5"/>
  <c r="BG193" i="5"/>
  <c r="BF193" i="5"/>
  <c r="AY193" i="5"/>
  <c r="BE193" i="5"/>
  <c r="BD193" i="5"/>
  <c r="BA193" i="5"/>
  <c r="BP193" i="5" s="1"/>
  <c r="AU193" i="5"/>
  <c r="BB193" i="5" s="1"/>
  <c r="AV193" i="5"/>
  <c r="BO193" i="5" s="1"/>
  <c r="CK257" i="5"/>
  <c r="CJ257" i="5"/>
  <c r="CH257" i="5"/>
  <c r="CF257" i="5"/>
  <c r="CI257" i="5"/>
  <c r="CE257" i="5"/>
  <c r="CG257" i="5"/>
  <c r="CC257" i="5"/>
  <c r="CA257" i="5"/>
  <c r="BY257" i="5"/>
  <c r="BZ257" i="5"/>
  <c r="BX257" i="5"/>
  <c r="BQ257" i="5"/>
  <c r="CD257" i="5"/>
  <c r="BW257" i="5"/>
  <c r="BS257" i="5"/>
  <c r="BH257" i="5"/>
  <c r="BV257" i="5"/>
  <c r="BT257" i="5"/>
  <c r="BR257" i="5"/>
  <c r="BM257" i="5"/>
  <c r="BJ257" i="5"/>
  <c r="BU257" i="5"/>
  <c r="BL257" i="5"/>
  <c r="BG257" i="5"/>
  <c r="AZ257" i="5"/>
  <c r="BK257" i="5"/>
  <c r="BI257" i="5"/>
  <c r="BF257" i="5"/>
  <c r="AY257" i="5"/>
  <c r="BD257" i="5"/>
  <c r="BE257" i="5"/>
  <c r="BA257" i="5"/>
  <c r="BP257" i="5" s="1"/>
  <c r="AU257" i="5"/>
  <c r="BB257" i="5" s="1"/>
  <c r="AV257" i="5"/>
  <c r="BC257" i="5" s="1"/>
  <c r="CK321" i="5"/>
  <c r="CJ321" i="5"/>
  <c r="CH321" i="5"/>
  <c r="CI321" i="5"/>
  <c r="CE321" i="5"/>
  <c r="CG321" i="5"/>
  <c r="CC321" i="5"/>
  <c r="CD321" i="5"/>
  <c r="BY321" i="5"/>
  <c r="CF321" i="5"/>
  <c r="BZ321" i="5"/>
  <c r="BQ321" i="5"/>
  <c r="BS321" i="5"/>
  <c r="BV321" i="5"/>
  <c r="BX321" i="5"/>
  <c r="CA321" i="5"/>
  <c r="BW321" i="5"/>
  <c r="BT321" i="5"/>
  <c r="BH321" i="5"/>
  <c r="BR321" i="5"/>
  <c r="BM321" i="5"/>
  <c r="BL321" i="5"/>
  <c r="BJ321" i="5"/>
  <c r="BU321" i="5"/>
  <c r="BG321" i="5"/>
  <c r="BD321" i="5"/>
  <c r="AZ321" i="5"/>
  <c r="BK321" i="5"/>
  <c r="BI321" i="5"/>
  <c r="BF321" i="5"/>
  <c r="AY321" i="5"/>
  <c r="BE321" i="5"/>
  <c r="BA321" i="5"/>
  <c r="BP321" i="5" s="1"/>
  <c r="AU321" i="5"/>
  <c r="BB321" i="5" s="1"/>
  <c r="AV321" i="5"/>
  <c r="BO321" i="5" s="1"/>
  <c r="CK385" i="5"/>
  <c r="CI385" i="5"/>
  <c r="CE385" i="5"/>
  <c r="CC385" i="5"/>
  <c r="CA385" i="5"/>
  <c r="BY385" i="5"/>
  <c r="CF385" i="5"/>
  <c r="CD385" i="5"/>
  <c r="BQ385" i="5"/>
  <c r="BS385" i="5"/>
  <c r="BV385" i="5"/>
  <c r="BH385" i="5"/>
  <c r="BW385" i="5"/>
  <c r="BT385" i="5"/>
  <c r="BR385" i="5"/>
  <c r="BM385" i="5"/>
  <c r="BJ385" i="5"/>
  <c r="BU385" i="5"/>
  <c r="BG385" i="5"/>
  <c r="BD385" i="5"/>
  <c r="AZ385" i="5"/>
  <c r="BF385" i="5"/>
  <c r="BK385" i="5"/>
  <c r="BI385" i="5"/>
  <c r="AY385" i="5"/>
  <c r="BE385" i="5"/>
  <c r="BA385" i="5"/>
  <c r="BP385" i="5" s="1"/>
  <c r="AU385" i="5"/>
  <c r="BN385" i="5" s="1"/>
  <c r="AV385" i="5"/>
  <c r="BO385" i="5" s="1"/>
  <c r="BN98" i="5"/>
  <c r="CK194" i="5"/>
  <c r="CI194" i="5"/>
  <c r="CF194" i="5"/>
  <c r="CD194" i="5"/>
  <c r="BV194" i="5"/>
  <c r="CE194" i="5"/>
  <c r="CA194" i="5"/>
  <c r="BU194" i="5"/>
  <c r="BS194" i="5"/>
  <c r="CC194" i="5"/>
  <c r="BY194" i="5"/>
  <c r="BT194" i="5"/>
  <c r="BW194" i="5"/>
  <c r="BR194" i="5"/>
  <c r="BD194" i="5"/>
  <c r="BG194" i="5"/>
  <c r="BF194" i="5"/>
  <c r="BM194" i="5"/>
  <c r="BK194" i="5"/>
  <c r="BQ194" i="5"/>
  <c r="BJ194" i="5"/>
  <c r="BH194" i="5"/>
  <c r="BE194" i="5"/>
  <c r="AZ194" i="5"/>
  <c r="BI194" i="5"/>
  <c r="BA194" i="5"/>
  <c r="BP194" i="5" s="1"/>
  <c r="AY194" i="5"/>
  <c r="AV194" i="5"/>
  <c r="BO194" i="5" s="1"/>
  <c r="AU194" i="5"/>
  <c r="BN194" i="5" s="1"/>
  <c r="CK258" i="5"/>
  <c r="CI258" i="5"/>
  <c r="CF258" i="5"/>
  <c r="CD258" i="5"/>
  <c r="CE258" i="5"/>
  <c r="BV258" i="5"/>
  <c r="BU258" i="5"/>
  <c r="CA258" i="5"/>
  <c r="BS258" i="5"/>
  <c r="CC258" i="5"/>
  <c r="BT258" i="5"/>
  <c r="BW258" i="5"/>
  <c r="BY258" i="5"/>
  <c r="BD258" i="5"/>
  <c r="BR258" i="5"/>
  <c r="BF258" i="5"/>
  <c r="BQ258" i="5"/>
  <c r="BM258" i="5"/>
  <c r="BK258" i="5"/>
  <c r="BG258" i="5"/>
  <c r="BI258" i="5"/>
  <c r="AZ258" i="5"/>
  <c r="BJ258" i="5"/>
  <c r="BH258" i="5"/>
  <c r="BE258" i="5"/>
  <c r="BA258" i="5"/>
  <c r="BP258" i="5" s="1"/>
  <c r="AY258" i="5"/>
  <c r="AV258" i="5"/>
  <c r="BO258" i="5" s="1"/>
  <c r="AU258" i="5"/>
  <c r="BN258" i="5" s="1"/>
  <c r="CK322" i="5"/>
  <c r="CF322" i="5"/>
  <c r="CD322" i="5"/>
  <c r="CI322" i="5"/>
  <c r="BV322" i="5"/>
  <c r="CA322" i="5"/>
  <c r="BU322" i="5"/>
  <c r="CC322" i="5"/>
  <c r="CE322" i="5"/>
  <c r="BT322" i="5"/>
  <c r="BS322" i="5"/>
  <c r="BY322" i="5"/>
  <c r="BW322" i="5"/>
  <c r="BR322" i="5"/>
  <c r="BF322" i="5"/>
  <c r="BM322" i="5"/>
  <c r="BK322" i="5"/>
  <c r="BQ322" i="5"/>
  <c r="BJ322" i="5"/>
  <c r="BH322" i="5"/>
  <c r="BE322" i="5"/>
  <c r="AZ322" i="5"/>
  <c r="BG322" i="5"/>
  <c r="BI322" i="5"/>
  <c r="BA322" i="5"/>
  <c r="BD322" i="5"/>
  <c r="AY322" i="5"/>
  <c r="AV322" i="5"/>
  <c r="AU322" i="5"/>
  <c r="CK386" i="5"/>
  <c r="CG386" i="5"/>
  <c r="CJ386" i="5"/>
  <c r="CF386" i="5"/>
  <c r="CI386" i="5"/>
  <c r="CD386" i="5"/>
  <c r="CH386" i="5"/>
  <c r="CE386" i="5"/>
  <c r="BV386" i="5"/>
  <c r="CC386" i="5"/>
  <c r="BU386" i="5"/>
  <c r="CA386" i="5"/>
  <c r="BZ386" i="5"/>
  <c r="BT386" i="5"/>
  <c r="BX386" i="5"/>
  <c r="BY386" i="5"/>
  <c r="BS386" i="5"/>
  <c r="BW386" i="5"/>
  <c r="BR386" i="5"/>
  <c r="BF386" i="5"/>
  <c r="BM386" i="5"/>
  <c r="BQ386" i="5"/>
  <c r="BK386" i="5"/>
  <c r="BI386" i="5"/>
  <c r="BG386" i="5"/>
  <c r="BL386" i="5"/>
  <c r="BJ386" i="5"/>
  <c r="AZ386" i="5"/>
  <c r="BH386" i="5"/>
  <c r="BE386" i="5"/>
  <c r="BA386" i="5"/>
  <c r="BP386" i="5" s="1"/>
  <c r="BD386" i="5"/>
  <c r="AY386" i="5"/>
  <c r="AV386" i="5"/>
  <c r="BO386" i="5" s="1"/>
  <c r="AU386" i="5"/>
  <c r="BB386" i="5" s="1"/>
  <c r="CI131" i="5"/>
  <c r="CK131" i="5"/>
  <c r="CF131" i="5"/>
  <c r="CE131" i="5"/>
  <c r="CA131" i="5"/>
  <c r="CD131" i="5"/>
  <c r="CC131" i="5"/>
  <c r="BW131" i="5"/>
  <c r="BU131" i="5"/>
  <c r="BR131" i="5"/>
  <c r="BV131" i="5"/>
  <c r="BY131" i="5"/>
  <c r="BS131" i="5"/>
  <c r="BK131" i="5"/>
  <c r="BG131" i="5"/>
  <c r="BI131" i="5"/>
  <c r="BT131" i="5"/>
  <c r="BQ131" i="5"/>
  <c r="BH131" i="5"/>
  <c r="BJ131" i="5"/>
  <c r="BA131" i="5"/>
  <c r="BP131" i="5" s="1"/>
  <c r="BM131" i="5"/>
  <c r="AY131" i="5"/>
  <c r="BD131" i="5"/>
  <c r="BE131" i="5"/>
  <c r="BF131" i="5"/>
  <c r="AZ131" i="5"/>
  <c r="AU131" i="5"/>
  <c r="BN131" i="5" s="1"/>
  <c r="AV131" i="5"/>
  <c r="BO131" i="5" s="1"/>
  <c r="CJ195" i="5"/>
  <c r="CI195" i="5"/>
  <c r="CH195" i="5"/>
  <c r="CG195" i="5"/>
  <c r="CE195" i="5"/>
  <c r="CA195" i="5"/>
  <c r="CD195" i="5"/>
  <c r="CF195" i="5"/>
  <c r="CK195" i="5"/>
  <c r="BW195" i="5"/>
  <c r="CC195" i="5"/>
  <c r="BY195" i="5"/>
  <c r="BU195" i="5"/>
  <c r="BR195" i="5"/>
  <c r="BV195" i="5"/>
  <c r="BK195" i="5"/>
  <c r="BG195" i="5"/>
  <c r="BX195" i="5"/>
  <c r="BZ195" i="5"/>
  <c r="BS195" i="5"/>
  <c r="BL195" i="5"/>
  <c r="BI195" i="5"/>
  <c r="BH195" i="5"/>
  <c r="BT195" i="5"/>
  <c r="BQ195" i="5"/>
  <c r="BM195" i="5"/>
  <c r="BA195" i="5"/>
  <c r="BP195" i="5" s="1"/>
  <c r="BJ195" i="5"/>
  <c r="AY195" i="5"/>
  <c r="BD195" i="5"/>
  <c r="BF195" i="5"/>
  <c r="BE195" i="5"/>
  <c r="AZ195" i="5"/>
  <c r="AU195" i="5"/>
  <c r="BB195" i="5" s="1"/>
  <c r="AV195" i="5"/>
  <c r="BC195" i="5" s="1"/>
  <c r="CI259" i="5"/>
  <c r="CE259" i="5"/>
  <c r="CA259" i="5"/>
  <c r="CK259" i="5"/>
  <c r="CF259" i="5"/>
  <c r="CD259" i="5"/>
  <c r="CC259" i="5"/>
  <c r="BW259" i="5"/>
  <c r="BY259" i="5"/>
  <c r="BU259" i="5"/>
  <c r="BR259" i="5"/>
  <c r="BK259" i="5"/>
  <c r="BV259" i="5"/>
  <c r="BI259" i="5"/>
  <c r="BQ259" i="5"/>
  <c r="BH259" i="5"/>
  <c r="BS259" i="5"/>
  <c r="BT259" i="5"/>
  <c r="BJ259" i="5"/>
  <c r="BA259" i="5"/>
  <c r="BP259" i="5" s="1"/>
  <c r="BM259" i="5"/>
  <c r="AY259" i="5"/>
  <c r="BG259" i="5"/>
  <c r="BD259" i="5"/>
  <c r="BF259" i="5"/>
  <c r="BE259" i="5"/>
  <c r="AZ259" i="5"/>
  <c r="AU259" i="5"/>
  <c r="BN259" i="5" s="1"/>
  <c r="AV259" i="5"/>
  <c r="BO259" i="5" s="1"/>
  <c r="CI323" i="5"/>
  <c r="CK323" i="5"/>
  <c r="CE323" i="5"/>
  <c r="CA323" i="5"/>
  <c r="CF323" i="5"/>
  <c r="CD323" i="5"/>
  <c r="BW323" i="5"/>
  <c r="BU323" i="5"/>
  <c r="BR323" i="5"/>
  <c r="BK323" i="5"/>
  <c r="CC323" i="5"/>
  <c r="BY323" i="5"/>
  <c r="BI323" i="5"/>
  <c r="BS323" i="5"/>
  <c r="BV323" i="5"/>
  <c r="BT323" i="5"/>
  <c r="BH323" i="5"/>
  <c r="BQ323" i="5"/>
  <c r="BM323" i="5"/>
  <c r="BA323" i="5"/>
  <c r="BP323" i="5" s="1"/>
  <c r="BJ323" i="5"/>
  <c r="AY323" i="5"/>
  <c r="BG323" i="5"/>
  <c r="BE323" i="5"/>
  <c r="BF323" i="5"/>
  <c r="BD323" i="5"/>
  <c r="AZ323" i="5"/>
  <c r="AU323" i="5"/>
  <c r="BN323" i="5" s="1"/>
  <c r="AV323" i="5"/>
  <c r="BO323" i="5" s="1"/>
  <c r="CI387" i="5"/>
  <c r="CK387" i="5"/>
  <c r="CJ387" i="5"/>
  <c r="CH387" i="5"/>
  <c r="CF387" i="5"/>
  <c r="CE387" i="5"/>
  <c r="CA387" i="5"/>
  <c r="CG387" i="5"/>
  <c r="CD387" i="5"/>
  <c r="CC387" i="5"/>
  <c r="BW387" i="5"/>
  <c r="BZ387" i="5"/>
  <c r="BU387" i="5"/>
  <c r="BR387" i="5"/>
  <c r="BY387" i="5"/>
  <c r="BX387" i="5"/>
  <c r="BK387" i="5"/>
  <c r="BV387" i="5"/>
  <c r="BI387" i="5"/>
  <c r="BQ387" i="5"/>
  <c r="BH387" i="5"/>
  <c r="BS387" i="5"/>
  <c r="BT387" i="5"/>
  <c r="BJ387" i="5"/>
  <c r="BA387" i="5"/>
  <c r="BP387" i="5" s="1"/>
  <c r="BM387" i="5"/>
  <c r="AY387" i="5"/>
  <c r="BG387" i="5"/>
  <c r="BL387" i="5"/>
  <c r="BD387" i="5"/>
  <c r="BE387" i="5"/>
  <c r="BF387" i="5"/>
  <c r="AZ387" i="5"/>
  <c r="AU387" i="5"/>
  <c r="BN387" i="5" s="1"/>
  <c r="AV387" i="5"/>
  <c r="BC387" i="5" s="1"/>
  <c r="BC174" i="5"/>
  <c r="CK12" i="5"/>
  <c r="CI12" i="5"/>
  <c r="CC12" i="5"/>
  <c r="CF12" i="5"/>
  <c r="BU12" i="5"/>
  <c r="CE12" i="5"/>
  <c r="BY12" i="5"/>
  <c r="BT12" i="5"/>
  <c r="CA12" i="5"/>
  <c r="BV12" i="5"/>
  <c r="CD12" i="5"/>
  <c r="BW12" i="5"/>
  <c r="BS12" i="5"/>
  <c r="BR12" i="5"/>
  <c r="BE12" i="5"/>
  <c r="BQ12" i="5"/>
  <c r="BI12" i="5"/>
  <c r="BH12" i="5"/>
  <c r="BK12" i="5"/>
  <c r="BM12" i="5"/>
  <c r="BF12" i="5"/>
  <c r="BG12" i="5"/>
  <c r="AZ12" i="5"/>
  <c r="BJ12" i="5"/>
  <c r="AY12" i="5"/>
  <c r="BA12" i="5"/>
  <c r="BP12" i="5" s="1"/>
  <c r="BD12" i="5"/>
  <c r="AV12" i="5"/>
  <c r="BC12" i="5" s="1"/>
  <c r="AU12" i="5"/>
  <c r="BN12" i="5" s="1"/>
  <c r="CK76" i="5"/>
  <c r="CI76" i="5"/>
  <c r="CJ76" i="5"/>
  <c r="CE76" i="5"/>
  <c r="CC76" i="5"/>
  <c r="CG76" i="5"/>
  <c r="CH76" i="5"/>
  <c r="CF76" i="5"/>
  <c r="BT76" i="5"/>
  <c r="BY76" i="5"/>
  <c r="CA76" i="5"/>
  <c r="BW76" i="5"/>
  <c r="BZ76" i="5"/>
  <c r="CD76" i="5"/>
  <c r="BV76" i="5"/>
  <c r="BS76" i="5"/>
  <c r="BX76" i="5"/>
  <c r="BU76" i="5"/>
  <c r="BR76" i="5"/>
  <c r="BL76" i="5"/>
  <c r="BE76" i="5"/>
  <c r="BH76" i="5"/>
  <c r="BQ76" i="5"/>
  <c r="BI76" i="5"/>
  <c r="BJ76" i="5"/>
  <c r="BM76" i="5"/>
  <c r="BK76" i="5"/>
  <c r="AZ76" i="5"/>
  <c r="BF76" i="5"/>
  <c r="BG76" i="5"/>
  <c r="AY76" i="5"/>
  <c r="BD76" i="5"/>
  <c r="BA76" i="5"/>
  <c r="BP76" i="5" s="1"/>
  <c r="AU76" i="5"/>
  <c r="BN76" i="5" s="1"/>
  <c r="AV76" i="5"/>
  <c r="BO76" i="5" s="1"/>
  <c r="CK140" i="5"/>
  <c r="CI140" i="5"/>
  <c r="CE140" i="5"/>
  <c r="CC140" i="5"/>
  <c r="BY140" i="5"/>
  <c r="BT140" i="5"/>
  <c r="CF140" i="5"/>
  <c r="CD140" i="5"/>
  <c r="BV140" i="5"/>
  <c r="CA140" i="5"/>
  <c r="BW140" i="5"/>
  <c r="BS140" i="5"/>
  <c r="BU140" i="5"/>
  <c r="BR140" i="5"/>
  <c r="BE140" i="5"/>
  <c r="BI140" i="5"/>
  <c r="BQ140" i="5"/>
  <c r="BH140" i="5"/>
  <c r="BG140" i="5"/>
  <c r="BJ140" i="5"/>
  <c r="AZ140" i="5"/>
  <c r="BM140" i="5"/>
  <c r="BK140" i="5"/>
  <c r="AY140" i="5"/>
  <c r="BA140" i="5"/>
  <c r="BP140" i="5" s="1"/>
  <c r="BF140" i="5"/>
  <c r="BD140" i="5"/>
  <c r="AU140" i="5"/>
  <c r="BN140" i="5" s="1"/>
  <c r="AV140" i="5"/>
  <c r="BO140" i="5" s="1"/>
  <c r="CK204" i="5"/>
  <c r="CI204" i="5"/>
  <c r="CE204" i="5"/>
  <c r="CF204" i="5"/>
  <c r="CC204" i="5"/>
  <c r="CA204" i="5"/>
  <c r="BT204" i="5"/>
  <c r="BY204" i="5"/>
  <c r="CD204" i="5"/>
  <c r="BW204" i="5"/>
  <c r="BV204" i="5"/>
  <c r="BS204" i="5"/>
  <c r="BR204" i="5"/>
  <c r="BU204" i="5"/>
  <c r="BE204" i="5"/>
  <c r="BQ204" i="5"/>
  <c r="BH204" i="5"/>
  <c r="BI204" i="5"/>
  <c r="BK204" i="5"/>
  <c r="AZ204" i="5"/>
  <c r="BG204" i="5"/>
  <c r="BJ204" i="5"/>
  <c r="BM204" i="5"/>
  <c r="AY204" i="5"/>
  <c r="BD204" i="5"/>
  <c r="BF204" i="5"/>
  <c r="BA204" i="5"/>
  <c r="BP204" i="5" s="1"/>
  <c r="AU204" i="5"/>
  <c r="BN204" i="5" s="1"/>
  <c r="AV204" i="5"/>
  <c r="BO204" i="5" s="1"/>
  <c r="CJ268" i="5"/>
  <c r="CK268" i="5"/>
  <c r="CI268" i="5"/>
  <c r="CH268" i="5"/>
  <c r="CE268" i="5"/>
  <c r="CC268" i="5"/>
  <c r="CG268" i="5"/>
  <c r="CF268" i="5"/>
  <c r="BZ268" i="5"/>
  <c r="BY268" i="5"/>
  <c r="BT268" i="5"/>
  <c r="CD268" i="5"/>
  <c r="BV268" i="5"/>
  <c r="BW268" i="5"/>
  <c r="CA268" i="5"/>
  <c r="BS268" i="5"/>
  <c r="BX268" i="5"/>
  <c r="BR268" i="5"/>
  <c r="BL268" i="5"/>
  <c r="BG268" i="5"/>
  <c r="BU268" i="5"/>
  <c r="BE268" i="5"/>
  <c r="BI268" i="5"/>
  <c r="BQ268" i="5"/>
  <c r="BH268" i="5"/>
  <c r="BM268" i="5"/>
  <c r="BJ268" i="5"/>
  <c r="AZ268" i="5"/>
  <c r="BK268" i="5"/>
  <c r="AY268" i="5"/>
  <c r="BA268" i="5"/>
  <c r="BP268" i="5" s="1"/>
  <c r="BF268" i="5"/>
  <c r="BD268" i="5"/>
  <c r="AU268" i="5"/>
  <c r="BB268" i="5" s="1"/>
  <c r="AV268" i="5"/>
  <c r="BC268" i="5" s="1"/>
  <c r="CK332" i="5"/>
  <c r="CI332" i="5"/>
  <c r="CE332" i="5"/>
  <c r="CC332" i="5"/>
  <c r="CF332" i="5"/>
  <c r="BT332" i="5"/>
  <c r="BY332" i="5"/>
  <c r="BW332" i="5"/>
  <c r="CA332" i="5"/>
  <c r="CD332" i="5"/>
  <c r="BV332" i="5"/>
  <c r="BS332" i="5"/>
  <c r="BR332" i="5"/>
  <c r="BU332" i="5"/>
  <c r="BG332" i="5"/>
  <c r="BE332" i="5"/>
  <c r="BQ332" i="5"/>
  <c r="BH332" i="5"/>
  <c r="BI332" i="5"/>
  <c r="BM332" i="5"/>
  <c r="AZ332" i="5"/>
  <c r="BJ332" i="5"/>
  <c r="BK332" i="5"/>
  <c r="AY332" i="5"/>
  <c r="BF332" i="5"/>
  <c r="BD332" i="5"/>
  <c r="BA332" i="5"/>
  <c r="BP332" i="5" s="1"/>
  <c r="AU332" i="5"/>
  <c r="BN332" i="5" s="1"/>
  <c r="AV332" i="5"/>
  <c r="BC332" i="5" s="1"/>
  <c r="CK165" i="5"/>
  <c r="CF165" i="5"/>
  <c r="CD165" i="5"/>
  <c r="CE165" i="5"/>
  <c r="CI165" i="5"/>
  <c r="BV165" i="5"/>
  <c r="CA165" i="5"/>
  <c r="BY165" i="5"/>
  <c r="CC165" i="5"/>
  <c r="BW165" i="5"/>
  <c r="BQ165" i="5"/>
  <c r="BT165" i="5"/>
  <c r="BM165" i="5"/>
  <c r="BJ165" i="5"/>
  <c r="BS165" i="5"/>
  <c r="BH165" i="5"/>
  <c r="BU165" i="5"/>
  <c r="BR165" i="5"/>
  <c r="BK165" i="5"/>
  <c r="BF165" i="5"/>
  <c r="AZ165" i="5"/>
  <c r="BE165" i="5"/>
  <c r="BI165" i="5"/>
  <c r="BG165" i="5"/>
  <c r="BD165" i="5"/>
  <c r="AY165" i="5"/>
  <c r="AU165" i="5"/>
  <c r="BB165" i="5" s="1"/>
  <c r="BA165" i="5"/>
  <c r="BP165" i="5" s="1"/>
  <c r="AV165" i="5"/>
  <c r="BO165" i="5" s="1"/>
  <c r="CI95" i="5"/>
  <c r="CK95" i="5"/>
  <c r="CE95" i="5"/>
  <c r="CF95" i="5"/>
  <c r="CC95" i="5"/>
  <c r="CD95" i="5"/>
  <c r="CA95" i="5"/>
  <c r="BW95" i="5"/>
  <c r="BV95" i="5"/>
  <c r="BR95" i="5"/>
  <c r="BU95" i="5"/>
  <c r="BY95" i="5"/>
  <c r="BI95" i="5"/>
  <c r="BS95" i="5"/>
  <c r="BK95" i="5"/>
  <c r="BG95" i="5"/>
  <c r="BT95" i="5"/>
  <c r="BQ95" i="5"/>
  <c r="BM95" i="5"/>
  <c r="BJ95" i="5"/>
  <c r="BE95" i="5"/>
  <c r="AY95" i="5"/>
  <c r="BD95" i="5"/>
  <c r="BA95" i="5"/>
  <c r="BP95" i="5" s="1"/>
  <c r="BH95" i="5"/>
  <c r="BF95" i="5"/>
  <c r="AV95" i="5"/>
  <c r="BO95" i="5" s="1"/>
  <c r="AZ95" i="5"/>
  <c r="AU95" i="5"/>
  <c r="BB95" i="5" s="1"/>
  <c r="CJ32" i="5"/>
  <c r="CK32" i="5"/>
  <c r="CI32" i="5"/>
  <c r="CE32" i="5"/>
  <c r="CA32" i="5"/>
  <c r="CH32" i="5"/>
  <c r="CG32" i="5"/>
  <c r="BZ32" i="5"/>
  <c r="CF32" i="5"/>
  <c r="BW32" i="5"/>
  <c r="CC32" i="5"/>
  <c r="BY32" i="5"/>
  <c r="CD32" i="5"/>
  <c r="BT32" i="5"/>
  <c r="BQ32" i="5"/>
  <c r="BX32" i="5"/>
  <c r="BV32" i="5"/>
  <c r="BR32" i="5"/>
  <c r="BK32" i="5"/>
  <c r="BE32" i="5"/>
  <c r="BS32" i="5"/>
  <c r="BU32" i="5"/>
  <c r="BJ32" i="5"/>
  <c r="BM32" i="5"/>
  <c r="BL32" i="5"/>
  <c r="BF32" i="5"/>
  <c r="BI32" i="5"/>
  <c r="BG32" i="5"/>
  <c r="BD32" i="5"/>
  <c r="BH32" i="5"/>
  <c r="BA32" i="5"/>
  <c r="BP32" i="5" s="1"/>
  <c r="AZ32" i="5"/>
  <c r="AY32" i="5"/>
  <c r="AV32" i="5"/>
  <c r="BC32" i="5" s="1"/>
  <c r="AU32" i="5"/>
  <c r="BB32" i="5" s="1"/>
  <c r="CK329" i="5"/>
  <c r="CI329" i="5"/>
  <c r="CE329" i="5"/>
  <c r="CF329" i="5"/>
  <c r="BY329" i="5"/>
  <c r="CC329" i="5"/>
  <c r="CD329" i="5"/>
  <c r="BV329" i="5"/>
  <c r="BQ329" i="5"/>
  <c r="CA329" i="5"/>
  <c r="BS329" i="5"/>
  <c r="BH329" i="5"/>
  <c r="BW329" i="5"/>
  <c r="BT329" i="5"/>
  <c r="BM329" i="5"/>
  <c r="BJ329" i="5"/>
  <c r="BU329" i="5"/>
  <c r="BI329" i="5"/>
  <c r="BR329" i="5"/>
  <c r="BK329" i="5"/>
  <c r="BD329" i="5"/>
  <c r="AZ329" i="5"/>
  <c r="BG329" i="5"/>
  <c r="BE329" i="5"/>
  <c r="BF329" i="5"/>
  <c r="BA329" i="5"/>
  <c r="BP329" i="5" s="1"/>
  <c r="AY329" i="5"/>
  <c r="AU329" i="5"/>
  <c r="BB329" i="5" s="1"/>
  <c r="AV329" i="5"/>
  <c r="BO329" i="5" s="1"/>
  <c r="CK20" i="5"/>
  <c r="CI20" i="5"/>
  <c r="CE20" i="5"/>
  <c r="CF20" i="5"/>
  <c r="CC20" i="5"/>
  <c r="CA20" i="5"/>
  <c r="BT20" i="5"/>
  <c r="BV20" i="5"/>
  <c r="CD20" i="5"/>
  <c r="BY20" i="5"/>
  <c r="BW20" i="5"/>
  <c r="BU20" i="5"/>
  <c r="BR20" i="5"/>
  <c r="BI20" i="5"/>
  <c r="BS20" i="5"/>
  <c r="BM20" i="5"/>
  <c r="BJ20" i="5"/>
  <c r="BE20" i="5"/>
  <c r="BH20" i="5"/>
  <c r="BQ20" i="5"/>
  <c r="BD20" i="5"/>
  <c r="BK20" i="5"/>
  <c r="BG20" i="5"/>
  <c r="BF20" i="5"/>
  <c r="AZ20" i="5"/>
  <c r="AY20" i="5"/>
  <c r="BA20" i="5"/>
  <c r="AU20" i="5"/>
  <c r="AV20" i="5"/>
  <c r="CI84" i="5"/>
  <c r="CK84" i="5"/>
  <c r="CE84" i="5"/>
  <c r="CF84" i="5"/>
  <c r="CC84" i="5"/>
  <c r="CD84" i="5"/>
  <c r="BT84" i="5"/>
  <c r="BV84" i="5"/>
  <c r="BY84" i="5"/>
  <c r="BU84" i="5"/>
  <c r="CA84" i="5"/>
  <c r="BW84" i="5"/>
  <c r="BS84" i="5"/>
  <c r="BI84" i="5"/>
  <c r="BR84" i="5"/>
  <c r="BM84" i="5"/>
  <c r="BJ84" i="5"/>
  <c r="BE84" i="5"/>
  <c r="BQ84" i="5"/>
  <c r="BH84" i="5"/>
  <c r="BD84" i="5"/>
  <c r="BG84" i="5"/>
  <c r="BF84" i="5"/>
  <c r="BK84" i="5"/>
  <c r="BA84" i="5"/>
  <c r="BP84" i="5" s="1"/>
  <c r="AZ84" i="5"/>
  <c r="AY84" i="5"/>
  <c r="AV84" i="5"/>
  <c r="BO84" i="5" s="1"/>
  <c r="AU84" i="5"/>
  <c r="BN84" i="5" s="1"/>
  <c r="CI148" i="5"/>
  <c r="CJ148" i="5"/>
  <c r="CG148" i="5"/>
  <c r="CK148" i="5"/>
  <c r="CH148" i="5"/>
  <c r="CE148" i="5"/>
  <c r="CF148" i="5"/>
  <c r="CC148" i="5"/>
  <c r="CA148" i="5"/>
  <c r="CD148" i="5"/>
  <c r="BX148" i="5"/>
  <c r="BT148" i="5"/>
  <c r="BV148" i="5"/>
  <c r="BY148" i="5"/>
  <c r="BZ148" i="5"/>
  <c r="BW148" i="5"/>
  <c r="BU148" i="5"/>
  <c r="BR148" i="5"/>
  <c r="BI148" i="5"/>
  <c r="BS148" i="5"/>
  <c r="BM148" i="5"/>
  <c r="BJ148" i="5"/>
  <c r="BE148" i="5"/>
  <c r="BQ148" i="5"/>
  <c r="BH148" i="5"/>
  <c r="BL148" i="5"/>
  <c r="BD148" i="5"/>
  <c r="BK148" i="5"/>
  <c r="BG148" i="5"/>
  <c r="BF148" i="5"/>
  <c r="AZ148" i="5"/>
  <c r="AY148" i="5"/>
  <c r="BA148" i="5"/>
  <c r="BP148" i="5" s="1"/>
  <c r="AV148" i="5"/>
  <c r="BC148" i="5" s="1"/>
  <c r="AU148" i="5"/>
  <c r="BN148" i="5" s="1"/>
  <c r="CI212" i="5"/>
  <c r="CK212" i="5"/>
  <c r="CE212" i="5"/>
  <c r="CF212" i="5"/>
  <c r="CC212" i="5"/>
  <c r="CA212" i="5"/>
  <c r="BT212" i="5"/>
  <c r="BV212" i="5"/>
  <c r="CD212" i="5"/>
  <c r="BY212" i="5"/>
  <c r="BW212" i="5"/>
  <c r="BS212" i="5"/>
  <c r="BI212" i="5"/>
  <c r="BR212" i="5"/>
  <c r="BU212" i="5"/>
  <c r="BM212" i="5"/>
  <c r="BJ212" i="5"/>
  <c r="BE212" i="5"/>
  <c r="BQ212" i="5"/>
  <c r="BH212" i="5"/>
  <c r="BD212" i="5"/>
  <c r="BF212" i="5"/>
  <c r="BK212" i="5"/>
  <c r="BG212" i="5"/>
  <c r="BA212" i="5"/>
  <c r="BP212" i="5" s="1"/>
  <c r="AZ212" i="5"/>
  <c r="AY212" i="5"/>
  <c r="AV212" i="5"/>
  <c r="BC212" i="5" s="1"/>
  <c r="AU212" i="5"/>
  <c r="BB212" i="5" s="1"/>
  <c r="CJ276" i="5"/>
  <c r="CI276" i="5"/>
  <c r="CK276" i="5"/>
  <c r="CE276" i="5"/>
  <c r="CF276" i="5"/>
  <c r="CC276" i="5"/>
  <c r="CG276" i="5"/>
  <c r="CH276" i="5"/>
  <c r="CA276" i="5"/>
  <c r="BZ276" i="5"/>
  <c r="BT276" i="5"/>
  <c r="BV276" i="5"/>
  <c r="CD276" i="5"/>
  <c r="BW276" i="5"/>
  <c r="BY276" i="5"/>
  <c r="BX276" i="5"/>
  <c r="BR276" i="5"/>
  <c r="BU276" i="5"/>
  <c r="BI276" i="5"/>
  <c r="BG276" i="5"/>
  <c r="BS276" i="5"/>
  <c r="BM276" i="5"/>
  <c r="BJ276" i="5"/>
  <c r="BE276" i="5"/>
  <c r="BQ276" i="5"/>
  <c r="BH276" i="5"/>
  <c r="BL276" i="5"/>
  <c r="BK276" i="5"/>
  <c r="BF276" i="5"/>
  <c r="BD276" i="5"/>
  <c r="AZ276" i="5"/>
  <c r="AY276" i="5"/>
  <c r="BA276" i="5"/>
  <c r="BP276" i="5" s="1"/>
  <c r="AV276" i="5"/>
  <c r="BO276" i="5" s="1"/>
  <c r="AU276" i="5"/>
  <c r="BN276" i="5" s="1"/>
  <c r="CI340" i="5"/>
  <c r="CE340" i="5"/>
  <c r="CF340" i="5"/>
  <c r="CC340" i="5"/>
  <c r="CK340" i="5"/>
  <c r="CD340" i="5"/>
  <c r="BT340" i="5"/>
  <c r="BV340" i="5"/>
  <c r="CA340" i="5"/>
  <c r="BY340" i="5"/>
  <c r="BW340" i="5"/>
  <c r="BS340" i="5"/>
  <c r="BI340" i="5"/>
  <c r="BG340" i="5"/>
  <c r="BU340" i="5"/>
  <c r="BR340" i="5"/>
  <c r="BM340" i="5"/>
  <c r="BJ340" i="5"/>
  <c r="BE340" i="5"/>
  <c r="BQ340" i="5"/>
  <c r="BH340" i="5"/>
  <c r="BF340" i="5"/>
  <c r="BK340" i="5"/>
  <c r="BD340" i="5"/>
  <c r="BA340" i="5"/>
  <c r="BP340" i="5" s="1"/>
  <c r="AZ340" i="5"/>
  <c r="AY340" i="5"/>
  <c r="AV340" i="5"/>
  <c r="BO340" i="5" s="1"/>
  <c r="AU340" i="5"/>
  <c r="BB340" i="5" s="1"/>
  <c r="CK45" i="5"/>
  <c r="CG45" i="5"/>
  <c r="CF45" i="5"/>
  <c r="CI45" i="5"/>
  <c r="CE45" i="5"/>
  <c r="BV45" i="5"/>
  <c r="CD45" i="5"/>
  <c r="CC45" i="5"/>
  <c r="CA45" i="5"/>
  <c r="BT45" i="5"/>
  <c r="BU45" i="5"/>
  <c r="BQ45" i="5"/>
  <c r="BY45" i="5"/>
  <c r="BS45" i="5"/>
  <c r="BM45" i="5"/>
  <c r="BJ45" i="5"/>
  <c r="BW45" i="5"/>
  <c r="BH45" i="5"/>
  <c r="BR45" i="5"/>
  <c r="BG45" i="5"/>
  <c r="AZ45" i="5"/>
  <c r="BK45" i="5"/>
  <c r="BI45" i="5"/>
  <c r="BD45" i="5"/>
  <c r="BF45" i="5"/>
  <c r="BE45" i="5"/>
  <c r="BA45" i="5"/>
  <c r="BP45" i="5" s="1"/>
  <c r="AU45" i="5"/>
  <c r="BN45" i="5" s="1"/>
  <c r="AY45" i="5"/>
  <c r="AV45" i="5"/>
  <c r="BC45" i="5" s="1"/>
  <c r="CK109" i="5"/>
  <c r="CI109" i="5"/>
  <c r="CF109" i="5"/>
  <c r="BV109" i="5"/>
  <c r="CD109" i="5"/>
  <c r="CA109" i="5"/>
  <c r="CE109" i="5"/>
  <c r="BY109" i="5"/>
  <c r="BT109" i="5"/>
  <c r="CC109" i="5"/>
  <c r="BU109" i="5"/>
  <c r="BQ109" i="5"/>
  <c r="BW109" i="5"/>
  <c r="BM109" i="5"/>
  <c r="BJ109" i="5"/>
  <c r="BS109" i="5"/>
  <c r="BH109" i="5"/>
  <c r="BR109" i="5"/>
  <c r="BG109" i="5"/>
  <c r="BK109" i="5"/>
  <c r="AZ109" i="5"/>
  <c r="BI109" i="5"/>
  <c r="BE109" i="5"/>
  <c r="BD109" i="5"/>
  <c r="BA109" i="5"/>
  <c r="BP109" i="5" s="1"/>
  <c r="BF109" i="5"/>
  <c r="AU109" i="5"/>
  <c r="BN109" i="5" s="1"/>
  <c r="AY109" i="5"/>
  <c r="AV109" i="5"/>
  <c r="BO109" i="5" s="1"/>
  <c r="CK173" i="5"/>
  <c r="CI173" i="5"/>
  <c r="CG173" i="5"/>
  <c r="CF173" i="5"/>
  <c r="CH173" i="5"/>
  <c r="CJ173" i="5"/>
  <c r="CD173" i="5"/>
  <c r="BZ173" i="5"/>
  <c r="CE173" i="5"/>
  <c r="BV173" i="5"/>
  <c r="BY173" i="5"/>
  <c r="BT173" i="5"/>
  <c r="CC173" i="5"/>
  <c r="CA173" i="5"/>
  <c r="BU173" i="5"/>
  <c r="BQ173" i="5"/>
  <c r="BX173" i="5"/>
  <c r="BS173" i="5"/>
  <c r="BM173" i="5"/>
  <c r="BJ173" i="5"/>
  <c r="BW173" i="5"/>
  <c r="BH173" i="5"/>
  <c r="BR173" i="5"/>
  <c r="BG173" i="5"/>
  <c r="AZ173" i="5"/>
  <c r="BK173" i="5"/>
  <c r="BD173" i="5"/>
  <c r="BL173" i="5"/>
  <c r="BI173" i="5"/>
  <c r="BE173" i="5"/>
  <c r="BA173" i="5"/>
  <c r="BP173" i="5" s="1"/>
  <c r="BF173" i="5"/>
  <c r="AU173" i="5"/>
  <c r="BB173" i="5" s="1"/>
  <c r="AY173" i="5"/>
  <c r="AV173" i="5"/>
  <c r="BO173" i="5" s="1"/>
  <c r="CK237" i="5"/>
  <c r="CJ237" i="5"/>
  <c r="CI237" i="5"/>
  <c r="CH237" i="5"/>
  <c r="CF237" i="5"/>
  <c r="CG237" i="5"/>
  <c r="CD237" i="5"/>
  <c r="BZ237" i="5"/>
  <c r="BV237" i="5"/>
  <c r="CE237" i="5"/>
  <c r="BT237" i="5"/>
  <c r="CC237" i="5"/>
  <c r="BU237" i="5"/>
  <c r="BQ237" i="5"/>
  <c r="BW237" i="5"/>
  <c r="BY237" i="5"/>
  <c r="BM237" i="5"/>
  <c r="BJ237" i="5"/>
  <c r="BX237" i="5"/>
  <c r="CA237" i="5"/>
  <c r="BS237" i="5"/>
  <c r="BL237" i="5"/>
  <c r="BH237" i="5"/>
  <c r="BR237" i="5"/>
  <c r="BK237" i="5"/>
  <c r="AZ237" i="5"/>
  <c r="BI237" i="5"/>
  <c r="BE237" i="5"/>
  <c r="BG237" i="5"/>
  <c r="BD237" i="5"/>
  <c r="BA237" i="5"/>
  <c r="BP237" i="5" s="1"/>
  <c r="BF237" i="5"/>
  <c r="AU237" i="5"/>
  <c r="BB237" i="5" s="1"/>
  <c r="AY237" i="5"/>
  <c r="AV237" i="5"/>
  <c r="BO237" i="5" s="1"/>
  <c r="CK301" i="5"/>
  <c r="CI301" i="5"/>
  <c r="CF301" i="5"/>
  <c r="CD301" i="5"/>
  <c r="CE301" i="5"/>
  <c r="BV301" i="5"/>
  <c r="CC301" i="5"/>
  <c r="BT301" i="5"/>
  <c r="BS301" i="5"/>
  <c r="CA301" i="5"/>
  <c r="BU301" i="5"/>
  <c r="BQ301" i="5"/>
  <c r="BW301" i="5"/>
  <c r="BM301" i="5"/>
  <c r="BJ301" i="5"/>
  <c r="BY301" i="5"/>
  <c r="BH301" i="5"/>
  <c r="BR301" i="5"/>
  <c r="BD301" i="5"/>
  <c r="AZ301" i="5"/>
  <c r="BK301" i="5"/>
  <c r="BG301" i="5"/>
  <c r="BI301" i="5"/>
  <c r="BE301" i="5"/>
  <c r="BA301" i="5"/>
  <c r="BP301" i="5" s="1"/>
  <c r="BF301" i="5"/>
  <c r="AU301" i="5"/>
  <c r="BB301" i="5" s="1"/>
  <c r="AY301" i="5"/>
  <c r="AV301" i="5"/>
  <c r="BO301" i="5" s="1"/>
  <c r="CK365" i="5"/>
  <c r="CJ365" i="5"/>
  <c r="CI365" i="5"/>
  <c r="CH365" i="5"/>
  <c r="CF365" i="5"/>
  <c r="CD365" i="5"/>
  <c r="CG365" i="5"/>
  <c r="BV365" i="5"/>
  <c r="CA365" i="5"/>
  <c r="CE365" i="5"/>
  <c r="BX365" i="5"/>
  <c r="BT365" i="5"/>
  <c r="BS365" i="5"/>
  <c r="CC365" i="5"/>
  <c r="BZ365" i="5"/>
  <c r="BU365" i="5"/>
  <c r="BQ365" i="5"/>
  <c r="BY365" i="5"/>
  <c r="BM365" i="5"/>
  <c r="BJ365" i="5"/>
  <c r="BW365" i="5"/>
  <c r="BL365" i="5"/>
  <c r="BH365" i="5"/>
  <c r="BR365" i="5"/>
  <c r="BK365" i="5"/>
  <c r="BD365" i="5"/>
  <c r="AZ365" i="5"/>
  <c r="BE365" i="5"/>
  <c r="BG365" i="5"/>
  <c r="BI365" i="5"/>
  <c r="BA365" i="5"/>
  <c r="BP365" i="5" s="1"/>
  <c r="BF365" i="5"/>
  <c r="AU365" i="5"/>
  <c r="BN365" i="5" s="1"/>
  <c r="AY365" i="5"/>
  <c r="AV365" i="5"/>
  <c r="BO365" i="5" s="1"/>
  <c r="CK103" i="5"/>
  <c r="CF103" i="5"/>
  <c r="CE103" i="5"/>
  <c r="CC103" i="5"/>
  <c r="CI103" i="5"/>
  <c r="BW103" i="5"/>
  <c r="BS103" i="5"/>
  <c r="BR103" i="5"/>
  <c r="CD103" i="5"/>
  <c r="CA103" i="5"/>
  <c r="BT103" i="5"/>
  <c r="BI103" i="5"/>
  <c r="BY103" i="5"/>
  <c r="BV103" i="5"/>
  <c r="BK103" i="5"/>
  <c r="BG103" i="5"/>
  <c r="BQ103" i="5"/>
  <c r="BU103" i="5"/>
  <c r="BJ103" i="5"/>
  <c r="AY103" i="5"/>
  <c r="BM103" i="5"/>
  <c r="BA103" i="5"/>
  <c r="BP103" i="5" s="1"/>
  <c r="BD103" i="5"/>
  <c r="BH103" i="5"/>
  <c r="AZ103" i="5"/>
  <c r="BE103" i="5"/>
  <c r="BF103" i="5"/>
  <c r="AV103" i="5"/>
  <c r="BC103" i="5" s="1"/>
  <c r="AU103" i="5"/>
  <c r="BN103" i="5" s="1"/>
  <c r="CK167" i="5"/>
  <c r="CI167" i="5"/>
  <c r="CF167" i="5"/>
  <c r="CE167" i="5"/>
  <c r="CC167" i="5"/>
  <c r="CD167" i="5"/>
  <c r="BY167" i="5"/>
  <c r="BS167" i="5"/>
  <c r="BR167" i="5"/>
  <c r="BW167" i="5"/>
  <c r="BT167" i="5"/>
  <c r="CA167" i="5"/>
  <c r="BI167" i="5"/>
  <c r="BV167" i="5"/>
  <c r="BK167" i="5"/>
  <c r="BG167" i="5"/>
  <c r="BU167" i="5"/>
  <c r="BQ167" i="5"/>
  <c r="BM167" i="5"/>
  <c r="AY167" i="5"/>
  <c r="BJ167" i="5"/>
  <c r="BA167" i="5"/>
  <c r="BP167" i="5" s="1"/>
  <c r="BH167" i="5"/>
  <c r="BD167" i="5"/>
  <c r="AZ167" i="5"/>
  <c r="BF167" i="5"/>
  <c r="BE167" i="5"/>
  <c r="AV167" i="5"/>
  <c r="BC167" i="5" s="1"/>
  <c r="AU167" i="5"/>
  <c r="BN167" i="5" s="1"/>
  <c r="CJ231" i="5"/>
  <c r="CH231" i="5"/>
  <c r="CK231" i="5"/>
  <c r="CG231" i="5"/>
  <c r="CF231" i="5"/>
  <c r="CE231" i="5"/>
  <c r="CC231" i="5"/>
  <c r="CD231" i="5"/>
  <c r="CI231" i="5"/>
  <c r="CA231" i="5"/>
  <c r="BZ231" i="5"/>
  <c r="BX231" i="5"/>
  <c r="BY231" i="5"/>
  <c r="BW231" i="5"/>
  <c r="BS231" i="5"/>
  <c r="BR231" i="5"/>
  <c r="BT231" i="5"/>
  <c r="BV231" i="5"/>
  <c r="BI231" i="5"/>
  <c r="BK231" i="5"/>
  <c r="BQ231" i="5"/>
  <c r="BU231" i="5"/>
  <c r="BL231" i="5"/>
  <c r="BJ231" i="5"/>
  <c r="AY231" i="5"/>
  <c r="BM231" i="5"/>
  <c r="BA231" i="5"/>
  <c r="BP231" i="5" s="1"/>
  <c r="BG231" i="5"/>
  <c r="BH231" i="5"/>
  <c r="BD231" i="5"/>
  <c r="AZ231" i="5"/>
  <c r="BE231" i="5"/>
  <c r="BF231" i="5"/>
  <c r="AV231" i="5"/>
  <c r="BO231" i="5" s="1"/>
  <c r="AU231" i="5"/>
  <c r="BB231" i="5" s="1"/>
  <c r="CI295" i="5"/>
  <c r="CF295" i="5"/>
  <c r="CE295" i="5"/>
  <c r="CC295" i="5"/>
  <c r="CD295" i="5"/>
  <c r="CK295" i="5"/>
  <c r="CA295" i="5"/>
  <c r="BR295" i="5"/>
  <c r="BW295" i="5"/>
  <c r="BT295" i="5"/>
  <c r="BI295" i="5"/>
  <c r="BY295" i="5"/>
  <c r="BV295" i="5"/>
  <c r="BS295" i="5"/>
  <c r="BK295" i="5"/>
  <c r="BU295" i="5"/>
  <c r="BQ295" i="5"/>
  <c r="BM295" i="5"/>
  <c r="AY295" i="5"/>
  <c r="BJ295" i="5"/>
  <c r="BA295" i="5"/>
  <c r="BG295" i="5"/>
  <c r="BH295" i="5"/>
  <c r="AZ295" i="5"/>
  <c r="BE295" i="5"/>
  <c r="BF295" i="5"/>
  <c r="BD295" i="5"/>
  <c r="AV295" i="5"/>
  <c r="AU295" i="5"/>
  <c r="CK359" i="5"/>
  <c r="CJ359" i="5"/>
  <c r="CF359" i="5"/>
  <c r="CE359" i="5"/>
  <c r="CG359" i="5"/>
  <c r="CC359" i="5"/>
  <c r="CI359" i="5"/>
  <c r="CH359" i="5"/>
  <c r="CD359" i="5"/>
  <c r="BZ359" i="5"/>
  <c r="CA359" i="5"/>
  <c r="BW359" i="5"/>
  <c r="BR359" i="5"/>
  <c r="BT359" i="5"/>
  <c r="BY359" i="5"/>
  <c r="BV359" i="5"/>
  <c r="BX359" i="5"/>
  <c r="BI359" i="5"/>
  <c r="BS359" i="5"/>
  <c r="BK359" i="5"/>
  <c r="BQ359" i="5"/>
  <c r="BU359" i="5"/>
  <c r="BJ359" i="5"/>
  <c r="AY359" i="5"/>
  <c r="BM359" i="5"/>
  <c r="BA359" i="5"/>
  <c r="BP359" i="5" s="1"/>
  <c r="BH359" i="5"/>
  <c r="BG359" i="5"/>
  <c r="BL359" i="5"/>
  <c r="AZ359" i="5"/>
  <c r="BD359" i="5"/>
  <c r="BF359" i="5"/>
  <c r="BE359" i="5"/>
  <c r="AV359" i="5"/>
  <c r="BC359" i="5" s="1"/>
  <c r="AU359" i="5"/>
  <c r="BB359" i="5" s="1"/>
  <c r="CK40" i="5"/>
  <c r="CA40" i="5"/>
  <c r="CD40" i="5"/>
  <c r="CF40" i="5"/>
  <c r="CI40" i="5"/>
  <c r="CC40" i="5"/>
  <c r="BW40" i="5"/>
  <c r="CE40" i="5"/>
  <c r="BY40" i="5"/>
  <c r="BT40" i="5"/>
  <c r="BV40" i="5"/>
  <c r="BU40" i="5"/>
  <c r="BG40" i="5"/>
  <c r="BE40" i="5"/>
  <c r="BR40" i="5"/>
  <c r="BS40" i="5"/>
  <c r="BH40" i="5"/>
  <c r="BI40" i="5"/>
  <c r="BQ40" i="5"/>
  <c r="BM40" i="5"/>
  <c r="BJ40" i="5"/>
  <c r="BF40" i="5"/>
  <c r="BA40" i="5"/>
  <c r="BP40" i="5" s="1"/>
  <c r="BK40" i="5"/>
  <c r="AZ40" i="5"/>
  <c r="BD40" i="5"/>
  <c r="AY40" i="5"/>
  <c r="AU40" i="5"/>
  <c r="BN40" i="5" s="1"/>
  <c r="AV40" i="5"/>
  <c r="BO40" i="5" s="1"/>
  <c r="CI104" i="5"/>
  <c r="CK104" i="5"/>
  <c r="CA104" i="5"/>
  <c r="CD104" i="5"/>
  <c r="CF104" i="5"/>
  <c r="CC104" i="5"/>
  <c r="BW104" i="5"/>
  <c r="BY104" i="5"/>
  <c r="BT104" i="5"/>
  <c r="CE104" i="5"/>
  <c r="BU104" i="5"/>
  <c r="BV104" i="5"/>
  <c r="BR104" i="5"/>
  <c r="BS104" i="5"/>
  <c r="BG104" i="5"/>
  <c r="BE104" i="5"/>
  <c r="BH104" i="5"/>
  <c r="BQ104" i="5"/>
  <c r="BI104" i="5"/>
  <c r="BM104" i="5"/>
  <c r="BA104" i="5"/>
  <c r="BP104" i="5" s="1"/>
  <c r="BJ104" i="5"/>
  <c r="BK104" i="5"/>
  <c r="BF104" i="5"/>
  <c r="BD104" i="5"/>
  <c r="AZ104" i="5"/>
  <c r="AY104" i="5"/>
  <c r="AU104" i="5"/>
  <c r="BN104" i="5" s="1"/>
  <c r="AV104" i="5"/>
  <c r="BC104" i="5" s="1"/>
  <c r="CK168" i="5"/>
  <c r="CI168" i="5"/>
  <c r="CJ168" i="5"/>
  <c r="CG168" i="5"/>
  <c r="CF168" i="5"/>
  <c r="CA168" i="5"/>
  <c r="CC168" i="5"/>
  <c r="BW168" i="5"/>
  <c r="BY168" i="5"/>
  <c r="BT168" i="5"/>
  <c r="CE168" i="5"/>
  <c r="CD168" i="5"/>
  <c r="BZ168" i="5"/>
  <c r="BX168" i="5"/>
  <c r="BV168" i="5"/>
  <c r="BU168" i="5"/>
  <c r="CH168" i="5"/>
  <c r="BL168" i="5"/>
  <c r="BG168" i="5"/>
  <c r="BE168" i="5"/>
  <c r="BR168" i="5"/>
  <c r="BS168" i="5"/>
  <c r="BH168" i="5"/>
  <c r="BQ168" i="5"/>
  <c r="BI168" i="5"/>
  <c r="BK168" i="5"/>
  <c r="BA168" i="5"/>
  <c r="BP168" i="5" s="1"/>
  <c r="BM168" i="5"/>
  <c r="BJ168" i="5"/>
  <c r="BF168" i="5"/>
  <c r="BD168" i="5"/>
  <c r="AZ168" i="5"/>
  <c r="AY168" i="5"/>
  <c r="AU168" i="5"/>
  <c r="BB168" i="5" s="1"/>
  <c r="AV168" i="5"/>
  <c r="BO168" i="5" s="1"/>
  <c r="CI232" i="5"/>
  <c r="CK232" i="5"/>
  <c r="CG232" i="5"/>
  <c r="CH232" i="5"/>
  <c r="CA232" i="5"/>
  <c r="CJ232" i="5"/>
  <c r="CC232" i="5"/>
  <c r="CF232" i="5"/>
  <c r="CE232" i="5"/>
  <c r="CD232" i="5"/>
  <c r="BX232" i="5"/>
  <c r="BW232" i="5"/>
  <c r="BY232" i="5"/>
  <c r="BT232" i="5"/>
  <c r="BU232" i="5"/>
  <c r="BV232" i="5"/>
  <c r="BZ232" i="5"/>
  <c r="BS232" i="5"/>
  <c r="BE232" i="5"/>
  <c r="BL232" i="5"/>
  <c r="BH232" i="5"/>
  <c r="BG232" i="5"/>
  <c r="BR232" i="5"/>
  <c r="BQ232" i="5"/>
  <c r="BI232" i="5"/>
  <c r="BJ232" i="5"/>
  <c r="BA232" i="5"/>
  <c r="BP232" i="5" s="1"/>
  <c r="BK232" i="5"/>
  <c r="BM232" i="5"/>
  <c r="BF232" i="5"/>
  <c r="BD232" i="5"/>
  <c r="AZ232" i="5"/>
  <c r="AY232" i="5"/>
  <c r="AU232" i="5"/>
  <c r="BB232" i="5" s="1"/>
  <c r="AV232" i="5"/>
  <c r="BO232" i="5" s="1"/>
  <c r="CJ296" i="5"/>
  <c r="CK296" i="5"/>
  <c r="CI296" i="5"/>
  <c r="CG296" i="5"/>
  <c r="CA296" i="5"/>
  <c r="CC296" i="5"/>
  <c r="CH296" i="5"/>
  <c r="CF296" i="5"/>
  <c r="BX296" i="5"/>
  <c r="BW296" i="5"/>
  <c r="BY296" i="5"/>
  <c r="BT296" i="5"/>
  <c r="BV296" i="5"/>
  <c r="BU296" i="5"/>
  <c r="CD296" i="5"/>
  <c r="CE296" i="5"/>
  <c r="BZ296" i="5"/>
  <c r="BL296" i="5"/>
  <c r="BS296" i="5"/>
  <c r="BE296" i="5"/>
  <c r="BH296" i="5"/>
  <c r="BG296" i="5"/>
  <c r="BR296" i="5"/>
  <c r="BQ296" i="5"/>
  <c r="BI296" i="5"/>
  <c r="BK296" i="5"/>
  <c r="BM296" i="5"/>
  <c r="BA296" i="5"/>
  <c r="BP296" i="5" s="1"/>
  <c r="BJ296" i="5"/>
  <c r="AZ296" i="5"/>
  <c r="BF296" i="5"/>
  <c r="BD296" i="5"/>
  <c r="AY296" i="5"/>
  <c r="AU296" i="5"/>
  <c r="BN296" i="5" s="1"/>
  <c r="AV296" i="5"/>
  <c r="BO296" i="5" s="1"/>
  <c r="CI360" i="5"/>
  <c r="CK360" i="5"/>
  <c r="CA360" i="5"/>
  <c r="CJ360" i="5"/>
  <c r="CC360" i="5"/>
  <c r="CH360" i="5"/>
  <c r="CF360" i="5"/>
  <c r="CD360" i="5"/>
  <c r="BW360" i="5"/>
  <c r="CE360" i="5"/>
  <c r="BZ360" i="5"/>
  <c r="BX360" i="5"/>
  <c r="BY360" i="5"/>
  <c r="BT360" i="5"/>
  <c r="CG360" i="5"/>
  <c r="BU360" i="5"/>
  <c r="BV360" i="5"/>
  <c r="BL360" i="5"/>
  <c r="BE360" i="5"/>
  <c r="BS360" i="5"/>
  <c r="BH360" i="5"/>
  <c r="BG360" i="5"/>
  <c r="BR360" i="5"/>
  <c r="BQ360" i="5"/>
  <c r="BI360" i="5"/>
  <c r="BJ360" i="5"/>
  <c r="BM360" i="5"/>
  <c r="BK360" i="5"/>
  <c r="BA360" i="5"/>
  <c r="BP360" i="5" s="1"/>
  <c r="BF360" i="5"/>
  <c r="BD360" i="5"/>
  <c r="AZ360" i="5"/>
  <c r="AY360" i="5"/>
  <c r="AU360" i="5"/>
  <c r="BB360" i="5" s="1"/>
  <c r="AV360" i="5"/>
  <c r="BC360" i="5" s="1"/>
  <c r="BO70" i="5"/>
  <c r="BO94" i="5"/>
  <c r="BO150" i="5"/>
  <c r="CK17" i="5"/>
  <c r="CF17" i="5"/>
  <c r="CD17" i="5"/>
  <c r="CI17" i="5"/>
  <c r="CA17" i="5"/>
  <c r="CE17" i="5"/>
  <c r="CC17" i="5"/>
  <c r="BY17" i="5"/>
  <c r="BS17" i="5"/>
  <c r="BQ17" i="5"/>
  <c r="BV17" i="5"/>
  <c r="BW17" i="5"/>
  <c r="BR17" i="5"/>
  <c r="BH17" i="5"/>
  <c r="BM17" i="5"/>
  <c r="BJ17" i="5"/>
  <c r="BT17" i="5"/>
  <c r="BU17" i="5"/>
  <c r="BK17" i="5"/>
  <c r="AZ17" i="5"/>
  <c r="BD17" i="5"/>
  <c r="AY17" i="5"/>
  <c r="BI17" i="5"/>
  <c r="BF17" i="5"/>
  <c r="BG17" i="5"/>
  <c r="BE17" i="5"/>
  <c r="BA17" i="5"/>
  <c r="BP17" i="5" s="1"/>
  <c r="AU17" i="5"/>
  <c r="BN17" i="5" s="1"/>
  <c r="AV17" i="5"/>
  <c r="BC17" i="5" s="1"/>
  <c r="CK81" i="5"/>
  <c r="CI81" i="5"/>
  <c r="CF81" i="5"/>
  <c r="CD81" i="5"/>
  <c r="CA81" i="5"/>
  <c r="BY81" i="5"/>
  <c r="CE81" i="5"/>
  <c r="CC81" i="5"/>
  <c r="BS81" i="5"/>
  <c r="BQ81" i="5"/>
  <c r="BV81" i="5"/>
  <c r="BR81" i="5"/>
  <c r="BH81" i="5"/>
  <c r="BW81" i="5"/>
  <c r="BM81" i="5"/>
  <c r="BJ81" i="5"/>
  <c r="BU81" i="5"/>
  <c r="BT81" i="5"/>
  <c r="BK81" i="5"/>
  <c r="AZ81" i="5"/>
  <c r="BG81" i="5"/>
  <c r="BE81" i="5"/>
  <c r="AY81" i="5"/>
  <c r="BI81" i="5"/>
  <c r="BD81" i="5"/>
  <c r="BF81" i="5"/>
  <c r="BA81" i="5"/>
  <c r="BP81" i="5" s="1"/>
  <c r="AU81" i="5"/>
  <c r="BN81" i="5" s="1"/>
  <c r="AV81" i="5"/>
  <c r="BO81" i="5" s="1"/>
  <c r="CK145" i="5"/>
  <c r="CI145" i="5"/>
  <c r="CF145" i="5"/>
  <c r="CD145" i="5"/>
  <c r="CA145" i="5"/>
  <c r="CE145" i="5"/>
  <c r="CC145" i="5"/>
  <c r="BY145" i="5"/>
  <c r="BS145" i="5"/>
  <c r="BQ145" i="5"/>
  <c r="BW145" i="5"/>
  <c r="BR145" i="5"/>
  <c r="BH145" i="5"/>
  <c r="BV145" i="5"/>
  <c r="BM145" i="5"/>
  <c r="BJ145" i="5"/>
  <c r="BU145" i="5"/>
  <c r="BT145" i="5"/>
  <c r="BK145" i="5"/>
  <c r="AZ145" i="5"/>
  <c r="BI145" i="5"/>
  <c r="BG145" i="5"/>
  <c r="BD145" i="5"/>
  <c r="AY145" i="5"/>
  <c r="BE145" i="5"/>
  <c r="BF145" i="5"/>
  <c r="BA145" i="5"/>
  <c r="BP145" i="5" s="1"/>
  <c r="AU145" i="5"/>
  <c r="BN145" i="5" s="1"/>
  <c r="AV145" i="5"/>
  <c r="BO145" i="5" s="1"/>
  <c r="CJ209" i="5"/>
  <c r="CK209" i="5"/>
  <c r="CI209" i="5"/>
  <c r="CF209" i="5"/>
  <c r="CH209" i="5"/>
  <c r="CA209" i="5"/>
  <c r="CG209" i="5"/>
  <c r="CD209" i="5"/>
  <c r="BY209" i="5"/>
  <c r="CE209" i="5"/>
  <c r="BZ209" i="5"/>
  <c r="BS209" i="5"/>
  <c r="BQ209" i="5"/>
  <c r="CC209" i="5"/>
  <c r="BV209" i="5"/>
  <c r="BR209" i="5"/>
  <c r="BH209" i="5"/>
  <c r="BW209" i="5"/>
  <c r="BX209" i="5"/>
  <c r="BM209" i="5"/>
  <c r="BJ209" i="5"/>
  <c r="BT209" i="5"/>
  <c r="BU209" i="5"/>
  <c r="BK209" i="5"/>
  <c r="AZ209" i="5"/>
  <c r="BL209" i="5"/>
  <c r="BE209" i="5"/>
  <c r="AY209" i="5"/>
  <c r="BI209" i="5"/>
  <c r="BG209" i="5"/>
  <c r="BD209" i="5"/>
  <c r="BF209" i="5"/>
  <c r="BA209" i="5"/>
  <c r="BP209" i="5" s="1"/>
  <c r="AU209" i="5"/>
  <c r="BB209" i="5" s="1"/>
  <c r="AV209" i="5"/>
  <c r="BO209" i="5" s="1"/>
  <c r="CK273" i="5"/>
  <c r="CI273" i="5"/>
  <c r="CF273" i="5"/>
  <c r="CA273" i="5"/>
  <c r="CE273" i="5"/>
  <c r="CD273" i="5"/>
  <c r="CC273" i="5"/>
  <c r="BY273" i="5"/>
  <c r="BQ273" i="5"/>
  <c r="BS273" i="5"/>
  <c r="BR273" i="5"/>
  <c r="BH273" i="5"/>
  <c r="BV273" i="5"/>
  <c r="BW273" i="5"/>
  <c r="BM273" i="5"/>
  <c r="BJ273" i="5"/>
  <c r="BU273" i="5"/>
  <c r="BT273" i="5"/>
  <c r="BK273" i="5"/>
  <c r="BG273" i="5"/>
  <c r="BD273" i="5"/>
  <c r="AZ273" i="5"/>
  <c r="BI273" i="5"/>
  <c r="AY273" i="5"/>
  <c r="BE273" i="5"/>
  <c r="BA273" i="5"/>
  <c r="BP273" i="5" s="1"/>
  <c r="BF273" i="5"/>
  <c r="AU273" i="5"/>
  <c r="BB273" i="5" s="1"/>
  <c r="AV273" i="5"/>
  <c r="BC273" i="5" s="1"/>
  <c r="CK337" i="5"/>
  <c r="CJ337" i="5"/>
  <c r="CI337" i="5"/>
  <c r="CF337" i="5"/>
  <c r="CG337" i="5"/>
  <c r="CH337" i="5"/>
  <c r="CA337" i="5"/>
  <c r="CD337" i="5"/>
  <c r="BY337" i="5"/>
  <c r="BZ337" i="5"/>
  <c r="CC337" i="5"/>
  <c r="CE337" i="5"/>
  <c r="BX337" i="5"/>
  <c r="BQ337" i="5"/>
  <c r="BS337" i="5"/>
  <c r="BW337" i="5"/>
  <c r="BR337" i="5"/>
  <c r="BH337" i="5"/>
  <c r="BV337" i="5"/>
  <c r="BM337" i="5"/>
  <c r="BJ337" i="5"/>
  <c r="BT337" i="5"/>
  <c r="BU337" i="5"/>
  <c r="BK337" i="5"/>
  <c r="BG337" i="5"/>
  <c r="BD337" i="5"/>
  <c r="AZ337" i="5"/>
  <c r="BI337" i="5"/>
  <c r="BE337" i="5"/>
  <c r="AY337" i="5"/>
  <c r="BL337" i="5"/>
  <c r="BF337" i="5"/>
  <c r="BA337" i="5"/>
  <c r="BP337" i="5" s="1"/>
  <c r="AU337" i="5"/>
  <c r="BB337" i="5" s="1"/>
  <c r="AV337" i="5"/>
  <c r="BO337" i="5" s="1"/>
  <c r="CK146" i="5"/>
  <c r="CJ146" i="5"/>
  <c r="CH146" i="5"/>
  <c r="CI146" i="5"/>
  <c r="BZ146" i="5"/>
  <c r="CC146" i="5"/>
  <c r="CF146" i="5"/>
  <c r="CE146" i="5"/>
  <c r="BV146" i="5"/>
  <c r="CA146" i="5"/>
  <c r="BU146" i="5"/>
  <c r="CG146" i="5"/>
  <c r="BS146" i="5"/>
  <c r="BW146" i="5"/>
  <c r="CD146" i="5"/>
  <c r="BY146" i="5"/>
  <c r="BT146" i="5"/>
  <c r="BX146" i="5"/>
  <c r="BR146" i="5"/>
  <c r="BQ146" i="5"/>
  <c r="BL146" i="5"/>
  <c r="BG146" i="5"/>
  <c r="BD146" i="5"/>
  <c r="BF146" i="5"/>
  <c r="BJ146" i="5"/>
  <c r="BM146" i="5"/>
  <c r="BI146" i="5"/>
  <c r="BK146" i="5"/>
  <c r="BA146" i="5"/>
  <c r="BP146" i="5" s="1"/>
  <c r="BH146" i="5"/>
  <c r="AZ146" i="5"/>
  <c r="BE146" i="5"/>
  <c r="AY146" i="5"/>
  <c r="AU146" i="5"/>
  <c r="BB146" i="5" s="1"/>
  <c r="AV146" i="5"/>
  <c r="BC146" i="5" s="1"/>
  <c r="CK210" i="5"/>
  <c r="CI210" i="5"/>
  <c r="CD210" i="5"/>
  <c r="CF210" i="5"/>
  <c r="CC210" i="5"/>
  <c r="BV210" i="5"/>
  <c r="CE210" i="5"/>
  <c r="BU210" i="5"/>
  <c r="BS210" i="5"/>
  <c r="CA210" i="5"/>
  <c r="BW210" i="5"/>
  <c r="BT210" i="5"/>
  <c r="BY210" i="5"/>
  <c r="BG210" i="5"/>
  <c r="BD210" i="5"/>
  <c r="BQ210" i="5"/>
  <c r="BF210" i="5"/>
  <c r="BM210" i="5"/>
  <c r="BI210" i="5"/>
  <c r="BR210" i="5"/>
  <c r="BJ210" i="5"/>
  <c r="BH210" i="5"/>
  <c r="BA210" i="5"/>
  <c r="BP210" i="5" s="1"/>
  <c r="BK210" i="5"/>
  <c r="AZ210" i="5"/>
  <c r="BE210" i="5"/>
  <c r="AY210" i="5"/>
  <c r="AU210" i="5"/>
  <c r="BB210" i="5" s="1"/>
  <c r="AV210" i="5"/>
  <c r="BO210" i="5" s="1"/>
  <c r="CK274" i="5"/>
  <c r="CD274" i="5"/>
  <c r="CF274" i="5"/>
  <c r="CC274" i="5"/>
  <c r="BV274" i="5"/>
  <c r="CI274" i="5"/>
  <c r="BU274" i="5"/>
  <c r="BW274" i="5"/>
  <c r="CE274" i="5"/>
  <c r="CA274" i="5"/>
  <c r="BT274" i="5"/>
  <c r="BY274" i="5"/>
  <c r="BS274" i="5"/>
  <c r="BQ274" i="5"/>
  <c r="BF274" i="5"/>
  <c r="BJ274" i="5"/>
  <c r="BR274" i="5"/>
  <c r="BM274" i="5"/>
  <c r="BI274" i="5"/>
  <c r="BG274" i="5"/>
  <c r="BA274" i="5"/>
  <c r="BP274" i="5" s="1"/>
  <c r="BH274" i="5"/>
  <c r="BK274" i="5"/>
  <c r="AZ274" i="5"/>
  <c r="BD274" i="5"/>
  <c r="BE274" i="5"/>
  <c r="AY274" i="5"/>
  <c r="AU274" i="5"/>
  <c r="BB274" i="5" s="1"/>
  <c r="AV274" i="5"/>
  <c r="BO274" i="5" s="1"/>
  <c r="CK338" i="5"/>
  <c r="CF338" i="5"/>
  <c r="CD338" i="5"/>
  <c r="CC338" i="5"/>
  <c r="BV338" i="5"/>
  <c r="CI338" i="5"/>
  <c r="BU338" i="5"/>
  <c r="CE338" i="5"/>
  <c r="BW338" i="5"/>
  <c r="BT338" i="5"/>
  <c r="BY338" i="5"/>
  <c r="CA338" i="5"/>
  <c r="BS338" i="5"/>
  <c r="BQ338" i="5"/>
  <c r="BF338" i="5"/>
  <c r="BM338" i="5"/>
  <c r="BI338" i="5"/>
  <c r="BR338" i="5"/>
  <c r="BJ338" i="5"/>
  <c r="BH338" i="5"/>
  <c r="BK338" i="5"/>
  <c r="BA338" i="5"/>
  <c r="BP338" i="5" s="1"/>
  <c r="BG338" i="5"/>
  <c r="AZ338" i="5"/>
  <c r="BD338" i="5"/>
  <c r="BE338" i="5"/>
  <c r="AY338" i="5"/>
  <c r="AU338" i="5"/>
  <c r="BB338" i="5" s="1"/>
  <c r="AV338" i="5"/>
  <c r="BO338" i="5" s="1"/>
  <c r="BB11" i="5"/>
  <c r="CK83" i="5"/>
  <c r="CI83" i="5"/>
  <c r="CD83" i="5"/>
  <c r="CA83" i="5"/>
  <c r="CC83" i="5"/>
  <c r="CF83" i="5"/>
  <c r="BW83" i="5"/>
  <c r="BY83" i="5"/>
  <c r="BV83" i="5"/>
  <c r="BU83" i="5"/>
  <c r="CE83" i="5"/>
  <c r="BR83" i="5"/>
  <c r="BK83" i="5"/>
  <c r="BG83" i="5"/>
  <c r="BI83" i="5"/>
  <c r="BS83" i="5"/>
  <c r="BT83" i="5"/>
  <c r="BH83" i="5"/>
  <c r="BA83" i="5"/>
  <c r="BP83" i="5" s="1"/>
  <c r="BQ83" i="5"/>
  <c r="AY83" i="5"/>
  <c r="BF83" i="5"/>
  <c r="BJ83" i="5"/>
  <c r="BM83" i="5"/>
  <c r="BE83" i="5"/>
  <c r="AZ83" i="5"/>
  <c r="BD83" i="5"/>
  <c r="AU83" i="5"/>
  <c r="BB83" i="5" s="1"/>
  <c r="AV83" i="5"/>
  <c r="BC83" i="5" s="1"/>
  <c r="CK147" i="5"/>
  <c r="CF147" i="5"/>
  <c r="CD147" i="5"/>
  <c r="CA147" i="5"/>
  <c r="CI147" i="5"/>
  <c r="CE147" i="5"/>
  <c r="BW147" i="5"/>
  <c r="BY147" i="5"/>
  <c r="CC147" i="5"/>
  <c r="BU147" i="5"/>
  <c r="BV147" i="5"/>
  <c r="BR147" i="5"/>
  <c r="BK147" i="5"/>
  <c r="BG147" i="5"/>
  <c r="BI147" i="5"/>
  <c r="BT147" i="5"/>
  <c r="BS147" i="5"/>
  <c r="BH147" i="5"/>
  <c r="BQ147" i="5"/>
  <c r="BA147" i="5"/>
  <c r="BP147" i="5" s="1"/>
  <c r="AY147" i="5"/>
  <c r="BJ147" i="5"/>
  <c r="BM147" i="5"/>
  <c r="BE147" i="5"/>
  <c r="BD147" i="5"/>
  <c r="BF147" i="5"/>
  <c r="AZ147" i="5"/>
  <c r="AU147" i="5"/>
  <c r="BB147" i="5" s="1"/>
  <c r="AV147" i="5"/>
  <c r="BC147" i="5" s="1"/>
  <c r="CJ211" i="5"/>
  <c r="CG211" i="5"/>
  <c r="CI211" i="5"/>
  <c r="CH211" i="5"/>
  <c r="CA211" i="5"/>
  <c r="CK211" i="5"/>
  <c r="CF211" i="5"/>
  <c r="CC211" i="5"/>
  <c r="CE211" i="5"/>
  <c r="BW211" i="5"/>
  <c r="BZ211" i="5"/>
  <c r="BY211" i="5"/>
  <c r="CD211" i="5"/>
  <c r="BV211" i="5"/>
  <c r="BU211" i="5"/>
  <c r="BR211" i="5"/>
  <c r="BX211" i="5"/>
  <c r="BK211" i="5"/>
  <c r="BG211" i="5"/>
  <c r="BI211" i="5"/>
  <c r="BT211" i="5"/>
  <c r="BS211" i="5"/>
  <c r="BH211" i="5"/>
  <c r="BA211" i="5"/>
  <c r="BP211" i="5" s="1"/>
  <c r="BQ211" i="5"/>
  <c r="BL211" i="5"/>
  <c r="AY211" i="5"/>
  <c r="BM211" i="5"/>
  <c r="BJ211" i="5"/>
  <c r="BE211" i="5"/>
  <c r="AZ211" i="5"/>
  <c r="BD211" i="5"/>
  <c r="BF211" i="5"/>
  <c r="AU211" i="5"/>
  <c r="BB211" i="5" s="1"/>
  <c r="AV211" i="5"/>
  <c r="BC211" i="5" s="1"/>
  <c r="CJ275" i="5"/>
  <c r="CK275" i="5"/>
  <c r="CI275" i="5"/>
  <c r="CA275" i="5"/>
  <c r="CG275" i="5"/>
  <c r="CH275" i="5"/>
  <c r="CF275" i="5"/>
  <c r="CE275" i="5"/>
  <c r="CD275" i="5"/>
  <c r="BX275" i="5"/>
  <c r="BW275" i="5"/>
  <c r="BY275" i="5"/>
  <c r="BU275" i="5"/>
  <c r="BZ275" i="5"/>
  <c r="BV275" i="5"/>
  <c r="BR275" i="5"/>
  <c r="CC275" i="5"/>
  <c r="BL275" i="5"/>
  <c r="BK275" i="5"/>
  <c r="BI275" i="5"/>
  <c r="BS275" i="5"/>
  <c r="BT275" i="5"/>
  <c r="BH275" i="5"/>
  <c r="BQ275" i="5"/>
  <c r="BA275" i="5"/>
  <c r="BP275" i="5" s="1"/>
  <c r="AY275" i="5"/>
  <c r="BG275" i="5"/>
  <c r="BM275" i="5"/>
  <c r="BJ275" i="5"/>
  <c r="BF275" i="5"/>
  <c r="BD275" i="5"/>
  <c r="BE275" i="5"/>
  <c r="AZ275" i="5"/>
  <c r="AU275" i="5"/>
  <c r="BB275" i="5" s="1"/>
  <c r="AV275" i="5"/>
  <c r="BO275" i="5" s="1"/>
  <c r="CK339" i="5"/>
  <c r="CA339" i="5"/>
  <c r="CF339" i="5"/>
  <c r="CI339" i="5"/>
  <c r="CC339" i="5"/>
  <c r="BW339" i="5"/>
  <c r="CE339" i="5"/>
  <c r="BY339" i="5"/>
  <c r="CD339" i="5"/>
  <c r="BV339" i="5"/>
  <c r="BU339" i="5"/>
  <c r="BR339" i="5"/>
  <c r="BK339" i="5"/>
  <c r="BI339" i="5"/>
  <c r="BT339" i="5"/>
  <c r="BS339" i="5"/>
  <c r="BH339" i="5"/>
  <c r="BQ339" i="5"/>
  <c r="BA339" i="5"/>
  <c r="BP339" i="5" s="1"/>
  <c r="AY339" i="5"/>
  <c r="BM339" i="5"/>
  <c r="BG339" i="5"/>
  <c r="BJ339" i="5"/>
  <c r="BF339" i="5"/>
  <c r="AZ339" i="5"/>
  <c r="BD339" i="5"/>
  <c r="BE339" i="5"/>
  <c r="AU339" i="5"/>
  <c r="BB339" i="5" s="1"/>
  <c r="AV339" i="5"/>
  <c r="BO339" i="5" s="1"/>
  <c r="BO102" i="5"/>
  <c r="CK28" i="5"/>
  <c r="CJ28" i="5"/>
  <c r="CG28" i="5"/>
  <c r="CE28" i="5"/>
  <c r="CC28" i="5"/>
  <c r="CI28" i="5"/>
  <c r="CF28" i="5"/>
  <c r="CA28" i="5"/>
  <c r="CH28" i="5"/>
  <c r="CD28" i="5"/>
  <c r="BZ28" i="5"/>
  <c r="BX28" i="5"/>
  <c r="BT28" i="5"/>
  <c r="BS28" i="5"/>
  <c r="BU28" i="5"/>
  <c r="BR28" i="5"/>
  <c r="BY28" i="5"/>
  <c r="BV28" i="5"/>
  <c r="BW28" i="5"/>
  <c r="BE28" i="5"/>
  <c r="BQ28" i="5"/>
  <c r="BG28" i="5"/>
  <c r="BL28" i="5"/>
  <c r="BI28" i="5"/>
  <c r="BF28" i="5"/>
  <c r="AY28" i="5"/>
  <c r="BJ28" i="5"/>
  <c r="BH28" i="5"/>
  <c r="BM28" i="5"/>
  <c r="BK28" i="5"/>
  <c r="AZ28" i="5"/>
  <c r="BD28" i="5"/>
  <c r="BA28" i="5"/>
  <c r="BP28" i="5" s="1"/>
  <c r="AU28" i="5"/>
  <c r="BN28" i="5" s="1"/>
  <c r="AV28" i="5"/>
  <c r="BO28" i="5" s="1"/>
  <c r="CJ92" i="5"/>
  <c r="CK92" i="5"/>
  <c r="CI92" i="5"/>
  <c r="CH92" i="5"/>
  <c r="CG92" i="5"/>
  <c r="CE92" i="5"/>
  <c r="CC92" i="5"/>
  <c r="CF92" i="5"/>
  <c r="CA92" i="5"/>
  <c r="CD92" i="5"/>
  <c r="BT92" i="5"/>
  <c r="BY92" i="5"/>
  <c r="BZ92" i="5"/>
  <c r="BS92" i="5"/>
  <c r="BW92" i="5"/>
  <c r="BR92" i="5"/>
  <c r="BX92" i="5"/>
  <c r="BV92" i="5"/>
  <c r="BU92" i="5"/>
  <c r="BL92" i="5"/>
  <c r="BE92" i="5"/>
  <c r="BQ92" i="5"/>
  <c r="BG92" i="5"/>
  <c r="BM92" i="5"/>
  <c r="BH92" i="5"/>
  <c r="BK92" i="5"/>
  <c r="BI92" i="5"/>
  <c r="AY92" i="5"/>
  <c r="BF92" i="5"/>
  <c r="BJ92" i="5"/>
  <c r="AZ92" i="5"/>
  <c r="BD92" i="5"/>
  <c r="BA92" i="5"/>
  <c r="BP92" i="5" s="1"/>
  <c r="AU92" i="5"/>
  <c r="BN92" i="5" s="1"/>
  <c r="AV92" i="5"/>
  <c r="BO92" i="5" s="1"/>
  <c r="CK156" i="5"/>
  <c r="CI156" i="5"/>
  <c r="CE156" i="5"/>
  <c r="CH156" i="5"/>
  <c r="CC156" i="5"/>
  <c r="CJ156" i="5"/>
  <c r="CA156" i="5"/>
  <c r="CG156" i="5"/>
  <c r="CD156" i="5"/>
  <c r="BZ156" i="5"/>
  <c r="BX156" i="5"/>
  <c r="BT156" i="5"/>
  <c r="CF156" i="5"/>
  <c r="BY156" i="5"/>
  <c r="BS156" i="5"/>
  <c r="BV156" i="5"/>
  <c r="BU156" i="5"/>
  <c r="BR156" i="5"/>
  <c r="BW156" i="5"/>
  <c r="BL156" i="5"/>
  <c r="BE156" i="5"/>
  <c r="BG156" i="5"/>
  <c r="BQ156" i="5"/>
  <c r="BM156" i="5"/>
  <c r="BJ156" i="5"/>
  <c r="BF156" i="5"/>
  <c r="BH156" i="5"/>
  <c r="AY156" i="5"/>
  <c r="BK156" i="5"/>
  <c r="BI156" i="5"/>
  <c r="AZ156" i="5"/>
  <c r="BD156" i="5"/>
  <c r="BA156" i="5"/>
  <c r="BP156" i="5" s="1"/>
  <c r="AU156" i="5"/>
  <c r="BN156" i="5" s="1"/>
  <c r="AV156" i="5"/>
  <c r="BO156" i="5" s="1"/>
  <c r="CK220" i="5"/>
  <c r="CI220" i="5"/>
  <c r="CE220" i="5"/>
  <c r="CC220" i="5"/>
  <c r="CF220" i="5"/>
  <c r="CA220" i="5"/>
  <c r="CD220" i="5"/>
  <c r="BT220" i="5"/>
  <c r="BS220" i="5"/>
  <c r="BW220" i="5"/>
  <c r="BR220" i="5"/>
  <c r="BY220" i="5"/>
  <c r="BV220" i="5"/>
  <c r="BU220" i="5"/>
  <c r="BG220" i="5"/>
  <c r="BE220" i="5"/>
  <c r="BQ220" i="5"/>
  <c r="BK220" i="5"/>
  <c r="BI220" i="5"/>
  <c r="AY220" i="5"/>
  <c r="BM220" i="5"/>
  <c r="BJ220" i="5"/>
  <c r="BH220" i="5"/>
  <c r="BF220" i="5"/>
  <c r="AZ220" i="5"/>
  <c r="BD220" i="5"/>
  <c r="BA220" i="5"/>
  <c r="BP220" i="5" s="1"/>
  <c r="AU220" i="5"/>
  <c r="BN220" i="5" s="1"/>
  <c r="AV220" i="5"/>
  <c r="BC220" i="5" s="1"/>
  <c r="CK284" i="5"/>
  <c r="CI284" i="5"/>
  <c r="CE284" i="5"/>
  <c r="CC284" i="5"/>
  <c r="CA284" i="5"/>
  <c r="CD284" i="5"/>
  <c r="CF284" i="5"/>
  <c r="BT284" i="5"/>
  <c r="BV284" i="5"/>
  <c r="BY284" i="5"/>
  <c r="BW284" i="5"/>
  <c r="BU284" i="5"/>
  <c r="BR284" i="5"/>
  <c r="BS284" i="5"/>
  <c r="BG284" i="5"/>
  <c r="BE284" i="5"/>
  <c r="BQ284" i="5"/>
  <c r="BJ284" i="5"/>
  <c r="BH284" i="5"/>
  <c r="BF284" i="5"/>
  <c r="BK284" i="5"/>
  <c r="AY284" i="5"/>
  <c r="BI284" i="5"/>
  <c r="BM284" i="5"/>
  <c r="AZ284" i="5"/>
  <c r="BD284" i="5"/>
  <c r="BA284" i="5"/>
  <c r="AU284" i="5"/>
  <c r="AV284" i="5"/>
  <c r="CK348" i="5"/>
  <c r="CI348" i="5"/>
  <c r="CJ348" i="5"/>
  <c r="CH348" i="5"/>
  <c r="CE348" i="5"/>
  <c r="CC348" i="5"/>
  <c r="CA348" i="5"/>
  <c r="CG348" i="5"/>
  <c r="CD348" i="5"/>
  <c r="BZ348" i="5"/>
  <c r="CF348" i="5"/>
  <c r="BT348" i="5"/>
  <c r="BX348" i="5"/>
  <c r="BV348" i="5"/>
  <c r="BR348" i="5"/>
  <c r="BY348" i="5"/>
  <c r="BW348" i="5"/>
  <c r="BU348" i="5"/>
  <c r="BS348" i="5"/>
  <c r="BG348" i="5"/>
  <c r="BE348" i="5"/>
  <c r="BQ348" i="5"/>
  <c r="BM348" i="5"/>
  <c r="BJ348" i="5"/>
  <c r="AY348" i="5"/>
  <c r="BH348" i="5"/>
  <c r="BK348" i="5"/>
  <c r="BF348" i="5"/>
  <c r="BL348" i="5"/>
  <c r="BI348" i="5"/>
  <c r="AZ348" i="5"/>
  <c r="BD348" i="5"/>
  <c r="BA348" i="5"/>
  <c r="BP348" i="5" s="1"/>
  <c r="AU348" i="5"/>
  <c r="BN348" i="5" s="1"/>
  <c r="AV348" i="5"/>
  <c r="BO348" i="5" s="1"/>
  <c r="CK37" i="5"/>
  <c r="CJ37" i="5"/>
  <c r="CI37" i="5"/>
  <c r="CF37" i="5"/>
  <c r="CG37" i="5"/>
  <c r="CH37" i="5"/>
  <c r="BZ37" i="5"/>
  <c r="CE37" i="5"/>
  <c r="CD37" i="5"/>
  <c r="BX37" i="5"/>
  <c r="BV37" i="5"/>
  <c r="BY37" i="5"/>
  <c r="BW37" i="5"/>
  <c r="CC37" i="5"/>
  <c r="CA37" i="5"/>
  <c r="BQ37" i="5"/>
  <c r="BU37" i="5"/>
  <c r="BT37" i="5"/>
  <c r="BM37" i="5"/>
  <c r="BJ37" i="5"/>
  <c r="BS37" i="5"/>
  <c r="BH37" i="5"/>
  <c r="BR37" i="5"/>
  <c r="BK37" i="5"/>
  <c r="BL37" i="5"/>
  <c r="BF37" i="5"/>
  <c r="AZ37" i="5"/>
  <c r="BE37" i="5"/>
  <c r="BI37" i="5"/>
  <c r="BG37" i="5"/>
  <c r="BD37" i="5"/>
  <c r="AY37" i="5"/>
  <c r="AU37" i="5"/>
  <c r="BN37" i="5" s="1"/>
  <c r="BA37" i="5"/>
  <c r="BP37" i="5" s="1"/>
  <c r="AV37" i="5"/>
  <c r="BO37" i="5" s="1"/>
  <c r="CK229" i="5"/>
  <c r="CJ229" i="5"/>
  <c r="CF229" i="5"/>
  <c r="CI229" i="5"/>
  <c r="CH229" i="5"/>
  <c r="CD229" i="5"/>
  <c r="BZ229" i="5"/>
  <c r="CG229" i="5"/>
  <c r="CE229" i="5"/>
  <c r="BV229" i="5"/>
  <c r="BY229" i="5"/>
  <c r="CC229" i="5"/>
  <c r="BW229" i="5"/>
  <c r="CA229" i="5"/>
  <c r="BQ229" i="5"/>
  <c r="BX229" i="5"/>
  <c r="BS229" i="5"/>
  <c r="BM229" i="5"/>
  <c r="BL229" i="5"/>
  <c r="BJ229" i="5"/>
  <c r="BT229" i="5"/>
  <c r="BH229" i="5"/>
  <c r="BU229" i="5"/>
  <c r="BR229" i="5"/>
  <c r="BK229" i="5"/>
  <c r="BF229" i="5"/>
  <c r="AZ229" i="5"/>
  <c r="BE229" i="5"/>
  <c r="BG229" i="5"/>
  <c r="BI229" i="5"/>
  <c r="BD229" i="5"/>
  <c r="AU229" i="5"/>
  <c r="BB229" i="5" s="1"/>
  <c r="BA229" i="5"/>
  <c r="BP229" i="5" s="1"/>
  <c r="AY229" i="5"/>
  <c r="AV229" i="5"/>
  <c r="BC229" i="5" s="1"/>
  <c r="CJ287" i="5"/>
  <c r="CI287" i="5"/>
  <c r="CK287" i="5"/>
  <c r="CH287" i="5"/>
  <c r="CE287" i="5"/>
  <c r="CC287" i="5"/>
  <c r="CG287" i="5"/>
  <c r="CA287" i="5"/>
  <c r="BX287" i="5"/>
  <c r="BW287" i="5"/>
  <c r="BV287" i="5"/>
  <c r="CF287" i="5"/>
  <c r="BY287" i="5"/>
  <c r="BR287" i="5"/>
  <c r="CD287" i="5"/>
  <c r="BZ287" i="5"/>
  <c r="BL287" i="5"/>
  <c r="BI287" i="5"/>
  <c r="BK287" i="5"/>
  <c r="BT287" i="5"/>
  <c r="BQ287" i="5"/>
  <c r="BS287" i="5"/>
  <c r="BU287" i="5"/>
  <c r="BM287" i="5"/>
  <c r="BJ287" i="5"/>
  <c r="BE287" i="5"/>
  <c r="AY287" i="5"/>
  <c r="BA287" i="5"/>
  <c r="BP287" i="5" s="1"/>
  <c r="BG287" i="5"/>
  <c r="BH287" i="5"/>
  <c r="BD287" i="5"/>
  <c r="BF287" i="5"/>
  <c r="AV287" i="5"/>
  <c r="BC287" i="5" s="1"/>
  <c r="AZ287" i="5"/>
  <c r="AU287" i="5"/>
  <c r="BB287" i="5" s="1"/>
  <c r="CK96" i="5"/>
  <c r="CJ96" i="5"/>
  <c r="CH96" i="5"/>
  <c r="CE96" i="5"/>
  <c r="CA96" i="5"/>
  <c r="CF96" i="5"/>
  <c r="BZ96" i="5"/>
  <c r="CI96" i="5"/>
  <c r="CG96" i="5"/>
  <c r="BX96" i="5"/>
  <c r="BW96" i="5"/>
  <c r="BY96" i="5"/>
  <c r="BT96" i="5"/>
  <c r="CD96" i="5"/>
  <c r="CC96" i="5"/>
  <c r="BV96" i="5"/>
  <c r="BQ96" i="5"/>
  <c r="BK96" i="5"/>
  <c r="BE96" i="5"/>
  <c r="BR96" i="5"/>
  <c r="BU96" i="5"/>
  <c r="BS96" i="5"/>
  <c r="BM96" i="5"/>
  <c r="BJ96" i="5"/>
  <c r="BF96" i="5"/>
  <c r="BH96" i="5"/>
  <c r="BI96" i="5"/>
  <c r="BL96" i="5"/>
  <c r="BG96" i="5"/>
  <c r="BD96" i="5"/>
  <c r="AZ96" i="5"/>
  <c r="BA96" i="5"/>
  <c r="BP96" i="5" s="1"/>
  <c r="AY96" i="5"/>
  <c r="AV96" i="5"/>
  <c r="BO96" i="5" s="1"/>
  <c r="AU96" i="5"/>
  <c r="BN96" i="5" s="1"/>
  <c r="CJ265" i="5"/>
  <c r="CK265" i="5"/>
  <c r="CI265" i="5"/>
  <c r="CF265" i="5"/>
  <c r="CH265" i="5"/>
  <c r="CG265" i="5"/>
  <c r="CD265" i="5"/>
  <c r="BY265" i="5"/>
  <c r="BV265" i="5"/>
  <c r="CE265" i="5"/>
  <c r="BQ265" i="5"/>
  <c r="CC265" i="5"/>
  <c r="CA265" i="5"/>
  <c r="BS265" i="5"/>
  <c r="BX265" i="5"/>
  <c r="BT265" i="5"/>
  <c r="BH265" i="5"/>
  <c r="BW265" i="5"/>
  <c r="BZ265" i="5"/>
  <c r="BM265" i="5"/>
  <c r="BJ265" i="5"/>
  <c r="BR265" i="5"/>
  <c r="BI265" i="5"/>
  <c r="BU265" i="5"/>
  <c r="BL265" i="5"/>
  <c r="BK265" i="5"/>
  <c r="BD265" i="5"/>
  <c r="AZ265" i="5"/>
  <c r="BE265" i="5"/>
  <c r="BG265" i="5"/>
  <c r="BF265" i="5"/>
  <c r="AY265" i="5"/>
  <c r="BA265" i="5"/>
  <c r="AU265" i="5"/>
  <c r="AV265" i="5"/>
  <c r="CK111" i="5"/>
  <c r="CE111" i="5"/>
  <c r="CD111" i="5"/>
  <c r="CF111" i="5"/>
  <c r="CC111" i="5"/>
  <c r="CI111" i="5"/>
  <c r="BY111" i="5"/>
  <c r="BV111" i="5"/>
  <c r="BW111" i="5"/>
  <c r="CA111" i="5"/>
  <c r="BR111" i="5"/>
  <c r="BI111" i="5"/>
  <c r="BK111" i="5"/>
  <c r="BG111" i="5"/>
  <c r="BU111" i="5"/>
  <c r="BT111" i="5"/>
  <c r="BM111" i="5"/>
  <c r="BJ111" i="5"/>
  <c r="BS111" i="5"/>
  <c r="BQ111" i="5"/>
  <c r="BD111" i="5"/>
  <c r="AY111" i="5"/>
  <c r="BE111" i="5"/>
  <c r="BA111" i="5"/>
  <c r="BP111" i="5" s="1"/>
  <c r="BH111" i="5"/>
  <c r="BF111" i="5"/>
  <c r="AZ111" i="5"/>
  <c r="AV111" i="5"/>
  <c r="BC111" i="5" s="1"/>
  <c r="AU111" i="5"/>
  <c r="BN111" i="5" s="1"/>
  <c r="CI175" i="5"/>
  <c r="CK175" i="5"/>
  <c r="CE175" i="5"/>
  <c r="CC175" i="5"/>
  <c r="CF175" i="5"/>
  <c r="CD175" i="5"/>
  <c r="CA175" i="5"/>
  <c r="BV175" i="5"/>
  <c r="BY175" i="5"/>
  <c r="BW175" i="5"/>
  <c r="BR175" i="5"/>
  <c r="BI175" i="5"/>
  <c r="BK175" i="5"/>
  <c r="BG175" i="5"/>
  <c r="BS175" i="5"/>
  <c r="BM175" i="5"/>
  <c r="BJ175" i="5"/>
  <c r="BT175" i="5"/>
  <c r="BU175" i="5"/>
  <c r="BD175" i="5"/>
  <c r="AY175" i="5"/>
  <c r="BQ175" i="5"/>
  <c r="BE175" i="5"/>
  <c r="BA175" i="5"/>
  <c r="BP175" i="5" s="1"/>
  <c r="BH175" i="5"/>
  <c r="BF175" i="5"/>
  <c r="AZ175" i="5"/>
  <c r="AV175" i="5"/>
  <c r="BO175" i="5" s="1"/>
  <c r="AU175" i="5"/>
  <c r="BN175" i="5" s="1"/>
  <c r="CK239" i="5"/>
  <c r="CI239" i="5"/>
  <c r="CE239" i="5"/>
  <c r="CC239" i="5"/>
  <c r="CF239" i="5"/>
  <c r="CA239" i="5"/>
  <c r="BY239" i="5"/>
  <c r="BV239" i="5"/>
  <c r="BW239" i="5"/>
  <c r="CD239" i="5"/>
  <c r="BR239" i="5"/>
  <c r="BI239" i="5"/>
  <c r="BK239" i="5"/>
  <c r="BU239" i="5"/>
  <c r="BS239" i="5"/>
  <c r="BM239" i="5"/>
  <c r="BJ239" i="5"/>
  <c r="BT239" i="5"/>
  <c r="BQ239" i="5"/>
  <c r="BD239" i="5"/>
  <c r="AY239" i="5"/>
  <c r="BE239" i="5"/>
  <c r="BA239" i="5"/>
  <c r="BP239" i="5" s="1"/>
  <c r="BH239" i="5"/>
  <c r="BG239" i="5"/>
  <c r="AZ239" i="5"/>
  <c r="BF239" i="5"/>
  <c r="AV239" i="5"/>
  <c r="BC239" i="5" s="1"/>
  <c r="AU239" i="5"/>
  <c r="BN239" i="5" s="1"/>
  <c r="CJ303" i="5"/>
  <c r="CH303" i="5"/>
  <c r="CK303" i="5"/>
  <c r="CE303" i="5"/>
  <c r="CC303" i="5"/>
  <c r="CI303" i="5"/>
  <c r="CG303" i="5"/>
  <c r="CD303" i="5"/>
  <c r="CA303" i="5"/>
  <c r="BZ303" i="5"/>
  <c r="CF303" i="5"/>
  <c r="BV303" i="5"/>
  <c r="BY303" i="5"/>
  <c r="BW303" i="5"/>
  <c r="BX303" i="5"/>
  <c r="BR303" i="5"/>
  <c r="BI303" i="5"/>
  <c r="BL303" i="5"/>
  <c r="BK303" i="5"/>
  <c r="BT303" i="5"/>
  <c r="BM303" i="5"/>
  <c r="BJ303" i="5"/>
  <c r="BU303" i="5"/>
  <c r="BS303" i="5"/>
  <c r="AY303" i="5"/>
  <c r="BQ303" i="5"/>
  <c r="BE303" i="5"/>
  <c r="BA303" i="5"/>
  <c r="BP303" i="5" s="1"/>
  <c r="BH303" i="5"/>
  <c r="BG303" i="5"/>
  <c r="BD303" i="5"/>
  <c r="BF303" i="5"/>
  <c r="AZ303" i="5"/>
  <c r="AV303" i="5"/>
  <c r="BO303" i="5" s="1"/>
  <c r="AU303" i="5"/>
  <c r="BN303" i="5" s="1"/>
  <c r="CH367" i="5"/>
  <c r="CE367" i="5"/>
  <c r="CG367" i="5"/>
  <c r="CF367" i="5"/>
  <c r="CC367" i="5"/>
  <c r="CK367" i="5"/>
  <c r="CJ367" i="5"/>
  <c r="CI367" i="5"/>
  <c r="BZ367" i="5"/>
  <c r="BY367" i="5"/>
  <c r="BV367" i="5"/>
  <c r="CD367" i="5"/>
  <c r="BW367" i="5"/>
  <c r="BR367" i="5"/>
  <c r="BI367" i="5"/>
  <c r="BX367" i="5"/>
  <c r="CA367" i="5"/>
  <c r="BK367" i="5"/>
  <c r="BU367" i="5"/>
  <c r="BS367" i="5"/>
  <c r="BM367" i="5"/>
  <c r="BJ367" i="5"/>
  <c r="BT367" i="5"/>
  <c r="AY367" i="5"/>
  <c r="BQ367" i="5"/>
  <c r="BE367" i="5"/>
  <c r="BA367" i="5"/>
  <c r="BP367" i="5" s="1"/>
  <c r="BD367" i="5"/>
  <c r="BH367" i="5"/>
  <c r="BL367" i="5"/>
  <c r="BG367" i="5"/>
  <c r="BF367" i="5"/>
  <c r="AZ367" i="5"/>
  <c r="AV367" i="5"/>
  <c r="BO367" i="5" s="1"/>
  <c r="AU367" i="5"/>
  <c r="BB367" i="5" s="1"/>
  <c r="CJ48" i="5"/>
  <c r="CI48" i="5"/>
  <c r="CK48" i="5"/>
  <c r="CH48" i="5"/>
  <c r="CG48" i="5"/>
  <c r="CF48" i="5"/>
  <c r="CA48" i="5"/>
  <c r="CD48" i="5"/>
  <c r="BW48" i="5"/>
  <c r="BY48" i="5"/>
  <c r="BT48" i="5"/>
  <c r="CC48" i="5"/>
  <c r="CE48" i="5"/>
  <c r="BV48" i="5"/>
  <c r="BX48" i="5"/>
  <c r="BZ48" i="5"/>
  <c r="BU48" i="5"/>
  <c r="BQ48" i="5"/>
  <c r="BR48" i="5"/>
  <c r="BS48" i="5"/>
  <c r="BE48" i="5"/>
  <c r="BK48" i="5"/>
  <c r="BH48" i="5"/>
  <c r="BF48" i="5"/>
  <c r="BI48" i="5"/>
  <c r="BL48" i="5"/>
  <c r="BG48" i="5"/>
  <c r="BM48" i="5"/>
  <c r="BJ48" i="5"/>
  <c r="BD48" i="5"/>
  <c r="AZ48" i="5"/>
  <c r="AY48" i="5"/>
  <c r="BA48" i="5"/>
  <c r="BP48" i="5" s="1"/>
  <c r="AV48" i="5"/>
  <c r="BC48" i="5" s="1"/>
  <c r="AU48" i="5"/>
  <c r="BN48" i="5" s="1"/>
  <c r="CI112" i="5"/>
  <c r="CK112" i="5"/>
  <c r="CF112" i="5"/>
  <c r="CA112" i="5"/>
  <c r="CJ112" i="5"/>
  <c r="CG112" i="5"/>
  <c r="CH112" i="5"/>
  <c r="CC112" i="5"/>
  <c r="BW112" i="5"/>
  <c r="CD112" i="5"/>
  <c r="BY112" i="5"/>
  <c r="BT112" i="5"/>
  <c r="CE112" i="5"/>
  <c r="BV112" i="5"/>
  <c r="BZ112" i="5"/>
  <c r="BX112" i="5"/>
  <c r="BU112" i="5"/>
  <c r="BQ112" i="5"/>
  <c r="BL112" i="5"/>
  <c r="BE112" i="5"/>
  <c r="BR112" i="5"/>
  <c r="BS112" i="5"/>
  <c r="BK112" i="5"/>
  <c r="BI112" i="5"/>
  <c r="BF112" i="5"/>
  <c r="BH112" i="5"/>
  <c r="BM112" i="5"/>
  <c r="BG112" i="5"/>
  <c r="BJ112" i="5"/>
  <c r="BA112" i="5"/>
  <c r="BP112" i="5" s="1"/>
  <c r="BD112" i="5"/>
  <c r="AZ112" i="5"/>
  <c r="AY112" i="5"/>
  <c r="AV112" i="5"/>
  <c r="BC112" i="5" s="1"/>
  <c r="AU112" i="5"/>
  <c r="BN112" i="5" s="1"/>
  <c r="CK176" i="5"/>
  <c r="CF176" i="5"/>
  <c r="CA176" i="5"/>
  <c r="CI176" i="5"/>
  <c r="CE176" i="5"/>
  <c r="BW176" i="5"/>
  <c r="BY176" i="5"/>
  <c r="CD176" i="5"/>
  <c r="BT176" i="5"/>
  <c r="CC176" i="5"/>
  <c r="BV176" i="5"/>
  <c r="BQ176" i="5"/>
  <c r="BU176" i="5"/>
  <c r="BS176" i="5"/>
  <c r="BR176" i="5"/>
  <c r="BE176" i="5"/>
  <c r="BK176" i="5"/>
  <c r="BH176" i="5"/>
  <c r="BF176" i="5"/>
  <c r="BI176" i="5"/>
  <c r="BG176" i="5"/>
  <c r="BJ176" i="5"/>
  <c r="BM176" i="5"/>
  <c r="AZ176" i="5"/>
  <c r="AY176" i="5"/>
  <c r="BA176" i="5"/>
  <c r="BP176" i="5" s="1"/>
  <c r="BD176" i="5"/>
  <c r="AV176" i="5"/>
  <c r="BO176" i="5" s="1"/>
  <c r="AU176" i="5"/>
  <c r="BB176" i="5" s="1"/>
  <c r="CK240" i="5"/>
  <c r="CI240" i="5"/>
  <c r="CJ240" i="5"/>
  <c r="CF240" i="5"/>
  <c r="CA240" i="5"/>
  <c r="CH240" i="5"/>
  <c r="CC240" i="5"/>
  <c r="BW240" i="5"/>
  <c r="BZ240" i="5"/>
  <c r="BY240" i="5"/>
  <c r="CG240" i="5"/>
  <c r="CD240" i="5"/>
  <c r="BT240" i="5"/>
  <c r="CE240" i="5"/>
  <c r="BV240" i="5"/>
  <c r="BX240" i="5"/>
  <c r="BQ240" i="5"/>
  <c r="BU240" i="5"/>
  <c r="BE240" i="5"/>
  <c r="BS240" i="5"/>
  <c r="BR240" i="5"/>
  <c r="BK240" i="5"/>
  <c r="BG240" i="5"/>
  <c r="BI240" i="5"/>
  <c r="BF240" i="5"/>
  <c r="BH240" i="5"/>
  <c r="BM240" i="5"/>
  <c r="BJ240" i="5"/>
  <c r="BL240" i="5"/>
  <c r="BA240" i="5"/>
  <c r="BP240" i="5" s="1"/>
  <c r="BD240" i="5"/>
  <c r="AZ240" i="5"/>
  <c r="AY240" i="5"/>
  <c r="AV240" i="5"/>
  <c r="BO240" i="5" s="1"/>
  <c r="AU240" i="5"/>
  <c r="BN240" i="5" s="1"/>
  <c r="CJ304" i="5"/>
  <c r="CK304" i="5"/>
  <c r="CF304" i="5"/>
  <c r="CH304" i="5"/>
  <c r="CA304" i="5"/>
  <c r="CG304" i="5"/>
  <c r="CI304" i="5"/>
  <c r="BW304" i="5"/>
  <c r="BY304" i="5"/>
  <c r="CD304" i="5"/>
  <c r="BT304" i="5"/>
  <c r="CE304" i="5"/>
  <c r="CC304" i="5"/>
  <c r="BV304" i="5"/>
  <c r="BZ304" i="5"/>
  <c r="BX304" i="5"/>
  <c r="BQ304" i="5"/>
  <c r="BR304" i="5"/>
  <c r="BE304" i="5"/>
  <c r="BU304" i="5"/>
  <c r="BS304" i="5"/>
  <c r="BL304" i="5"/>
  <c r="BK304" i="5"/>
  <c r="BG304" i="5"/>
  <c r="BH304" i="5"/>
  <c r="BF304" i="5"/>
  <c r="BI304" i="5"/>
  <c r="BJ304" i="5"/>
  <c r="BM304" i="5"/>
  <c r="AZ304" i="5"/>
  <c r="BD304" i="5"/>
  <c r="AY304" i="5"/>
  <c r="BA304" i="5"/>
  <c r="BP304" i="5" s="1"/>
  <c r="AV304" i="5"/>
  <c r="BO304" i="5" s="1"/>
  <c r="AU304" i="5"/>
  <c r="BN304" i="5" s="1"/>
  <c r="CI368" i="5"/>
  <c r="CJ368" i="5"/>
  <c r="CK368" i="5"/>
  <c r="CF368" i="5"/>
  <c r="CA368" i="5"/>
  <c r="CH368" i="5"/>
  <c r="CC368" i="5"/>
  <c r="BW368" i="5"/>
  <c r="CG368" i="5"/>
  <c r="CD368" i="5"/>
  <c r="BY368" i="5"/>
  <c r="BT368" i="5"/>
  <c r="BZ368" i="5"/>
  <c r="BV368" i="5"/>
  <c r="CE368" i="5"/>
  <c r="BX368" i="5"/>
  <c r="BQ368" i="5"/>
  <c r="BU368" i="5"/>
  <c r="BS368" i="5"/>
  <c r="BE368" i="5"/>
  <c r="BR368" i="5"/>
  <c r="BK368" i="5"/>
  <c r="BG368" i="5"/>
  <c r="BI368" i="5"/>
  <c r="BF368" i="5"/>
  <c r="BH368" i="5"/>
  <c r="BJ368" i="5"/>
  <c r="BM368" i="5"/>
  <c r="BL368" i="5"/>
  <c r="BA368" i="5"/>
  <c r="BP368" i="5" s="1"/>
  <c r="AZ368" i="5"/>
  <c r="BD368" i="5"/>
  <c r="AY368" i="5"/>
  <c r="AV368" i="5"/>
  <c r="BO368" i="5" s="1"/>
  <c r="AU368" i="5"/>
  <c r="BN368" i="5" s="1"/>
  <c r="BC86" i="5"/>
  <c r="BB214" i="5"/>
  <c r="BZ214" i="5" s="1"/>
  <c r="CK25" i="5"/>
  <c r="CI25" i="5"/>
  <c r="CD25" i="5"/>
  <c r="CF25" i="5"/>
  <c r="CE25" i="5"/>
  <c r="BY25" i="5"/>
  <c r="CC25" i="5"/>
  <c r="BV25" i="5"/>
  <c r="BQ25" i="5"/>
  <c r="CA25" i="5"/>
  <c r="BW25" i="5"/>
  <c r="BH25" i="5"/>
  <c r="BM25" i="5"/>
  <c r="BJ25" i="5"/>
  <c r="BS25" i="5"/>
  <c r="BU25" i="5"/>
  <c r="BT25" i="5"/>
  <c r="BR25" i="5"/>
  <c r="BI25" i="5"/>
  <c r="BD25" i="5"/>
  <c r="AZ25" i="5"/>
  <c r="BG25" i="5"/>
  <c r="BF25" i="5"/>
  <c r="BK25" i="5"/>
  <c r="BE25" i="5"/>
  <c r="BA25" i="5"/>
  <c r="BP25" i="5" s="1"/>
  <c r="AY25" i="5"/>
  <c r="AV25" i="5"/>
  <c r="BO25" i="5" s="1"/>
  <c r="AU25" i="5"/>
  <c r="BN25" i="5" s="1"/>
  <c r="CK89" i="5"/>
  <c r="CI89" i="5"/>
  <c r="CD89" i="5"/>
  <c r="CE89" i="5"/>
  <c r="CF89" i="5"/>
  <c r="CC89" i="5"/>
  <c r="BY89" i="5"/>
  <c r="CA89" i="5"/>
  <c r="BV89" i="5"/>
  <c r="BW89" i="5"/>
  <c r="BQ89" i="5"/>
  <c r="BH89" i="5"/>
  <c r="BM89" i="5"/>
  <c r="BJ89" i="5"/>
  <c r="BR89" i="5"/>
  <c r="BS89" i="5"/>
  <c r="BU89" i="5"/>
  <c r="BT89" i="5"/>
  <c r="BI89" i="5"/>
  <c r="BD89" i="5"/>
  <c r="AZ89" i="5"/>
  <c r="BK89" i="5"/>
  <c r="BG89" i="5"/>
  <c r="BE89" i="5"/>
  <c r="BA89" i="5"/>
  <c r="BP89" i="5" s="1"/>
  <c r="BF89" i="5"/>
  <c r="AY89" i="5"/>
  <c r="AV89" i="5"/>
  <c r="BO89" i="5" s="1"/>
  <c r="AU89" i="5"/>
  <c r="BB89" i="5" s="1"/>
  <c r="CK153" i="5"/>
  <c r="CI153" i="5"/>
  <c r="CD153" i="5"/>
  <c r="CE153" i="5"/>
  <c r="CF153" i="5"/>
  <c r="BY153" i="5"/>
  <c r="BV153" i="5"/>
  <c r="CC153" i="5"/>
  <c r="CA153" i="5"/>
  <c r="BQ153" i="5"/>
  <c r="BW153" i="5"/>
  <c r="BH153" i="5"/>
  <c r="BM153" i="5"/>
  <c r="BJ153" i="5"/>
  <c r="BT153" i="5"/>
  <c r="BR153" i="5"/>
  <c r="BU153" i="5"/>
  <c r="BS153" i="5"/>
  <c r="BI153" i="5"/>
  <c r="BD153" i="5"/>
  <c r="AZ153" i="5"/>
  <c r="BK153" i="5"/>
  <c r="BG153" i="5"/>
  <c r="BE153" i="5"/>
  <c r="BF153" i="5"/>
  <c r="BA153" i="5"/>
  <c r="BP153" i="5" s="1"/>
  <c r="AY153" i="5"/>
  <c r="AV153" i="5"/>
  <c r="BO153" i="5" s="1"/>
  <c r="AU153" i="5"/>
  <c r="BB153" i="5" s="1"/>
  <c r="CK217" i="5"/>
  <c r="CJ217" i="5"/>
  <c r="CH217" i="5"/>
  <c r="CI217" i="5"/>
  <c r="CG217" i="5"/>
  <c r="CE217" i="5"/>
  <c r="CF217" i="5"/>
  <c r="BZ217" i="5"/>
  <c r="CD217" i="5"/>
  <c r="CC217" i="5"/>
  <c r="BY217" i="5"/>
  <c r="BV217" i="5"/>
  <c r="BW217" i="5"/>
  <c r="BQ217" i="5"/>
  <c r="BX217" i="5"/>
  <c r="BH217" i="5"/>
  <c r="CA217" i="5"/>
  <c r="BM217" i="5"/>
  <c r="BJ217" i="5"/>
  <c r="BU217" i="5"/>
  <c r="BS217" i="5"/>
  <c r="BT217" i="5"/>
  <c r="BI217" i="5"/>
  <c r="BD217" i="5"/>
  <c r="BR217" i="5"/>
  <c r="BL217" i="5"/>
  <c r="AZ217" i="5"/>
  <c r="BG217" i="5"/>
  <c r="BK217" i="5"/>
  <c r="BF217" i="5"/>
  <c r="BE217" i="5"/>
  <c r="BA217" i="5"/>
  <c r="BP217" i="5" s="1"/>
  <c r="AY217" i="5"/>
  <c r="AV217" i="5"/>
  <c r="BO217" i="5" s="1"/>
  <c r="AU217" i="5"/>
  <c r="BN217" i="5" s="1"/>
  <c r="CK281" i="5"/>
  <c r="CJ281" i="5"/>
  <c r="CH281" i="5"/>
  <c r="CG281" i="5"/>
  <c r="CI281" i="5"/>
  <c r="CF281" i="5"/>
  <c r="CE281" i="5"/>
  <c r="BY281" i="5"/>
  <c r="CC281" i="5"/>
  <c r="BV281" i="5"/>
  <c r="CA281" i="5"/>
  <c r="CD281" i="5"/>
  <c r="BQ281" i="5"/>
  <c r="BW281" i="5"/>
  <c r="BS281" i="5"/>
  <c r="BZ281" i="5"/>
  <c r="BH281" i="5"/>
  <c r="BX281" i="5"/>
  <c r="BM281" i="5"/>
  <c r="BL281" i="5"/>
  <c r="BJ281" i="5"/>
  <c r="BT281" i="5"/>
  <c r="BU281" i="5"/>
  <c r="BI281" i="5"/>
  <c r="BR281" i="5"/>
  <c r="BD281" i="5"/>
  <c r="AZ281" i="5"/>
  <c r="BK281" i="5"/>
  <c r="BG281" i="5"/>
  <c r="BF281" i="5"/>
  <c r="BE281" i="5"/>
  <c r="BA281" i="5"/>
  <c r="BP281" i="5" s="1"/>
  <c r="AY281" i="5"/>
  <c r="AV281" i="5"/>
  <c r="BO281" i="5" s="1"/>
  <c r="AU281" i="5"/>
  <c r="BB281" i="5" s="1"/>
  <c r="CK345" i="5"/>
  <c r="CJ345" i="5"/>
  <c r="CH345" i="5"/>
  <c r="CE345" i="5"/>
  <c r="CI345" i="5"/>
  <c r="CG345" i="5"/>
  <c r="CF345" i="5"/>
  <c r="CD345" i="5"/>
  <c r="CC345" i="5"/>
  <c r="BY345" i="5"/>
  <c r="CA345" i="5"/>
  <c r="BZ345" i="5"/>
  <c r="BV345" i="5"/>
  <c r="BW345" i="5"/>
  <c r="BQ345" i="5"/>
  <c r="BS345" i="5"/>
  <c r="BH345" i="5"/>
  <c r="BX345" i="5"/>
  <c r="BM345" i="5"/>
  <c r="BL345" i="5"/>
  <c r="BJ345" i="5"/>
  <c r="BT345" i="5"/>
  <c r="BU345" i="5"/>
  <c r="BI345" i="5"/>
  <c r="BR345" i="5"/>
  <c r="BD345" i="5"/>
  <c r="AZ345" i="5"/>
  <c r="BG345" i="5"/>
  <c r="BK345" i="5"/>
  <c r="BE345" i="5"/>
  <c r="BA345" i="5"/>
  <c r="BP345" i="5" s="1"/>
  <c r="BF345" i="5"/>
  <c r="AY345" i="5"/>
  <c r="AV345" i="5"/>
  <c r="BO345" i="5" s="1"/>
  <c r="AU345" i="5"/>
  <c r="BB345" i="5" s="1"/>
  <c r="BO50" i="5"/>
  <c r="CK154" i="5"/>
  <c r="CI154" i="5"/>
  <c r="CF154" i="5"/>
  <c r="CD154" i="5"/>
  <c r="CC154" i="5"/>
  <c r="BV154" i="5"/>
  <c r="CE154" i="5"/>
  <c r="CA154" i="5"/>
  <c r="BY154" i="5"/>
  <c r="BU154" i="5"/>
  <c r="BW154" i="5"/>
  <c r="BS154" i="5"/>
  <c r="BT154" i="5"/>
  <c r="BM154" i="5"/>
  <c r="BJ154" i="5"/>
  <c r="BD154" i="5"/>
  <c r="BR154" i="5"/>
  <c r="BK154" i="5"/>
  <c r="BF154" i="5"/>
  <c r="BI154" i="5"/>
  <c r="BQ154" i="5"/>
  <c r="BE154" i="5"/>
  <c r="BH154" i="5"/>
  <c r="BG154" i="5"/>
  <c r="BA154" i="5"/>
  <c r="BP154" i="5" s="1"/>
  <c r="AZ154" i="5"/>
  <c r="AY154" i="5"/>
  <c r="AU154" i="5"/>
  <c r="BB154" i="5" s="1"/>
  <c r="AV154" i="5"/>
  <c r="BC154" i="5" s="1"/>
  <c r="CK218" i="5"/>
  <c r="CJ218" i="5"/>
  <c r="CI218" i="5"/>
  <c r="CH218" i="5"/>
  <c r="CF218" i="5"/>
  <c r="CD218" i="5"/>
  <c r="BZ218" i="5"/>
  <c r="BV218" i="5"/>
  <c r="CA218" i="5"/>
  <c r="CG218" i="5"/>
  <c r="CC218" i="5"/>
  <c r="BU218" i="5"/>
  <c r="BY218" i="5"/>
  <c r="BX218" i="5"/>
  <c r="BW218" i="5"/>
  <c r="BS218" i="5"/>
  <c r="CE218" i="5"/>
  <c r="BL218" i="5"/>
  <c r="BR218" i="5"/>
  <c r="BM218" i="5"/>
  <c r="BJ218" i="5"/>
  <c r="BD218" i="5"/>
  <c r="BT218" i="5"/>
  <c r="BK218" i="5"/>
  <c r="BF218" i="5"/>
  <c r="BQ218" i="5"/>
  <c r="BI218" i="5"/>
  <c r="BE218" i="5"/>
  <c r="BG218" i="5"/>
  <c r="BH218" i="5"/>
  <c r="AY218" i="5"/>
  <c r="BA218" i="5"/>
  <c r="BP218" i="5" s="1"/>
  <c r="AZ218" i="5"/>
  <c r="AU218" i="5"/>
  <c r="BN218" i="5" s="1"/>
  <c r="AV218" i="5"/>
  <c r="BO218" i="5" s="1"/>
  <c r="CK282" i="5"/>
  <c r="CJ282" i="5"/>
  <c r="CI282" i="5"/>
  <c r="CH282" i="5"/>
  <c r="CF282" i="5"/>
  <c r="CG282" i="5"/>
  <c r="CD282" i="5"/>
  <c r="BZ282" i="5"/>
  <c r="CC282" i="5"/>
  <c r="BV282" i="5"/>
  <c r="BY282" i="5"/>
  <c r="BU282" i="5"/>
  <c r="CE282" i="5"/>
  <c r="CA282" i="5"/>
  <c r="BW282" i="5"/>
  <c r="BX282" i="5"/>
  <c r="BT282" i="5"/>
  <c r="BS282" i="5"/>
  <c r="BM282" i="5"/>
  <c r="BL282" i="5"/>
  <c r="BJ282" i="5"/>
  <c r="BR282" i="5"/>
  <c r="BK282" i="5"/>
  <c r="BF282" i="5"/>
  <c r="BQ282" i="5"/>
  <c r="BI282" i="5"/>
  <c r="BE282" i="5"/>
  <c r="BH282" i="5"/>
  <c r="BD282" i="5"/>
  <c r="BG282" i="5"/>
  <c r="BA282" i="5"/>
  <c r="BP282" i="5" s="1"/>
  <c r="AZ282" i="5"/>
  <c r="AY282" i="5"/>
  <c r="AU282" i="5"/>
  <c r="BB282" i="5" s="1"/>
  <c r="AV282" i="5"/>
  <c r="BO282" i="5" s="1"/>
  <c r="CK346" i="5"/>
  <c r="CI346" i="5"/>
  <c r="CF346" i="5"/>
  <c r="CH346" i="5"/>
  <c r="CD346" i="5"/>
  <c r="CG346" i="5"/>
  <c r="CJ346" i="5"/>
  <c r="CE346" i="5"/>
  <c r="BV346" i="5"/>
  <c r="CA346" i="5"/>
  <c r="BX346" i="5"/>
  <c r="BU346" i="5"/>
  <c r="BY346" i="5"/>
  <c r="BW346" i="5"/>
  <c r="CC346" i="5"/>
  <c r="BZ346" i="5"/>
  <c r="BR346" i="5"/>
  <c r="BM346" i="5"/>
  <c r="BL346" i="5"/>
  <c r="BJ346" i="5"/>
  <c r="BT346" i="5"/>
  <c r="BS346" i="5"/>
  <c r="BK346" i="5"/>
  <c r="BF346" i="5"/>
  <c r="BQ346" i="5"/>
  <c r="BI346" i="5"/>
  <c r="BE346" i="5"/>
  <c r="BG346" i="5"/>
  <c r="BH346" i="5"/>
  <c r="BD346" i="5"/>
  <c r="AY346" i="5"/>
  <c r="BA346" i="5"/>
  <c r="BP346" i="5" s="1"/>
  <c r="AZ346" i="5"/>
  <c r="AU346" i="5"/>
  <c r="BB346" i="5" s="1"/>
  <c r="AV346" i="5"/>
  <c r="BO346" i="5" s="1"/>
  <c r="BB19" i="5"/>
  <c r="BB35" i="5"/>
  <c r="BB67" i="5"/>
  <c r="BZ67" i="5" s="1"/>
  <c r="CK91" i="5"/>
  <c r="CA91" i="5"/>
  <c r="CI91" i="5"/>
  <c r="CE91" i="5"/>
  <c r="BW91" i="5"/>
  <c r="CC91" i="5"/>
  <c r="BY91" i="5"/>
  <c r="CD91" i="5"/>
  <c r="CF91" i="5"/>
  <c r="BV91" i="5"/>
  <c r="BR91" i="5"/>
  <c r="BK91" i="5"/>
  <c r="BG91" i="5"/>
  <c r="BU91" i="5"/>
  <c r="BQ91" i="5"/>
  <c r="BI91" i="5"/>
  <c r="BT91" i="5"/>
  <c r="BS91" i="5"/>
  <c r="BH91" i="5"/>
  <c r="BF91" i="5"/>
  <c r="BA91" i="5"/>
  <c r="BP91" i="5" s="1"/>
  <c r="AY91" i="5"/>
  <c r="BJ91" i="5"/>
  <c r="BM91" i="5"/>
  <c r="AZ91" i="5"/>
  <c r="BE91" i="5"/>
  <c r="BD91" i="5"/>
  <c r="AU91" i="5"/>
  <c r="BN91" i="5" s="1"/>
  <c r="AV91" i="5"/>
  <c r="BC91" i="5" s="1"/>
  <c r="CJ155" i="5"/>
  <c r="CI155" i="5"/>
  <c r="CK155" i="5"/>
  <c r="CF155" i="5"/>
  <c r="CH155" i="5"/>
  <c r="CA155" i="5"/>
  <c r="CG155" i="5"/>
  <c r="CE155" i="5"/>
  <c r="BW155" i="5"/>
  <c r="BZ155" i="5"/>
  <c r="BY155" i="5"/>
  <c r="BX155" i="5"/>
  <c r="CC155" i="5"/>
  <c r="BV155" i="5"/>
  <c r="CD155" i="5"/>
  <c r="BR155" i="5"/>
  <c r="BK155" i="5"/>
  <c r="BG155" i="5"/>
  <c r="BQ155" i="5"/>
  <c r="BI155" i="5"/>
  <c r="BS155" i="5"/>
  <c r="BT155" i="5"/>
  <c r="BU155" i="5"/>
  <c r="BF155" i="5"/>
  <c r="BA155" i="5"/>
  <c r="BP155" i="5" s="1"/>
  <c r="BH155" i="5"/>
  <c r="AY155" i="5"/>
  <c r="BM155" i="5"/>
  <c r="BJ155" i="5"/>
  <c r="BL155" i="5"/>
  <c r="BE155" i="5"/>
  <c r="AZ155" i="5"/>
  <c r="BD155" i="5"/>
  <c r="AU155" i="5"/>
  <c r="BB155" i="5" s="1"/>
  <c r="AV155" i="5"/>
  <c r="BC155" i="5" s="1"/>
  <c r="CK219" i="5"/>
  <c r="CI219" i="5"/>
  <c r="CA219" i="5"/>
  <c r="CF219" i="5"/>
  <c r="CE219" i="5"/>
  <c r="BW219" i="5"/>
  <c r="BY219" i="5"/>
  <c r="CC219" i="5"/>
  <c r="CD219" i="5"/>
  <c r="BV219" i="5"/>
  <c r="BR219" i="5"/>
  <c r="BK219" i="5"/>
  <c r="BQ219" i="5"/>
  <c r="BI219" i="5"/>
  <c r="BU219" i="5"/>
  <c r="BS219" i="5"/>
  <c r="BT219" i="5"/>
  <c r="BH219" i="5"/>
  <c r="BF219" i="5"/>
  <c r="BA219" i="5"/>
  <c r="BP219" i="5" s="1"/>
  <c r="BG219" i="5"/>
  <c r="AY219" i="5"/>
  <c r="BM219" i="5"/>
  <c r="BJ219" i="5"/>
  <c r="BD219" i="5"/>
  <c r="AZ219" i="5"/>
  <c r="BE219" i="5"/>
  <c r="AU219" i="5"/>
  <c r="BB219" i="5" s="1"/>
  <c r="AV219" i="5"/>
  <c r="BO219" i="5" s="1"/>
  <c r="CJ283" i="5"/>
  <c r="CI283" i="5"/>
  <c r="CK283" i="5"/>
  <c r="CA283" i="5"/>
  <c r="CF283" i="5"/>
  <c r="BZ283" i="5"/>
  <c r="BW283" i="5"/>
  <c r="CD283" i="5"/>
  <c r="CE283" i="5"/>
  <c r="BY283" i="5"/>
  <c r="CH283" i="5"/>
  <c r="CG283" i="5"/>
  <c r="CC283" i="5"/>
  <c r="BV283" i="5"/>
  <c r="BR283" i="5"/>
  <c r="BX283" i="5"/>
  <c r="BK283" i="5"/>
  <c r="BQ283" i="5"/>
  <c r="BI283" i="5"/>
  <c r="BT283" i="5"/>
  <c r="BS283" i="5"/>
  <c r="BU283" i="5"/>
  <c r="BL283" i="5"/>
  <c r="BF283" i="5"/>
  <c r="BA283" i="5"/>
  <c r="BP283" i="5" s="1"/>
  <c r="BH283" i="5"/>
  <c r="BG283" i="5"/>
  <c r="AY283" i="5"/>
  <c r="BM283" i="5"/>
  <c r="BJ283" i="5"/>
  <c r="AZ283" i="5"/>
  <c r="BD283" i="5"/>
  <c r="BE283" i="5"/>
  <c r="AU283" i="5"/>
  <c r="BN283" i="5" s="1"/>
  <c r="AV283" i="5"/>
  <c r="BO283" i="5" s="1"/>
  <c r="CJ347" i="5"/>
  <c r="CK347" i="5"/>
  <c r="CI347" i="5"/>
  <c r="CA347" i="5"/>
  <c r="CF347" i="5"/>
  <c r="CE347" i="5"/>
  <c r="BX347" i="5"/>
  <c r="BW347" i="5"/>
  <c r="CH347" i="5"/>
  <c r="CC347" i="5"/>
  <c r="BZ347" i="5"/>
  <c r="BY347" i="5"/>
  <c r="CG347" i="5"/>
  <c r="CD347" i="5"/>
  <c r="BV347" i="5"/>
  <c r="BR347" i="5"/>
  <c r="BK347" i="5"/>
  <c r="BQ347" i="5"/>
  <c r="BI347" i="5"/>
  <c r="BU347" i="5"/>
  <c r="BT347" i="5"/>
  <c r="BS347" i="5"/>
  <c r="BH347" i="5"/>
  <c r="BF347" i="5"/>
  <c r="BA347" i="5"/>
  <c r="BP347" i="5" s="1"/>
  <c r="BG347" i="5"/>
  <c r="AY347" i="5"/>
  <c r="BJ347" i="5"/>
  <c r="BL347" i="5"/>
  <c r="BM347" i="5"/>
  <c r="AZ347" i="5"/>
  <c r="BE347" i="5"/>
  <c r="BD347" i="5"/>
  <c r="AU347" i="5"/>
  <c r="BN347" i="5" s="1"/>
  <c r="AV347" i="5"/>
  <c r="BC347" i="5" s="1"/>
  <c r="BB174" i="5"/>
  <c r="BN222" i="5"/>
  <c r="CJ36" i="5"/>
  <c r="CI36" i="5"/>
  <c r="CG36" i="5"/>
  <c r="CK36" i="5"/>
  <c r="CH36" i="5"/>
  <c r="CE36" i="5"/>
  <c r="CD36" i="5"/>
  <c r="CC36" i="5"/>
  <c r="CF36" i="5"/>
  <c r="BZ36" i="5"/>
  <c r="BV36" i="5"/>
  <c r="BT36" i="5"/>
  <c r="BX36" i="5"/>
  <c r="CA36" i="5"/>
  <c r="BW36" i="5"/>
  <c r="BY36" i="5"/>
  <c r="BU36" i="5"/>
  <c r="BR36" i="5"/>
  <c r="BM36" i="5"/>
  <c r="BJ36" i="5"/>
  <c r="BS36" i="5"/>
  <c r="BI36" i="5"/>
  <c r="BE36" i="5"/>
  <c r="BD36" i="5"/>
  <c r="BQ36" i="5"/>
  <c r="BG36" i="5"/>
  <c r="BL36" i="5"/>
  <c r="BH36" i="5"/>
  <c r="BK36" i="5"/>
  <c r="BF36" i="5"/>
  <c r="AY36" i="5"/>
  <c r="AZ36" i="5"/>
  <c r="BA36" i="5"/>
  <c r="BP36" i="5" s="1"/>
  <c r="AU36" i="5"/>
  <c r="BN36" i="5" s="1"/>
  <c r="AV36" i="5"/>
  <c r="BC36" i="5" s="1"/>
  <c r="CI100" i="5"/>
  <c r="CE100" i="5"/>
  <c r="CD100" i="5"/>
  <c r="CC100" i="5"/>
  <c r="CK100" i="5"/>
  <c r="CA100" i="5"/>
  <c r="BV100" i="5"/>
  <c r="BT100" i="5"/>
  <c r="BY100" i="5"/>
  <c r="CF100" i="5"/>
  <c r="BU100" i="5"/>
  <c r="BW100" i="5"/>
  <c r="BS100" i="5"/>
  <c r="BM100" i="5"/>
  <c r="BJ100" i="5"/>
  <c r="BR100" i="5"/>
  <c r="BI100" i="5"/>
  <c r="BE100" i="5"/>
  <c r="BG100" i="5"/>
  <c r="BD100" i="5"/>
  <c r="BQ100" i="5"/>
  <c r="BH100" i="5"/>
  <c r="BF100" i="5"/>
  <c r="BK100" i="5"/>
  <c r="AY100" i="5"/>
  <c r="AZ100" i="5"/>
  <c r="BA100" i="5"/>
  <c r="BP100" i="5" s="1"/>
  <c r="AU100" i="5"/>
  <c r="BN100" i="5" s="1"/>
  <c r="AV100" i="5"/>
  <c r="BC100" i="5" s="1"/>
  <c r="CI164" i="5"/>
  <c r="CK164" i="5"/>
  <c r="CE164" i="5"/>
  <c r="CC164" i="5"/>
  <c r="CF164" i="5"/>
  <c r="BV164" i="5"/>
  <c r="BT164" i="5"/>
  <c r="CD164" i="5"/>
  <c r="CA164" i="5"/>
  <c r="BY164" i="5"/>
  <c r="BW164" i="5"/>
  <c r="BU164" i="5"/>
  <c r="BR164" i="5"/>
  <c r="BM164" i="5"/>
  <c r="BJ164" i="5"/>
  <c r="BS164" i="5"/>
  <c r="BI164" i="5"/>
  <c r="BE164" i="5"/>
  <c r="BQ164" i="5"/>
  <c r="BD164" i="5"/>
  <c r="BG164" i="5"/>
  <c r="BK164" i="5"/>
  <c r="BH164" i="5"/>
  <c r="BF164" i="5"/>
  <c r="AY164" i="5"/>
  <c r="BA164" i="5"/>
  <c r="BP164" i="5" s="1"/>
  <c r="AZ164" i="5"/>
  <c r="AU164" i="5"/>
  <c r="BB164" i="5" s="1"/>
  <c r="AV164" i="5"/>
  <c r="BO164" i="5" s="1"/>
  <c r="CI228" i="5"/>
  <c r="CK228" i="5"/>
  <c r="CE228" i="5"/>
  <c r="CF228" i="5"/>
  <c r="CC228" i="5"/>
  <c r="CA228" i="5"/>
  <c r="CD228" i="5"/>
  <c r="BV228" i="5"/>
  <c r="BT228" i="5"/>
  <c r="BU228" i="5"/>
  <c r="BW228" i="5"/>
  <c r="BY228" i="5"/>
  <c r="BM228" i="5"/>
  <c r="BJ228" i="5"/>
  <c r="BG228" i="5"/>
  <c r="BR228" i="5"/>
  <c r="BS228" i="5"/>
  <c r="BI228" i="5"/>
  <c r="BE228" i="5"/>
  <c r="BD228" i="5"/>
  <c r="BQ228" i="5"/>
  <c r="BH228" i="5"/>
  <c r="BF228" i="5"/>
  <c r="BK228" i="5"/>
  <c r="AZ228" i="5"/>
  <c r="BA228" i="5"/>
  <c r="BP228" i="5" s="1"/>
  <c r="AY228" i="5"/>
  <c r="AU228" i="5"/>
  <c r="BB228" i="5" s="1"/>
  <c r="AV228" i="5"/>
  <c r="BO228" i="5" s="1"/>
  <c r="CI292" i="5"/>
  <c r="CJ292" i="5"/>
  <c r="CG292" i="5"/>
  <c r="CE292" i="5"/>
  <c r="CK292" i="5"/>
  <c r="CC292" i="5"/>
  <c r="CH292" i="5"/>
  <c r="CF292" i="5"/>
  <c r="BZ292" i="5"/>
  <c r="CD292" i="5"/>
  <c r="BV292" i="5"/>
  <c r="BT292" i="5"/>
  <c r="BX292" i="5"/>
  <c r="CA292" i="5"/>
  <c r="BY292" i="5"/>
  <c r="BW292" i="5"/>
  <c r="BU292" i="5"/>
  <c r="BR292" i="5"/>
  <c r="BM292" i="5"/>
  <c r="BJ292" i="5"/>
  <c r="BG292" i="5"/>
  <c r="BS292" i="5"/>
  <c r="BI292" i="5"/>
  <c r="BE292" i="5"/>
  <c r="BQ292" i="5"/>
  <c r="BL292" i="5"/>
  <c r="BD292" i="5"/>
  <c r="BH292" i="5"/>
  <c r="BK292" i="5"/>
  <c r="BF292" i="5"/>
  <c r="AZ292" i="5"/>
  <c r="BA292" i="5"/>
  <c r="BP292" i="5" s="1"/>
  <c r="AY292" i="5"/>
  <c r="AU292" i="5"/>
  <c r="BB292" i="5" s="1"/>
  <c r="AV292" i="5"/>
  <c r="BC292" i="5" s="1"/>
  <c r="CI356" i="5"/>
  <c r="CE356" i="5"/>
  <c r="CH356" i="5"/>
  <c r="CC356" i="5"/>
  <c r="CG356" i="5"/>
  <c r="CJ356" i="5"/>
  <c r="CF356" i="5"/>
  <c r="CA356" i="5"/>
  <c r="BZ356" i="5"/>
  <c r="BV356" i="5"/>
  <c r="BT356" i="5"/>
  <c r="CK356" i="5"/>
  <c r="CD356" i="5"/>
  <c r="BX356" i="5"/>
  <c r="BW356" i="5"/>
  <c r="BU356" i="5"/>
  <c r="BY356" i="5"/>
  <c r="BS356" i="5"/>
  <c r="BM356" i="5"/>
  <c r="BJ356" i="5"/>
  <c r="BG356" i="5"/>
  <c r="BR356" i="5"/>
  <c r="BI356" i="5"/>
  <c r="BE356" i="5"/>
  <c r="BQ356" i="5"/>
  <c r="BL356" i="5"/>
  <c r="BK356" i="5"/>
  <c r="BF356" i="5"/>
  <c r="BD356" i="5"/>
  <c r="BH356" i="5"/>
  <c r="AY356" i="5"/>
  <c r="AZ356" i="5"/>
  <c r="BA356" i="5"/>
  <c r="BP356" i="5" s="1"/>
  <c r="AU356" i="5"/>
  <c r="BN356" i="5" s="1"/>
  <c r="AV356" i="5"/>
  <c r="BO356" i="5" s="1"/>
  <c r="CK61" i="5"/>
  <c r="CI61" i="5"/>
  <c r="CF61" i="5"/>
  <c r="CJ61" i="5"/>
  <c r="CD61" i="5"/>
  <c r="BZ61" i="5"/>
  <c r="CG61" i="5"/>
  <c r="CH61" i="5"/>
  <c r="CC61" i="5"/>
  <c r="CE61" i="5"/>
  <c r="BX61" i="5"/>
  <c r="BV61" i="5"/>
  <c r="CA61" i="5"/>
  <c r="BY61" i="5"/>
  <c r="BW61" i="5"/>
  <c r="BU61" i="5"/>
  <c r="BT61" i="5"/>
  <c r="BQ61" i="5"/>
  <c r="BM61" i="5"/>
  <c r="BJ61" i="5"/>
  <c r="BH61" i="5"/>
  <c r="BS61" i="5"/>
  <c r="BR61" i="5"/>
  <c r="BG61" i="5"/>
  <c r="BL61" i="5"/>
  <c r="AZ61" i="5"/>
  <c r="BI61" i="5"/>
  <c r="BA61" i="5"/>
  <c r="BK61" i="5"/>
  <c r="BF61" i="5"/>
  <c r="BE61" i="5"/>
  <c r="BD61" i="5"/>
  <c r="AY61" i="5"/>
  <c r="AU61" i="5"/>
  <c r="AV61" i="5"/>
  <c r="CK125" i="5"/>
  <c r="CF125" i="5"/>
  <c r="CJ125" i="5"/>
  <c r="CI125" i="5"/>
  <c r="CH125" i="5"/>
  <c r="CD125" i="5"/>
  <c r="BZ125" i="5"/>
  <c r="CG125" i="5"/>
  <c r="CC125" i="5"/>
  <c r="BX125" i="5"/>
  <c r="BV125" i="5"/>
  <c r="BY125" i="5"/>
  <c r="CE125" i="5"/>
  <c r="BU125" i="5"/>
  <c r="CA125" i="5"/>
  <c r="BW125" i="5"/>
  <c r="BT125" i="5"/>
  <c r="BQ125" i="5"/>
  <c r="BM125" i="5"/>
  <c r="BJ125" i="5"/>
  <c r="BH125" i="5"/>
  <c r="BS125" i="5"/>
  <c r="BG125" i="5"/>
  <c r="BR125" i="5"/>
  <c r="BL125" i="5"/>
  <c r="BI125" i="5"/>
  <c r="AZ125" i="5"/>
  <c r="BK125" i="5"/>
  <c r="BA125" i="5"/>
  <c r="BP125" i="5" s="1"/>
  <c r="BD125" i="5"/>
  <c r="BE125" i="5"/>
  <c r="BF125" i="5"/>
  <c r="AU125" i="5"/>
  <c r="BN125" i="5" s="1"/>
  <c r="AY125" i="5"/>
  <c r="AV125" i="5"/>
  <c r="BC125" i="5" s="1"/>
  <c r="CK189" i="5"/>
  <c r="CF189" i="5"/>
  <c r="CD189" i="5"/>
  <c r="CC189" i="5"/>
  <c r="BV189" i="5"/>
  <c r="CI189" i="5"/>
  <c r="BY189" i="5"/>
  <c r="CE189" i="5"/>
  <c r="CA189" i="5"/>
  <c r="BW189" i="5"/>
  <c r="BU189" i="5"/>
  <c r="BT189" i="5"/>
  <c r="BQ189" i="5"/>
  <c r="BM189" i="5"/>
  <c r="BJ189" i="5"/>
  <c r="BH189" i="5"/>
  <c r="BG189" i="5"/>
  <c r="BS189" i="5"/>
  <c r="BR189" i="5"/>
  <c r="AZ189" i="5"/>
  <c r="BI189" i="5"/>
  <c r="BK189" i="5"/>
  <c r="BA189" i="5"/>
  <c r="BP189" i="5" s="1"/>
  <c r="BF189" i="5"/>
  <c r="BD189" i="5"/>
  <c r="BE189" i="5"/>
  <c r="AU189" i="5"/>
  <c r="BN189" i="5" s="1"/>
  <c r="AY189" i="5"/>
  <c r="AV189" i="5"/>
  <c r="BO189" i="5" s="1"/>
  <c r="CK253" i="5"/>
  <c r="CF253" i="5"/>
  <c r="CI253" i="5"/>
  <c r="CD253" i="5"/>
  <c r="CC253" i="5"/>
  <c r="BV253" i="5"/>
  <c r="BY253" i="5"/>
  <c r="CE253" i="5"/>
  <c r="BU253" i="5"/>
  <c r="BW253" i="5"/>
  <c r="BT253" i="5"/>
  <c r="BQ253" i="5"/>
  <c r="BM253" i="5"/>
  <c r="BJ253" i="5"/>
  <c r="CA253" i="5"/>
  <c r="BH253" i="5"/>
  <c r="BS253" i="5"/>
  <c r="BR253" i="5"/>
  <c r="BI253" i="5"/>
  <c r="AZ253" i="5"/>
  <c r="BA253" i="5"/>
  <c r="BP253" i="5" s="1"/>
  <c r="BG253" i="5"/>
  <c r="BK253" i="5"/>
  <c r="BF253" i="5"/>
  <c r="BE253" i="5"/>
  <c r="BD253" i="5"/>
  <c r="AU253" i="5"/>
  <c r="BN253" i="5" s="1"/>
  <c r="AY253" i="5"/>
  <c r="AV253" i="5"/>
  <c r="BO253" i="5" s="1"/>
  <c r="CK317" i="5"/>
  <c r="CF317" i="5"/>
  <c r="CD317" i="5"/>
  <c r="CI317" i="5"/>
  <c r="CC317" i="5"/>
  <c r="CE317" i="5"/>
  <c r="BV317" i="5"/>
  <c r="CA317" i="5"/>
  <c r="BY317" i="5"/>
  <c r="BW317" i="5"/>
  <c r="BU317" i="5"/>
  <c r="BS317" i="5"/>
  <c r="BT317" i="5"/>
  <c r="BQ317" i="5"/>
  <c r="BM317" i="5"/>
  <c r="BJ317" i="5"/>
  <c r="BH317" i="5"/>
  <c r="BD317" i="5"/>
  <c r="AZ317" i="5"/>
  <c r="BR317" i="5"/>
  <c r="BI317" i="5"/>
  <c r="BK317" i="5"/>
  <c r="BG317" i="5"/>
  <c r="BA317" i="5"/>
  <c r="BP317" i="5" s="1"/>
  <c r="BF317" i="5"/>
  <c r="BE317" i="5"/>
  <c r="AY317" i="5"/>
  <c r="AU317" i="5"/>
  <c r="BN317" i="5" s="1"/>
  <c r="AV317" i="5"/>
  <c r="BO317" i="5" s="1"/>
  <c r="CK381" i="5"/>
  <c r="CF381" i="5"/>
  <c r="CI381" i="5"/>
  <c r="CD381" i="5"/>
  <c r="CC381" i="5"/>
  <c r="BV381" i="5"/>
  <c r="CE381" i="5"/>
  <c r="BY381" i="5"/>
  <c r="CA381" i="5"/>
  <c r="BU381" i="5"/>
  <c r="BS381" i="5"/>
  <c r="BW381" i="5"/>
  <c r="BT381" i="5"/>
  <c r="BQ381" i="5"/>
  <c r="BM381" i="5"/>
  <c r="BJ381" i="5"/>
  <c r="BH381" i="5"/>
  <c r="BR381" i="5"/>
  <c r="BI381" i="5"/>
  <c r="BD381" i="5"/>
  <c r="AZ381" i="5"/>
  <c r="BA381" i="5"/>
  <c r="BP381" i="5" s="1"/>
  <c r="BK381" i="5"/>
  <c r="BG381" i="5"/>
  <c r="BE381" i="5"/>
  <c r="BF381" i="5"/>
  <c r="AU381" i="5"/>
  <c r="BB381" i="5" s="1"/>
  <c r="AY381" i="5"/>
  <c r="AV381" i="5"/>
  <c r="BC381" i="5" s="1"/>
  <c r="BC318" i="5"/>
  <c r="BC15" i="5"/>
  <c r="BN15" i="5"/>
  <c r="BZ15" i="5" s="1"/>
  <c r="CK119" i="5"/>
  <c r="CI119" i="5"/>
  <c r="CE119" i="5"/>
  <c r="CF119" i="5"/>
  <c r="CC119" i="5"/>
  <c r="CA119" i="5"/>
  <c r="BY119" i="5"/>
  <c r="BT119" i="5"/>
  <c r="BR119" i="5"/>
  <c r="CD119" i="5"/>
  <c r="BV119" i="5"/>
  <c r="BS119" i="5"/>
  <c r="BI119" i="5"/>
  <c r="BW119" i="5"/>
  <c r="BU119" i="5"/>
  <c r="BK119" i="5"/>
  <c r="BG119" i="5"/>
  <c r="BH119" i="5"/>
  <c r="AY119" i="5"/>
  <c r="BQ119" i="5"/>
  <c r="BA119" i="5"/>
  <c r="BP119" i="5" s="1"/>
  <c r="BJ119" i="5"/>
  <c r="AZ119" i="5"/>
  <c r="BM119" i="5"/>
  <c r="BE119" i="5"/>
  <c r="BF119" i="5"/>
  <c r="BD119" i="5"/>
  <c r="AV119" i="5"/>
  <c r="BC119" i="5" s="1"/>
  <c r="AU119" i="5"/>
  <c r="BB119" i="5" s="1"/>
  <c r="CK183" i="5"/>
  <c r="CE183" i="5"/>
  <c r="CC183" i="5"/>
  <c r="CI183" i="5"/>
  <c r="CF183" i="5"/>
  <c r="CA183" i="5"/>
  <c r="BY183" i="5"/>
  <c r="BV183" i="5"/>
  <c r="BT183" i="5"/>
  <c r="BR183" i="5"/>
  <c r="CD183" i="5"/>
  <c r="BS183" i="5"/>
  <c r="BW183" i="5"/>
  <c r="BI183" i="5"/>
  <c r="BK183" i="5"/>
  <c r="BG183" i="5"/>
  <c r="BU183" i="5"/>
  <c r="BQ183" i="5"/>
  <c r="AY183" i="5"/>
  <c r="BH183" i="5"/>
  <c r="BA183" i="5"/>
  <c r="BP183" i="5" s="1"/>
  <c r="BM183" i="5"/>
  <c r="AZ183" i="5"/>
  <c r="BJ183" i="5"/>
  <c r="BD183" i="5"/>
  <c r="BE183" i="5"/>
  <c r="BF183" i="5"/>
  <c r="AV183" i="5"/>
  <c r="BO183" i="5" s="1"/>
  <c r="AU183" i="5"/>
  <c r="BN183" i="5" s="1"/>
  <c r="CJ247" i="5"/>
  <c r="CI247" i="5"/>
  <c r="CE247" i="5"/>
  <c r="CG247" i="5"/>
  <c r="CC247" i="5"/>
  <c r="CA247" i="5"/>
  <c r="CF247" i="5"/>
  <c r="CH247" i="5"/>
  <c r="CK247" i="5"/>
  <c r="BZ247" i="5"/>
  <c r="BY247" i="5"/>
  <c r="CD247" i="5"/>
  <c r="BT247" i="5"/>
  <c r="BR247" i="5"/>
  <c r="BV247" i="5"/>
  <c r="BS247" i="5"/>
  <c r="BL247" i="5"/>
  <c r="BI247" i="5"/>
  <c r="BW247" i="5"/>
  <c r="BX247" i="5"/>
  <c r="BK247" i="5"/>
  <c r="BU247" i="5"/>
  <c r="BH247" i="5"/>
  <c r="AY247" i="5"/>
  <c r="BQ247" i="5"/>
  <c r="BA247" i="5"/>
  <c r="BP247" i="5" s="1"/>
  <c r="BJ247" i="5"/>
  <c r="BG247" i="5"/>
  <c r="BM247" i="5"/>
  <c r="AZ247" i="5"/>
  <c r="BF247" i="5"/>
  <c r="BE247" i="5"/>
  <c r="BD247" i="5"/>
  <c r="AV247" i="5"/>
  <c r="AU247" i="5"/>
  <c r="BN247" i="5" s="1"/>
  <c r="CK311" i="5"/>
  <c r="CE311" i="5"/>
  <c r="CC311" i="5"/>
  <c r="CD311" i="5"/>
  <c r="CI311" i="5"/>
  <c r="BY311" i="5"/>
  <c r="CF311" i="5"/>
  <c r="CA311" i="5"/>
  <c r="BV311" i="5"/>
  <c r="BT311" i="5"/>
  <c r="BR311" i="5"/>
  <c r="BS311" i="5"/>
  <c r="BI311" i="5"/>
  <c r="BW311" i="5"/>
  <c r="BK311" i="5"/>
  <c r="BU311" i="5"/>
  <c r="AY311" i="5"/>
  <c r="BQ311" i="5"/>
  <c r="BH311" i="5"/>
  <c r="BA311" i="5"/>
  <c r="BP311" i="5" s="1"/>
  <c r="BJ311" i="5"/>
  <c r="AZ311" i="5"/>
  <c r="BM311" i="5"/>
  <c r="BG311" i="5"/>
  <c r="BF311" i="5"/>
  <c r="BE311" i="5"/>
  <c r="BD311" i="5"/>
  <c r="AV311" i="5"/>
  <c r="BO311" i="5" s="1"/>
  <c r="AU311" i="5"/>
  <c r="BB311" i="5" s="1"/>
  <c r="CK375" i="5"/>
  <c r="CI375" i="5"/>
  <c r="CE375" i="5"/>
  <c r="CF375" i="5"/>
  <c r="CC375" i="5"/>
  <c r="CA375" i="5"/>
  <c r="BY375" i="5"/>
  <c r="CD375" i="5"/>
  <c r="BT375" i="5"/>
  <c r="BR375" i="5"/>
  <c r="BV375" i="5"/>
  <c r="BW375" i="5"/>
  <c r="BS375" i="5"/>
  <c r="BI375" i="5"/>
  <c r="BK375" i="5"/>
  <c r="BU375" i="5"/>
  <c r="BQ375" i="5"/>
  <c r="BH375" i="5"/>
  <c r="AY375" i="5"/>
  <c r="BA375" i="5"/>
  <c r="BP375" i="5" s="1"/>
  <c r="BG375" i="5"/>
  <c r="AZ375" i="5"/>
  <c r="BJ375" i="5"/>
  <c r="BM375" i="5"/>
  <c r="BD375" i="5"/>
  <c r="BF375" i="5"/>
  <c r="BE375" i="5"/>
  <c r="AV375" i="5"/>
  <c r="BC375" i="5" s="1"/>
  <c r="AU375" i="5"/>
  <c r="BN375" i="5" s="1"/>
  <c r="CK56" i="5"/>
  <c r="CI56" i="5"/>
  <c r="CA56" i="5"/>
  <c r="CF56" i="5"/>
  <c r="CD56" i="5"/>
  <c r="CC56" i="5"/>
  <c r="BW56" i="5"/>
  <c r="CE56" i="5"/>
  <c r="BT56" i="5"/>
  <c r="BU56" i="5"/>
  <c r="BV56" i="5"/>
  <c r="BY56" i="5"/>
  <c r="BH56" i="5"/>
  <c r="BE56" i="5"/>
  <c r="BR56" i="5"/>
  <c r="BS56" i="5"/>
  <c r="BG56" i="5"/>
  <c r="BQ56" i="5"/>
  <c r="BJ56" i="5"/>
  <c r="BF56" i="5"/>
  <c r="BK56" i="5"/>
  <c r="BI56" i="5"/>
  <c r="BM56" i="5"/>
  <c r="BA56" i="5"/>
  <c r="BP56" i="5" s="1"/>
  <c r="BD56" i="5"/>
  <c r="AZ56" i="5"/>
  <c r="AY56" i="5"/>
  <c r="AU56" i="5"/>
  <c r="BB56" i="5" s="1"/>
  <c r="AV56" i="5"/>
  <c r="BO56" i="5" s="1"/>
  <c r="CK120" i="5"/>
  <c r="CA120" i="5"/>
  <c r="CI120" i="5"/>
  <c r="CF120" i="5"/>
  <c r="CE120" i="5"/>
  <c r="BW120" i="5"/>
  <c r="CD120" i="5"/>
  <c r="BT120" i="5"/>
  <c r="CC120" i="5"/>
  <c r="BY120" i="5"/>
  <c r="BU120" i="5"/>
  <c r="BV120" i="5"/>
  <c r="BS120" i="5"/>
  <c r="BR120" i="5"/>
  <c r="BH120" i="5"/>
  <c r="BE120" i="5"/>
  <c r="BG120" i="5"/>
  <c r="BQ120" i="5"/>
  <c r="BM120" i="5"/>
  <c r="BJ120" i="5"/>
  <c r="BK120" i="5"/>
  <c r="BF120" i="5"/>
  <c r="BI120" i="5"/>
  <c r="BA120" i="5"/>
  <c r="BP120" i="5" s="1"/>
  <c r="AZ120" i="5"/>
  <c r="AY120" i="5"/>
  <c r="BD120" i="5"/>
  <c r="AU120" i="5"/>
  <c r="BN120" i="5" s="1"/>
  <c r="AV120" i="5"/>
  <c r="BO120" i="5" s="1"/>
  <c r="CJ184" i="5"/>
  <c r="CH184" i="5"/>
  <c r="CA184" i="5"/>
  <c r="CI184" i="5"/>
  <c r="CF184" i="5"/>
  <c r="CG184" i="5"/>
  <c r="CD184" i="5"/>
  <c r="CC184" i="5"/>
  <c r="BW184" i="5"/>
  <c r="CE184" i="5"/>
  <c r="BZ184" i="5"/>
  <c r="BX184" i="5"/>
  <c r="CK184" i="5"/>
  <c r="BT184" i="5"/>
  <c r="BY184" i="5"/>
  <c r="BU184" i="5"/>
  <c r="BV184" i="5"/>
  <c r="BH184" i="5"/>
  <c r="BE184" i="5"/>
  <c r="BS184" i="5"/>
  <c r="BR184" i="5"/>
  <c r="BG184" i="5"/>
  <c r="BQ184" i="5"/>
  <c r="BL184" i="5"/>
  <c r="BK184" i="5"/>
  <c r="BM184" i="5"/>
  <c r="BI184" i="5"/>
  <c r="BF184" i="5"/>
  <c r="BJ184" i="5"/>
  <c r="BA184" i="5"/>
  <c r="BP184" i="5" s="1"/>
  <c r="BD184" i="5"/>
  <c r="AZ184" i="5"/>
  <c r="AY184" i="5"/>
  <c r="AU184" i="5"/>
  <c r="BN184" i="5" s="1"/>
  <c r="AV184" i="5"/>
  <c r="BO184" i="5" s="1"/>
  <c r="CJ248" i="5"/>
  <c r="CK248" i="5"/>
  <c r="CI248" i="5"/>
  <c r="CG248" i="5"/>
  <c r="CA248" i="5"/>
  <c r="CD248" i="5"/>
  <c r="CH248" i="5"/>
  <c r="CF248" i="5"/>
  <c r="CE248" i="5"/>
  <c r="BW248" i="5"/>
  <c r="BZ248" i="5"/>
  <c r="BT248" i="5"/>
  <c r="CC248" i="5"/>
  <c r="BX248" i="5"/>
  <c r="BU248" i="5"/>
  <c r="BV248" i="5"/>
  <c r="BY248" i="5"/>
  <c r="BR248" i="5"/>
  <c r="BH248" i="5"/>
  <c r="BE248" i="5"/>
  <c r="BS248" i="5"/>
  <c r="BG248" i="5"/>
  <c r="BQ248" i="5"/>
  <c r="BL248" i="5"/>
  <c r="BJ248" i="5"/>
  <c r="BM248" i="5"/>
  <c r="BK248" i="5"/>
  <c r="BI248" i="5"/>
  <c r="BF248" i="5"/>
  <c r="BA248" i="5"/>
  <c r="BP248" i="5" s="1"/>
  <c r="AZ248" i="5"/>
  <c r="AY248" i="5"/>
  <c r="BD248" i="5"/>
  <c r="AU248" i="5"/>
  <c r="BB248" i="5" s="1"/>
  <c r="AV248" i="5"/>
  <c r="BO248" i="5" s="1"/>
  <c r="CK312" i="5"/>
  <c r="CI312" i="5"/>
  <c r="CA312" i="5"/>
  <c r="CD312" i="5"/>
  <c r="CF312" i="5"/>
  <c r="CC312" i="5"/>
  <c r="BW312" i="5"/>
  <c r="BT312" i="5"/>
  <c r="CE312" i="5"/>
  <c r="BU312" i="5"/>
  <c r="BY312" i="5"/>
  <c r="BV312" i="5"/>
  <c r="BS312" i="5"/>
  <c r="BH312" i="5"/>
  <c r="BE312" i="5"/>
  <c r="BR312" i="5"/>
  <c r="BG312" i="5"/>
  <c r="BQ312" i="5"/>
  <c r="BI312" i="5"/>
  <c r="BF312" i="5"/>
  <c r="BJ312" i="5"/>
  <c r="BM312" i="5"/>
  <c r="BK312" i="5"/>
  <c r="BA312" i="5"/>
  <c r="BP312" i="5" s="1"/>
  <c r="AZ312" i="5"/>
  <c r="BD312" i="5"/>
  <c r="AY312" i="5"/>
  <c r="AU312" i="5"/>
  <c r="BN312" i="5" s="1"/>
  <c r="AV312" i="5"/>
  <c r="CK376" i="5"/>
  <c r="CJ376" i="5"/>
  <c r="CA376" i="5"/>
  <c r="CI376" i="5"/>
  <c r="CG376" i="5"/>
  <c r="CD376" i="5"/>
  <c r="CE376" i="5"/>
  <c r="BX376" i="5"/>
  <c r="BW376" i="5"/>
  <c r="CH376" i="5"/>
  <c r="BT376" i="5"/>
  <c r="CF376" i="5"/>
  <c r="BZ376" i="5"/>
  <c r="BU376" i="5"/>
  <c r="CC376" i="5"/>
  <c r="BY376" i="5"/>
  <c r="BV376" i="5"/>
  <c r="BH376" i="5"/>
  <c r="BE376" i="5"/>
  <c r="BS376" i="5"/>
  <c r="BG376" i="5"/>
  <c r="BQ376" i="5"/>
  <c r="BR376" i="5"/>
  <c r="BM376" i="5"/>
  <c r="BL376" i="5"/>
  <c r="BK376" i="5"/>
  <c r="BI376" i="5"/>
  <c r="BF376" i="5"/>
  <c r="BJ376" i="5"/>
  <c r="BA376" i="5"/>
  <c r="BP376" i="5" s="1"/>
  <c r="AZ376" i="5"/>
  <c r="BD376" i="5"/>
  <c r="AY376" i="5"/>
  <c r="AU376" i="5"/>
  <c r="BB376" i="5" s="1"/>
  <c r="AV376" i="5"/>
  <c r="BC214" i="5"/>
  <c r="BL246" i="5"/>
  <c r="BB294" i="5"/>
  <c r="CK33" i="5"/>
  <c r="CG33" i="5"/>
  <c r="CJ33" i="5"/>
  <c r="CD33" i="5"/>
  <c r="CI33" i="5"/>
  <c r="CF33" i="5"/>
  <c r="CH33" i="5"/>
  <c r="CC33" i="5"/>
  <c r="CE33" i="5"/>
  <c r="BY33" i="5"/>
  <c r="BX33" i="5"/>
  <c r="CA33" i="5"/>
  <c r="BZ33" i="5"/>
  <c r="BW33" i="5"/>
  <c r="BQ33" i="5"/>
  <c r="BV33" i="5"/>
  <c r="BS33" i="5"/>
  <c r="BH33" i="5"/>
  <c r="BU33" i="5"/>
  <c r="BR33" i="5"/>
  <c r="BM33" i="5"/>
  <c r="BJ33" i="5"/>
  <c r="BT33" i="5"/>
  <c r="BI33" i="5"/>
  <c r="AZ33" i="5"/>
  <c r="BK33" i="5"/>
  <c r="BG33" i="5"/>
  <c r="BF33" i="5"/>
  <c r="BL33" i="5"/>
  <c r="AY33" i="5"/>
  <c r="BE33" i="5"/>
  <c r="BD33" i="5"/>
  <c r="BA33" i="5"/>
  <c r="BP33" i="5" s="1"/>
  <c r="AV33" i="5"/>
  <c r="BO33" i="5" s="1"/>
  <c r="AU33" i="5"/>
  <c r="BB33" i="5" s="1"/>
  <c r="CK97" i="5"/>
  <c r="CJ97" i="5"/>
  <c r="CI97" i="5"/>
  <c r="CG97" i="5"/>
  <c r="CD97" i="5"/>
  <c r="CH97" i="5"/>
  <c r="CF97" i="5"/>
  <c r="CC97" i="5"/>
  <c r="BY97" i="5"/>
  <c r="CE97" i="5"/>
  <c r="BZ97" i="5"/>
  <c r="BX97" i="5"/>
  <c r="BV97" i="5"/>
  <c r="BQ97" i="5"/>
  <c r="CA97" i="5"/>
  <c r="BW97" i="5"/>
  <c r="BS97" i="5"/>
  <c r="BU97" i="5"/>
  <c r="BH97" i="5"/>
  <c r="BR97" i="5"/>
  <c r="BM97" i="5"/>
  <c r="BJ97" i="5"/>
  <c r="BT97" i="5"/>
  <c r="BI97" i="5"/>
  <c r="BL97" i="5"/>
  <c r="AZ97" i="5"/>
  <c r="BK97" i="5"/>
  <c r="BG97" i="5"/>
  <c r="AY97" i="5"/>
  <c r="BA97" i="5"/>
  <c r="BP97" i="5" s="1"/>
  <c r="BE97" i="5"/>
  <c r="BD97" i="5"/>
  <c r="BF97" i="5"/>
  <c r="AV97" i="5"/>
  <c r="BO97" i="5" s="1"/>
  <c r="AU97" i="5"/>
  <c r="BN97" i="5" s="1"/>
  <c r="CK161" i="5"/>
  <c r="CI161" i="5"/>
  <c r="CF161" i="5"/>
  <c r="CC161" i="5"/>
  <c r="BY161" i="5"/>
  <c r="CE161" i="5"/>
  <c r="BW161" i="5"/>
  <c r="BQ161" i="5"/>
  <c r="CA161" i="5"/>
  <c r="CD161" i="5"/>
  <c r="BV161" i="5"/>
  <c r="BS161" i="5"/>
  <c r="BH161" i="5"/>
  <c r="BR161" i="5"/>
  <c r="BM161" i="5"/>
  <c r="BJ161" i="5"/>
  <c r="BU161" i="5"/>
  <c r="BT161" i="5"/>
  <c r="BI161" i="5"/>
  <c r="AZ161" i="5"/>
  <c r="BG161" i="5"/>
  <c r="BK161" i="5"/>
  <c r="AY161" i="5"/>
  <c r="BF161" i="5"/>
  <c r="BD161" i="5"/>
  <c r="BA161" i="5"/>
  <c r="BP161" i="5" s="1"/>
  <c r="BE161" i="5"/>
  <c r="AV161" i="5"/>
  <c r="BO161" i="5" s="1"/>
  <c r="AU161" i="5"/>
  <c r="BB161" i="5" s="1"/>
  <c r="CK225" i="5"/>
  <c r="CF225" i="5"/>
  <c r="CI225" i="5"/>
  <c r="CC225" i="5"/>
  <c r="BY225" i="5"/>
  <c r="CD225" i="5"/>
  <c r="CA225" i="5"/>
  <c r="BV225" i="5"/>
  <c r="BQ225" i="5"/>
  <c r="CE225" i="5"/>
  <c r="BW225" i="5"/>
  <c r="BS225" i="5"/>
  <c r="BH225" i="5"/>
  <c r="BR225" i="5"/>
  <c r="BM225" i="5"/>
  <c r="BJ225" i="5"/>
  <c r="BT225" i="5"/>
  <c r="BU225" i="5"/>
  <c r="BI225" i="5"/>
  <c r="BG225" i="5"/>
  <c r="AZ225" i="5"/>
  <c r="BK225" i="5"/>
  <c r="AY225" i="5"/>
  <c r="BA225" i="5"/>
  <c r="BP225" i="5" s="1"/>
  <c r="BF225" i="5"/>
  <c r="BD225" i="5"/>
  <c r="BE225" i="5"/>
  <c r="AV225" i="5"/>
  <c r="AU225" i="5"/>
  <c r="BB225" i="5" s="1"/>
  <c r="CK289" i="5"/>
  <c r="CG289" i="5"/>
  <c r="CJ289" i="5"/>
  <c r="CI289" i="5"/>
  <c r="CF289" i="5"/>
  <c r="CH289" i="5"/>
  <c r="CC289" i="5"/>
  <c r="CE289" i="5"/>
  <c r="BZ289" i="5"/>
  <c r="BY289" i="5"/>
  <c r="CA289" i="5"/>
  <c r="CD289" i="5"/>
  <c r="BW289" i="5"/>
  <c r="BQ289" i="5"/>
  <c r="BV289" i="5"/>
  <c r="BS289" i="5"/>
  <c r="BX289" i="5"/>
  <c r="BH289" i="5"/>
  <c r="BR289" i="5"/>
  <c r="BM289" i="5"/>
  <c r="BJ289" i="5"/>
  <c r="BU289" i="5"/>
  <c r="BT289" i="5"/>
  <c r="BL289" i="5"/>
  <c r="BG289" i="5"/>
  <c r="BI289" i="5"/>
  <c r="BD289" i="5"/>
  <c r="AZ289" i="5"/>
  <c r="BK289" i="5"/>
  <c r="AY289" i="5"/>
  <c r="BE289" i="5"/>
  <c r="BF289" i="5"/>
  <c r="BA289" i="5"/>
  <c r="BP289" i="5" s="1"/>
  <c r="AV289" i="5"/>
  <c r="AU289" i="5"/>
  <c r="BN289" i="5" s="1"/>
  <c r="CK353" i="5"/>
  <c r="CC353" i="5"/>
  <c r="BY353" i="5"/>
  <c r="CI353" i="5"/>
  <c r="CD353" i="5"/>
  <c r="CF353" i="5"/>
  <c r="BV353" i="5"/>
  <c r="BQ353" i="5"/>
  <c r="CE353" i="5"/>
  <c r="BW353" i="5"/>
  <c r="BS353" i="5"/>
  <c r="BH353" i="5"/>
  <c r="CA353" i="5"/>
  <c r="BR353" i="5"/>
  <c r="BM353" i="5"/>
  <c r="BJ353" i="5"/>
  <c r="BU353" i="5"/>
  <c r="BT353" i="5"/>
  <c r="BI353" i="5"/>
  <c r="BG353" i="5"/>
  <c r="BD353" i="5"/>
  <c r="AZ353" i="5"/>
  <c r="BK353" i="5"/>
  <c r="AY353" i="5"/>
  <c r="BA353" i="5"/>
  <c r="BP353" i="5" s="1"/>
  <c r="BE353" i="5"/>
  <c r="BF353" i="5"/>
  <c r="AV353" i="5"/>
  <c r="BC353" i="5" s="1"/>
  <c r="AU353" i="5"/>
  <c r="BB353" i="5" s="1"/>
  <c r="BO58" i="5"/>
  <c r="CK162" i="5"/>
  <c r="CJ162" i="5"/>
  <c r="CI162" i="5"/>
  <c r="CG162" i="5"/>
  <c r="CD162" i="5"/>
  <c r="BZ162" i="5"/>
  <c r="CH162" i="5"/>
  <c r="CF162" i="5"/>
  <c r="CE162" i="5"/>
  <c r="BV162" i="5"/>
  <c r="CA162" i="5"/>
  <c r="BU162" i="5"/>
  <c r="BY162" i="5"/>
  <c r="BS162" i="5"/>
  <c r="CC162" i="5"/>
  <c r="BT162" i="5"/>
  <c r="BW162" i="5"/>
  <c r="BX162" i="5"/>
  <c r="BR162" i="5"/>
  <c r="BD162" i="5"/>
  <c r="BG162" i="5"/>
  <c r="BF162" i="5"/>
  <c r="BQ162" i="5"/>
  <c r="BL162" i="5"/>
  <c r="BH162" i="5"/>
  <c r="BK162" i="5"/>
  <c r="BI162" i="5"/>
  <c r="BM162" i="5"/>
  <c r="AZ162" i="5"/>
  <c r="BJ162" i="5"/>
  <c r="BA162" i="5"/>
  <c r="BP162" i="5" s="1"/>
  <c r="AY162" i="5"/>
  <c r="BE162" i="5"/>
  <c r="AV162" i="5"/>
  <c r="BC162" i="5" s="1"/>
  <c r="AU162" i="5"/>
  <c r="CK226" i="5"/>
  <c r="CG226" i="5"/>
  <c r="CJ226" i="5"/>
  <c r="CI226" i="5"/>
  <c r="CD226" i="5"/>
  <c r="BZ226" i="5"/>
  <c r="CF226" i="5"/>
  <c r="CC226" i="5"/>
  <c r="BV226" i="5"/>
  <c r="CE226" i="5"/>
  <c r="BY226" i="5"/>
  <c r="BU226" i="5"/>
  <c r="CH226" i="5"/>
  <c r="BS226" i="5"/>
  <c r="BT226" i="5"/>
  <c r="CA226" i="5"/>
  <c r="BX226" i="5"/>
  <c r="BW226" i="5"/>
  <c r="BD226" i="5"/>
  <c r="BR226" i="5"/>
  <c r="BF226" i="5"/>
  <c r="BQ226" i="5"/>
  <c r="BH226" i="5"/>
  <c r="BL226" i="5"/>
  <c r="BK226" i="5"/>
  <c r="AZ226" i="5"/>
  <c r="BI226" i="5"/>
  <c r="BM226" i="5"/>
  <c r="BG226" i="5"/>
  <c r="BJ226" i="5"/>
  <c r="BA226" i="5"/>
  <c r="BP226" i="5" s="1"/>
  <c r="BE226" i="5"/>
  <c r="AY226" i="5"/>
  <c r="AV226" i="5"/>
  <c r="BC226" i="5" s="1"/>
  <c r="AU226" i="5"/>
  <c r="BB226" i="5" s="1"/>
  <c r="CK290" i="5"/>
  <c r="CD290" i="5"/>
  <c r="BZ290" i="5"/>
  <c r="CH290" i="5"/>
  <c r="CG290" i="5"/>
  <c r="CI290" i="5"/>
  <c r="CF290" i="5"/>
  <c r="CJ290" i="5"/>
  <c r="CE290" i="5"/>
  <c r="BV290" i="5"/>
  <c r="CA290" i="5"/>
  <c r="BX290" i="5"/>
  <c r="BU290" i="5"/>
  <c r="BY290" i="5"/>
  <c r="BT290" i="5"/>
  <c r="CC290" i="5"/>
  <c r="BS290" i="5"/>
  <c r="BW290" i="5"/>
  <c r="BR290" i="5"/>
  <c r="BF290" i="5"/>
  <c r="BH290" i="5"/>
  <c r="BQ290" i="5"/>
  <c r="BJ290" i="5"/>
  <c r="BG290" i="5"/>
  <c r="AZ290" i="5"/>
  <c r="BL290" i="5"/>
  <c r="BK290" i="5"/>
  <c r="BM290" i="5"/>
  <c r="BI290" i="5"/>
  <c r="BA290" i="5"/>
  <c r="BP290" i="5" s="1"/>
  <c r="BE290" i="5"/>
  <c r="BD290" i="5"/>
  <c r="AY290" i="5"/>
  <c r="AV290" i="5"/>
  <c r="BO290" i="5" s="1"/>
  <c r="AU290" i="5"/>
  <c r="BB290" i="5" s="1"/>
  <c r="CK354" i="5"/>
  <c r="CD354" i="5"/>
  <c r="CF354" i="5"/>
  <c r="CI354" i="5"/>
  <c r="CC354" i="5"/>
  <c r="BV354" i="5"/>
  <c r="CE354" i="5"/>
  <c r="CA354" i="5"/>
  <c r="BY354" i="5"/>
  <c r="BU354" i="5"/>
  <c r="BT354" i="5"/>
  <c r="BW354" i="5"/>
  <c r="BS354" i="5"/>
  <c r="BR354" i="5"/>
  <c r="BF354" i="5"/>
  <c r="BQ354" i="5"/>
  <c r="BH354" i="5"/>
  <c r="BM354" i="5"/>
  <c r="BK354" i="5"/>
  <c r="BI354" i="5"/>
  <c r="AZ354" i="5"/>
  <c r="BJ354" i="5"/>
  <c r="BG354" i="5"/>
  <c r="BA354" i="5"/>
  <c r="BP354" i="5" s="1"/>
  <c r="BE354" i="5"/>
  <c r="BD354" i="5"/>
  <c r="AY354" i="5"/>
  <c r="AV354" i="5"/>
  <c r="BC354" i="5" s="1"/>
  <c r="AU354" i="5"/>
  <c r="BB354" i="5" s="1"/>
  <c r="BB3" i="5"/>
  <c r="BZ3" i="5" s="1"/>
  <c r="CJ99" i="5"/>
  <c r="CI99" i="5"/>
  <c r="CF99" i="5"/>
  <c r="CH99" i="5"/>
  <c r="CE99" i="5"/>
  <c r="CA99" i="5"/>
  <c r="CK99" i="5"/>
  <c r="CD99" i="5"/>
  <c r="BZ99" i="5"/>
  <c r="BW99" i="5"/>
  <c r="BX99" i="5"/>
  <c r="CG99" i="5"/>
  <c r="BY99" i="5"/>
  <c r="CC99" i="5"/>
  <c r="BU99" i="5"/>
  <c r="BR99" i="5"/>
  <c r="BV99" i="5"/>
  <c r="BL99" i="5"/>
  <c r="BK99" i="5"/>
  <c r="BG99" i="5"/>
  <c r="BI99" i="5"/>
  <c r="BS99" i="5"/>
  <c r="BH99" i="5"/>
  <c r="BT99" i="5"/>
  <c r="BA99" i="5"/>
  <c r="BP99" i="5" s="1"/>
  <c r="BQ99" i="5"/>
  <c r="AY99" i="5"/>
  <c r="BM99" i="5"/>
  <c r="BJ99" i="5"/>
  <c r="BF99" i="5"/>
  <c r="BE99" i="5"/>
  <c r="AZ99" i="5"/>
  <c r="BD99" i="5"/>
  <c r="AU99" i="5"/>
  <c r="BN99" i="5" s="1"/>
  <c r="AV99" i="5"/>
  <c r="BC99" i="5" s="1"/>
  <c r="CI163" i="5"/>
  <c r="CF163" i="5"/>
  <c r="CE163" i="5"/>
  <c r="CA163" i="5"/>
  <c r="CK163" i="5"/>
  <c r="CD163" i="5"/>
  <c r="BW163" i="5"/>
  <c r="CC163" i="5"/>
  <c r="BU163" i="5"/>
  <c r="BR163" i="5"/>
  <c r="BY163" i="5"/>
  <c r="BK163" i="5"/>
  <c r="BG163" i="5"/>
  <c r="BV163" i="5"/>
  <c r="BI163" i="5"/>
  <c r="BS163" i="5"/>
  <c r="BH163" i="5"/>
  <c r="BT163" i="5"/>
  <c r="BQ163" i="5"/>
  <c r="BA163" i="5"/>
  <c r="BP163" i="5" s="1"/>
  <c r="AY163" i="5"/>
  <c r="BE163" i="5"/>
  <c r="BM163" i="5"/>
  <c r="BJ163" i="5"/>
  <c r="BF163" i="5"/>
  <c r="AZ163" i="5"/>
  <c r="BD163" i="5"/>
  <c r="AU163" i="5"/>
  <c r="BB163" i="5" s="1"/>
  <c r="AV163" i="5"/>
  <c r="BC163" i="5" s="1"/>
  <c r="CJ227" i="5"/>
  <c r="CI227" i="5"/>
  <c r="CK227" i="5"/>
  <c r="CG227" i="5"/>
  <c r="CF227" i="5"/>
  <c r="CE227" i="5"/>
  <c r="CA227" i="5"/>
  <c r="CH227" i="5"/>
  <c r="CD227" i="5"/>
  <c r="BZ227" i="5"/>
  <c r="BW227" i="5"/>
  <c r="CC227" i="5"/>
  <c r="BU227" i="5"/>
  <c r="BR227" i="5"/>
  <c r="BV227" i="5"/>
  <c r="BX227" i="5"/>
  <c r="BK227" i="5"/>
  <c r="BY227" i="5"/>
  <c r="BI227" i="5"/>
  <c r="BT227" i="5"/>
  <c r="BH227" i="5"/>
  <c r="BS227" i="5"/>
  <c r="BA227" i="5"/>
  <c r="BP227" i="5" s="1"/>
  <c r="BQ227" i="5"/>
  <c r="AY227" i="5"/>
  <c r="BJ227" i="5"/>
  <c r="BF227" i="5"/>
  <c r="BL227" i="5"/>
  <c r="BM227" i="5"/>
  <c r="BG227" i="5"/>
  <c r="BE227" i="5"/>
  <c r="BD227" i="5"/>
  <c r="AZ227" i="5"/>
  <c r="AU227" i="5"/>
  <c r="BB227" i="5" s="1"/>
  <c r="AV227" i="5"/>
  <c r="BO227" i="5" s="1"/>
  <c r="CJ291" i="5"/>
  <c r="CI291" i="5"/>
  <c r="CH291" i="5"/>
  <c r="CK291" i="5"/>
  <c r="CF291" i="5"/>
  <c r="CE291" i="5"/>
  <c r="CA291" i="5"/>
  <c r="CG291" i="5"/>
  <c r="CD291" i="5"/>
  <c r="BW291" i="5"/>
  <c r="CC291" i="5"/>
  <c r="BY291" i="5"/>
  <c r="BX291" i="5"/>
  <c r="BU291" i="5"/>
  <c r="BR291" i="5"/>
  <c r="BZ291" i="5"/>
  <c r="BV291" i="5"/>
  <c r="BK291" i="5"/>
  <c r="BL291" i="5"/>
  <c r="BI291" i="5"/>
  <c r="BH291" i="5"/>
  <c r="BT291" i="5"/>
  <c r="BS291" i="5"/>
  <c r="BA291" i="5"/>
  <c r="BP291" i="5" s="1"/>
  <c r="BQ291" i="5"/>
  <c r="AY291" i="5"/>
  <c r="BM291" i="5"/>
  <c r="BJ291" i="5"/>
  <c r="BG291" i="5"/>
  <c r="BF291" i="5"/>
  <c r="AZ291" i="5"/>
  <c r="BE291" i="5"/>
  <c r="BD291" i="5"/>
  <c r="AU291" i="5"/>
  <c r="BN291" i="5" s="1"/>
  <c r="AV291" i="5"/>
  <c r="BC291" i="5" s="1"/>
  <c r="CI355" i="5"/>
  <c r="CG355" i="5"/>
  <c r="CJ355" i="5"/>
  <c r="CK355" i="5"/>
  <c r="CF355" i="5"/>
  <c r="CH355" i="5"/>
  <c r="CE355" i="5"/>
  <c r="CA355" i="5"/>
  <c r="CD355" i="5"/>
  <c r="BW355" i="5"/>
  <c r="CC355" i="5"/>
  <c r="BX355" i="5"/>
  <c r="BZ355" i="5"/>
  <c r="BY355" i="5"/>
  <c r="BU355" i="5"/>
  <c r="BR355" i="5"/>
  <c r="BK355" i="5"/>
  <c r="BV355" i="5"/>
  <c r="BI355" i="5"/>
  <c r="BT355" i="5"/>
  <c r="BS355" i="5"/>
  <c r="BH355" i="5"/>
  <c r="BL355" i="5"/>
  <c r="BQ355" i="5"/>
  <c r="BA355" i="5"/>
  <c r="AY355" i="5"/>
  <c r="BM355" i="5"/>
  <c r="BF355" i="5"/>
  <c r="BJ355" i="5"/>
  <c r="BG355" i="5"/>
  <c r="AZ355" i="5"/>
  <c r="BE355" i="5"/>
  <c r="BD355" i="5"/>
  <c r="AU355" i="5"/>
  <c r="AV355" i="5"/>
  <c r="CJ44" i="5"/>
  <c r="CK44" i="5"/>
  <c r="CF44" i="5"/>
  <c r="CE44" i="5"/>
  <c r="CC44" i="5"/>
  <c r="CG44" i="5"/>
  <c r="CI44" i="5"/>
  <c r="CA44" i="5"/>
  <c r="BT44" i="5"/>
  <c r="CH44" i="5"/>
  <c r="CD44" i="5"/>
  <c r="BY44" i="5"/>
  <c r="BZ44" i="5"/>
  <c r="BX44" i="5"/>
  <c r="BS44" i="5"/>
  <c r="BV44" i="5"/>
  <c r="BU44" i="5"/>
  <c r="BW44" i="5"/>
  <c r="BR44" i="5"/>
  <c r="BL44" i="5"/>
  <c r="BE44" i="5"/>
  <c r="BM44" i="5"/>
  <c r="BQ44" i="5"/>
  <c r="BG44" i="5"/>
  <c r="BJ44" i="5"/>
  <c r="BF44" i="5"/>
  <c r="AZ44" i="5"/>
  <c r="BH44" i="5"/>
  <c r="BK44" i="5"/>
  <c r="BI44" i="5"/>
  <c r="AY44" i="5"/>
  <c r="BD44" i="5"/>
  <c r="BA44" i="5"/>
  <c r="BP44" i="5" s="1"/>
  <c r="AU44" i="5"/>
  <c r="BN44" i="5" s="1"/>
  <c r="AV44" i="5"/>
  <c r="BC44" i="5" s="1"/>
  <c r="CK108" i="5"/>
  <c r="CI108" i="5"/>
  <c r="CF108" i="5"/>
  <c r="CE108" i="5"/>
  <c r="CC108" i="5"/>
  <c r="CD108" i="5"/>
  <c r="BT108" i="5"/>
  <c r="CA108" i="5"/>
  <c r="BY108" i="5"/>
  <c r="BS108" i="5"/>
  <c r="BU108" i="5"/>
  <c r="BW108" i="5"/>
  <c r="BV108" i="5"/>
  <c r="BR108" i="5"/>
  <c r="BE108" i="5"/>
  <c r="BQ108" i="5"/>
  <c r="BM108" i="5"/>
  <c r="BK108" i="5"/>
  <c r="BI108" i="5"/>
  <c r="BG108" i="5"/>
  <c r="AZ108" i="5"/>
  <c r="BJ108" i="5"/>
  <c r="BH108" i="5"/>
  <c r="BF108" i="5"/>
  <c r="AY108" i="5"/>
  <c r="BD108" i="5"/>
  <c r="BA108" i="5"/>
  <c r="BP108" i="5" s="1"/>
  <c r="AU108" i="5"/>
  <c r="AV108" i="5"/>
  <c r="BO108" i="5" s="1"/>
  <c r="CK172" i="5"/>
  <c r="CI172" i="5"/>
  <c r="CF172" i="5"/>
  <c r="CE172" i="5"/>
  <c r="CC172" i="5"/>
  <c r="CA172" i="5"/>
  <c r="BT172" i="5"/>
  <c r="CD172" i="5"/>
  <c r="BS172" i="5"/>
  <c r="BV172" i="5"/>
  <c r="BY172" i="5"/>
  <c r="BW172" i="5"/>
  <c r="BR172" i="5"/>
  <c r="BU172" i="5"/>
  <c r="BE172" i="5"/>
  <c r="BQ172" i="5"/>
  <c r="BM172" i="5"/>
  <c r="BJ172" i="5"/>
  <c r="BH172" i="5"/>
  <c r="BF172" i="5"/>
  <c r="AZ172" i="5"/>
  <c r="BK172" i="5"/>
  <c r="BI172" i="5"/>
  <c r="BG172" i="5"/>
  <c r="AY172" i="5"/>
  <c r="BD172" i="5"/>
  <c r="BA172" i="5"/>
  <c r="BP172" i="5" s="1"/>
  <c r="AU172" i="5"/>
  <c r="BN172" i="5" s="1"/>
  <c r="AV172" i="5"/>
  <c r="BC172" i="5" s="1"/>
  <c r="CK236" i="5"/>
  <c r="CI236" i="5"/>
  <c r="CF236" i="5"/>
  <c r="CE236" i="5"/>
  <c r="CC236" i="5"/>
  <c r="CD236" i="5"/>
  <c r="BT236" i="5"/>
  <c r="CA236" i="5"/>
  <c r="BS236" i="5"/>
  <c r="BY236" i="5"/>
  <c r="BV236" i="5"/>
  <c r="BW236" i="5"/>
  <c r="BR236" i="5"/>
  <c r="BU236" i="5"/>
  <c r="BG236" i="5"/>
  <c r="BE236" i="5"/>
  <c r="BQ236" i="5"/>
  <c r="BM236" i="5"/>
  <c r="BI236" i="5"/>
  <c r="AZ236" i="5"/>
  <c r="BJ236" i="5"/>
  <c r="BH236" i="5"/>
  <c r="BK236" i="5"/>
  <c r="BF236" i="5"/>
  <c r="AY236" i="5"/>
  <c r="BD236" i="5"/>
  <c r="BA236" i="5"/>
  <c r="BP236" i="5" s="1"/>
  <c r="AU236" i="5"/>
  <c r="BN236" i="5" s="1"/>
  <c r="AV236" i="5"/>
  <c r="BO236" i="5" s="1"/>
  <c r="CK300" i="5"/>
  <c r="CI300" i="5"/>
  <c r="CF300" i="5"/>
  <c r="CE300" i="5"/>
  <c r="CC300" i="5"/>
  <c r="CA300" i="5"/>
  <c r="CD300" i="5"/>
  <c r="BT300" i="5"/>
  <c r="BY300" i="5"/>
  <c r="BW300" i="5"/>
  <c r="BS300" i="5"/>
  <c r="BV300" i="5"/>
  <c r="BR300" i="5"/>
  <c r="BG300" i="5"/>
  <c r="BU300" i="5"/>
  <c r="BE300" i="5"/>
  <c r="BQ300" i="5"/>
  <c r="BM300" i="5"/>
  <c r="BH300" i="5"/>
  <c r="BK300" i="5"/>
  <c r="BI300" i="5"/>
  <c r="BF300" i="5"/>
  <c r="AZ300" i="5"/>
  <c r="BJ300" i="5"/>
  <c r="AY300" i="5"/>
  <c r="BD300" i="5"/>
  <c r="BA300" i="5"/>
  <c r="BP300" i="5" s="1"/>
  <c r="AU300" i="5"/>
  <c r="BB300" i="5" s="1"/>
  <c r="AV300" i="5"/>
  <c r="BO300" i="5" s="1"/>
  <c r="CK364" i="5"/>
  <c r="CJ364" i="5"/>
  <c r="CI364" i="5"/>
  <c r="CH364" i="5"/>
  <c r="CF364" i="5"/>
  <c r="CE364" i="5"/>
  <c r="CC364" i="5"/>
  <c r="CG364" i="5"/>
  <c r="BZ364" i="5"/>
  <c r="CD364" i="5"/>
  <c r="BT364" i="5"/>
  <c r="BY364" i="5"/>
  <c r="CA364" i="5"/>
  <c r="BX364" i="5"/>
  <c r="BV364" i="5"/>
  <c r="BS364" i="5"/>
  <c r="BW364" i="5"/>
  <c r="BR364" i="5"/>
  <c r="BG364" i="5"/>
  <c r="BU364" i="5"/>
  <c r="BE364" i="5"/>
  <c r="BM364" i="5"/>
  <c r="BQ364" i="5"/>
  <c r="BJ364" i="5"/>
  <c r="BH364" i="5"/>
  <c r="AZ364" i="5"/>
  <c r="BL364" i="5"/>
  <c r="BK364" i="5"/>
  <c r="BI364" i="5"/>
  <c r="BF364" i="5"/>
  <c r="AY364" i="5"/>
  <c r="BD364" i="5"/>
  <c r="BA364" i="5"/>
  <c r="BP364" i="5" s="1"/>
  <c r="AU364" i="5"/>
  <c r="BN364" i="5" s="1"/>
  <c r="AV364" i="5"/>
  <c r="BC364" i="5" s="1"/>
  <c r="CK293" i="5"/>
  <c r="CJ293" i="5"/>
  <c r="CF293" i="5"/>
  <c r="CH293" i="5"/>
  <c r="CI293" i="5"/>
  <c r="CD293" i="5"/>
  <c r="BZ293" i="5"/>
  <c r="CE293" i="5"/>
  <c r="BV293" i="5"/>
  <c r="CG293" i="5"/>
  <c r="BY293" i="5"/>
  <c r="CC293" i="5"/>
  <c r="BW293" i="5"/>
  <c r="BS293" i="5"/>
  <c r="CA293" i="5"/>
  <c r="BQ293" i="5"/>
  <c r="BX293" i="5"/>
  <c r="BT293" i="5"/>
  <c r="BM293" i="5"/>
  <c r="BJ293" i="5"/>
  <c r="BH293" i="5"/>
  <c r="BU293" i="5"/>
  <c r="BR293" i="5"/>
  <c r="BK293" i="5"/>
  <c r="BF293" i="5"/>
  <c r="BD293" i="5"/>
  <c r="AZ293" i="5"/>
  <c r="BL293" i="5"/>
  <c r="BE293" i="5"/>
  <c r="BI293" i="5"/>
  <c r="BG293" i="5"/>
  <c r="AU293" i="5"/>
  <c r="BB293" i="5" s="1"/>
  <c r="BA293" i="5"/>
  <c r="BP293" i="5" s="1"/>
  <c r="AY293" i="5"/>
  <c r="AV293" i="5"/>
  <c r="BO293" i="5" s="1"/>
  <c r="CI351" i="5"/>
  <c r="CK351" i="5"/>
  <c r="CE351" i="5"/>
  <c r="CF351" i="5"/>
  <c r="CC351" i="5"/>
  <c r="CA351" i="5"/>
  <c r="CD351" i="5"/>
  <c r="BW351" i="5"/>
  <c r="BV351" i="5"/>
  <c r="BR351" i="5"/>
  <c r="BI351" i="5"/>
  <c r="BY351" i="5"/>
  <c r="BK351" i="5"/>
  <c r="BS351" i="5"/>
  <c r="BU351" i="5"/>
  <c r="BT351" i="5"/>
  <c r="BQ351" i="5"/>
  <c r="BM351" i="5"/>
  <c r="BJ351" i="5"/>
  <c r="BE351" i="5"/>
  <c r="AY351" i="5"/>
  <c r="BA351" i="5"/>
  <c r="BP351" i="5" s="1"/>
  <c r="BH351" i="5"/>
  <c r="BG351" i="5"/>
  <c r="BD351" i="5"/>
  <c r="BF351" i="5"/>
  <c r="AV351" i="5"/>
  <c r="BO351" i="5" s="1"/>
  <c r="AZ351" i="5"/>
  <c r="AU351" i="5"/>
  <c r="BN351" i="5" s="1"/>
  <c r="CJ288" i="5"/>
  <c r="CK288" i="5"/>
  <c r="CI288" i="5"/>
  <c r="CE288" i="5"/>
  <c r="CA288" i="5"/>
  <c r="CG288" i="5"/>
  <c r="CH288" i="5"/>
  <c r="CD288" i="5"/>
  <c r="BW288" i="5"/>
  <c r="CC288" i="5"/>
  <c r="BY288" i="5"/>
  <c r="BT288" i="5"/>
  <c r="BZ288" i="5"/>
  <c r="CF288" i="5"/>
  <c r="BX288" i="5"/>
  <c r="BV288" i="5"/>
  <c r="BQ288" i="5"/>
  <c r="BK288" i="5"/>
  <c r="BE288" i="5"/>
  <c r="BS288" i="5"/>
  <c r="BU288" i="5"/>
  <c r="BG288" i="5"/>
  <c r="BR288" i="5"/>
  <c r="BJ288" i="5"/>
  <c r="BM288" i="5"/>
  <c r="BF288" i="5"/>
  <c r="BH288" i="5"/>
  <c r="BL288" i="5"/>
  <c r="BI288" i="5"/>
  <c r="BD288" i="5"/>
  <c r="BA288" i="5"/>
  <c r="AZ288" i="5"/>
  <c r="AY288" i="5"/>
  <c r="AV288" i="5"/>
  <c r="AU288" i="5"/>
  <c r="CK73" i="5"/>
  <c r="CI73" i="5"/>
  <c r="CG73" i="5"/>
  <c r="CD73" i="5"/>
  <c r="CF73" i="5"/>
  <c r="CE73" i="5"/>
  <c r="BY73" i="5"/>
  <c r="CC73" i="5"/>
  <c r="BV73" i="5"/>
  <c r="BQ73" i="5"/>
  <c r="CA73" i="5"/>
  <c r="BW73" i="5"/>
  <c r="BS73" i="5"/>
  <c r="BH73" i="5"/>
  <c r="BU73" i="5"/>
  <c r="BT73" i="5"/>
  <c r="BM73" i="5"/>
  <c r="BJ73" i="5"/>
  <c r="BI73" i="5"/>
  <c r="BR73" i="5"/>
  <c r="BK73" i="5"/>
  <c r="BD73" i="5"/>
  <c r="AZ73" i="5"/>
  <c r="BG73" i="5"/>
  <c r="BF73" i="5"/>
  <c r="BE73" i="5"/>
  <c r="BA73" i="5"/>
  <c r="BP73" i="5" s="1"/>
  <c r="AY73" i="5"/>
  <c r="AU73" i="5"/>
  <c r="AV73" i="5"/>
  <c r="BO73" i="5" s="1"/>
  <c r="CI203" i="5"/>
  <c r="CK203" i="5"/>
  <c r="CG203" i="5"/>
  <c r="CF203" i="5"/>
  <c r="CA203" i="5"/>
  <c r="CH203" i="5"/>
  <c r="CJ203" i="5"/>
  <c r="BZ203" i="5"/>
  <c r="CC203" i="5"/>
  <c r="CE203" i="5"/>
  <c r="CD203" i="5"/>
  <c r="BW203" i="5"/>
  <c r="BY203" i="5"/>
  <c r="BR203" i="5"/>
  <c r="BQ203" i="5"/>
  <c r="BK203" i="5"/>
  <c r="BG203" i="5"/>
  <c r="BX203" i="5"/>
  <c r="BV203" i="5"/>
  <c r="BI203" i="5"/>
  <c r="BT203" i="5"/>
  <c r="BU203" i="5"/>
  <c r="BS203" i="5"/>
  <c r="BL203" i="5"/>
  <c r="BJ203" i="5"/>
  <c r="BA203" i="5"/>
  <c r="BP203" i="5" s="1"/>
  <c r="BM203" i="5"/>
  <c r="BF203" i="5"/>
  <c r="AY203" i="5"/>
  <c r="BD203" i="5"/>
  <c r="BH203" i="5"/>
  <c r="BE203" i="5"/>
  <c r="AZ203" i="5"/>
  <c r="AV203" i="5"/>
  <c r="AU203" i="5"/>
  <c r="BN203" i="5" s="1"/>
  <c r="CJ331" i="5"/>
  <c r="CI331" i="5"/>
  <c r="CF331" i="5"/>
  <c r="CA331" i="5"/>
  <c r="CK331" i="5"/>
  <c r="CH331" i="5"/>
  <c r="CC331" i="5"/>
  <c r="CD331" i="5"/>
  <c r="BW331" i="5"/>
  <c r="BY331" i="5"/>
  <c r="BZ331" i="5"/>
  <c r="CG331" i="5"/>
  <c r="CE331" i="5"/>
  <c r="BR331" i="5"/>
  <c r="BX331" i="5"/>
  <c r="BQ331" i="5"/>
  <c r="BK331" i="5"/>
  <c r="BV331" i="5"/>
  <c r="BI331" i="5"/>
  <c r="BU331" i="5"/>
  <c r="BS331" i="5"/>
  <c r="BT331" i="5"/>
  <c r="BJ331" i="5"/>
  <c r="BG331" i="5"/>
  <c r="BA331" i="5"/>
  <c r="BP331" i="5" s="1"/>
  <c r="BM331" i="5"/>
  <c r="BF331" i="5"/>
  <c r="AY331" i="5"/>
  <c r="BL331" i="5"/>
  <c r="BH331" i="5"/>
  <c r="BD331" i="5"/>
  <c r="BE331" i="5"/>
  <c r="AZ331" i="5"/>
  <c r="AV331" i="5"/>
  <c r="BO331" i="5" s="1"/>
  <c r="AU331" i="5"/>
  <c r="BN331" i="5" s="1"/>
  <c r="CK53" i="5"/>
  <c r="CJ53" i="5"/>
  <c r="CF53" i="5"/>
  <c r="CI53" i="5"/>
  <c r="CE53" i="5"/>
  <c r="CH53" i="5"/>
  <c r="BZ53" i="5"/>
  <c r="CG53" i="5"/>
  <c r="CA53" i="5"/>
  <c r="BV53" i="5"/>
  <c r="BY53" i="5"/>
  <c r="CC53" i="5"/>
  <c r="BW53" i="5"/>
  <c r="CD53" i="5"/>
  <c r="BQ53" i="5"/>
  <c r="BX53" i="5"/>
  <c r="BM53" i="5"/>
  <c r="BL53" i="5"/>
  <c r="BJ53" i="5"/>
  <c r="BH53" i="5"/>
  <c r="BU53" i="5"/>
  <c r="BT53" i="5"/>
  <c r="BK53" i="5"/>
  <c r="BR53" i="5"/>
  <c r="BS53" i="5"/>
  <c r="BE53" i="5"/>
  <c r="AZ53" i="5"/>
  <c r="BF53" i="5"/>
  <c r="BI53" i="5"/>
  <c r="BG53" i="5"/>
  <c r="BD53" i="5"/>
  <c r="BA53" i="5"/>
  <c r="AU53" i="5"/>
  <c r="AY53" i="5"/>
  <c r="AV53" i="5"/>
  <c r="CK5" i="5"/>
  <c r="CF5" i="5"/>
  <c r="CI5" i="5"/>
  <c r="CE5" i="5"/>
  <c r="CA5" i="5"/>
  <c r="BV5" i="5"/>
  <c r="BY5" i="5"/>
  <c r="BW5" i="5"/>
  <c r="CD5" i="5"/>
  <c r="CC5" i="5"/>
  <c r="BQ5" i="5"/>
  <c r="BM5" i="5"/>
  <c r="BJ5" i="5"/>
  <c r="BU5" i="5"/>
  <c r="BH5" i="5"/>
  <c r="BS5" i="5"/>
  <c r="BR5" i="5"/>
  <c r="BT5" i="5"/>
  <c r="BK5" i="5"/>
  <c r="BF5" i="5"/>
  <c r="AZ5" i="5"/>
  <c r="BI5" i="5"/>
  <c r="BE5" i="5"/>
  <c r="BG5" i="5"/>
  <c r="AY5" i="5"/>
  <c r="BA5" i="5"/>
  <c r="BP5" i="5" s="1"/>
  <c r="BD5" i="5"/>
  <c r="AU5" i="5"/>
  <c r="BB5" i="5" s="1"/>
  <c r="AV5" i="5"/>
  <c r="BO5" i="5" s="1"/>
  <c r="CK69" i="5"/>
  <c r="CF69" i="5"/>
  <c r="CI69" i="5"/>
  <c r="CC69" i="5"/>
  <c r="BV69" i="5"/>
  <c r="CA69" i="5"/>
  <c r="BY69" i="5"/>
  <c r="BW69" i="5"/>
  <c r="CE69" i="5"/>
  <c r="CD69" i="5"/>
  <c r="BQ69" i="5"/>
  <c r="BU69" i="5"/>
  <c r="BM69" i="5"/>
  <c r="BJ69" i="5"/>
  <c r="BH69" i="5"/>
  <c r="BS69" i="5"/>
  <c r="BR69" i="5"/>
  <c r="BT69" i="5"/>
  <c r="BK69" i="5"/>
  <c r="BI69" i="5"/>
  <c r="BF69" i="5"/>
  <c r="AZ69" i="5"/>
  <c r="BE69" i="5"/>
  <c r="BG69" i="5"/>
  <c r="BA69" i="5"/>
  <c r="BP69" i="5" s="1"/>
  <c r="BD69" i="5"/>
  <c r="AY69" i="5"/>
  <c r="AU69" i="5"/>
  <c r="AV69" i="5"/>
  <c r="BC69" i="5" s="1"/>
  <c r="CK133" i="5"/>
  <c r="CF133" i="5"/>
  <c r="CI133" i="5"/>
  <c r="CA133" i="5"/>
  <c r="BV133" i="5"/>
  <c r="BY133" i="5"/>
  <c r="CE133" i="5"/>
  <c r="CD133" i="5"/>
  <c r="BW133" i="5"/>
  <c r="CC133" i="5"/>
  <c r="BQ133" i="5"/>
  <c r="BM133" i="5"/>
  <c r="BJ133" i="5"/>
  <c r="BU133" i="5"/>
  <c r="BH133" i="5"/>
  <c r="BR133" i="5"/>
  <c r="BT133" i="5"/>
  <c r="BS133" i="5"/>
  <c r="BK133" i="5"/>
  <c r="BF133" i="5"/>
  <c r="AZ133" i="5"/>
  <c r="BI133" i="5"/>
  <c r="BE133" i="5"/>
  <c r="BG133" i="5"/>
  <c r="AY133" i="5"/>
  <c r="BD133" i="5"/>
  <c r="BA133" i="5"/>
  <c r="BP133" i="5" s="1"/>
  <c r="AU133" i="5"/>
  <c r="BN133" i="5" s="1"/>
  <c r="AV133" i="5"/>
  <c r="BC133" i="5" s="1"/>
  <c r="CK197" i="5"/>
  <c r="CF197" i="5"/>
  <c r="CD197" i="5"/>
  <c r="CI197" i="5"/>
  <c r="CC197" i="5"/>
  <c r="BV197" i="5"/>
  <c r="BY197" i="5"/>
  <c r="BW197" i="5"/>
  <c r="CE197" i="5"/>
  <c r="CA197" i="5"/>
  <c r="BQ197" i="5"/>
  <c r="BM197" i="5"/>
  <c r="BJ197" i="5"/>
  <c r="BH197" i="5"/>
  <c r="BU197" i="5"/>
  <c r="BS197" i="5"/>
  <c r="BT197" i="5"/>
  <c r="BR197" i="5"/>
  <c r="BK197" i="5"/>
  <c r="BI197" i="5"/>
  <c r="BF197" i="5"/>
  <c r="AZ197" i="5"/>
  <c r="BE197" i="5"/>
  <c r="BG197" i="5"/>
  <c r="BA197" i="5"/>
  <c r="BP197" i="5" s="1"/>
  <c r="BD197" i="5"/>
  <c r="AY197" i="5"/>
  <c r="AU197" i="5"/>
  <c r="BN197" i="5" s="1"/>
  <c r="AV197" i="5"/>
  <c r="BO197" i="5" s="1"/>
  <c r="CK261" i="5"/>
  <c r="CF261" i="5"/>
  <c r="CI261" i="5"/>
  <c r="CD261" i="5"/>
  <c r="CE261" i="5"/>
  <c r="CA261" i="5"/>
  <c r="BV261" i="5"/>
  <c r="BY261" i="5"/>
  <c r="BW261" i="5"/>
  <c r="CC261" i="5"/>
  <c r="BS261" i="5"/>
  <c r="BQ261" i="5"/>
  <c r="BM261" i="5"/>
  <c r="BJ261" i="5"/>
  <c r="BH261" i="5"/>
  <c r="BT261" i="5"/>
  <c r="BR261" i="5"/>
  <c r="BU261" i="5"/>
  <c r="BK261" i="5"/>
  <c r="BF261" i="5"/>
  <c r="AZ261" i="5"/>
  <c r="BI261" i="5"/>
  <c r="BE261" i="5"/>
  <c r="BG261" i="5"/>
  <c r="BD261" i="5"/>
  <c r="AY261" i="5"/>
  <c r="BA261" i="5"/>
  <c r="BP261" i="5" s="1"/>
  <c r="AU261" i="5"/>
  <c r="BB261" i="5" s="1"/>
  <c r="AV261" i="5"/>
  <c r="BO261" i="5" s="1"/>
  <c r="CK325" i="5"/>
  <c r="CF325" i="5"/>
  <c r="CI325" i="5"/>
  <c r="CD325" i="5"/>
  <c r="CC325" i="5"/>
  <c r="BV325" i="5"/>
  <c r="CA325" i="5"/>
  <c r="CE325" i="5"/>
  <c r="BY325" i="5"/>
  <c r="BW325" i="5"/>
  <c r="BS325" i="5"/>
  <c r="BQ325" i="5"/>
  <c r="BM325" i="5"/>
  <c r="BJ325" i="5"/>
  <c r="BH325" i="5"/>
  <c r="BT325" i="5"/>
  <c r="BR325" i="5"/>
  <c r="BU325" i="5"/>
  <c r="BK325" i="5"/>
  <c r="BI325" i="5"/>
  <c r="BF325" i="5"/>
  <c r="BD325" i="5"/>
  <c r="AZ325" i="5"/>
  <c r="BE325" i="5"/>
  <c r="BG325" i="5"/>
  <c r="BA325" i="5"/>
  <c r="BP325" i="5" s="1"/>
  <c r="AY325" i="5"/>
  <c r="AU325" i="5"/>
  <c r="BB325" i="5" s="1"/>
  <c r="AV325" i="5"/>
  <c r="BO325" i="5" s="1"/>
  <c r="CK389" i="5"/>
  <c r="CJ389" i="5"/>
  <c r="CF389" i="5"/>
  <c r="CH389" i="5"/>
  <c r="CD389" i="5"/>
  <c r="CI389" i="5"/>
  <c r="CG389" i="5"/>
  <c r="BX389" i="5"/>
  <c r="CA389" i="5"/>
  <c r="BV389" i="5"/>
  <c r="BY389" i="5"/>
  <c r="CE389" i="5"/>
  <c r="BW389" i="5"/>
  <c r="CC389" i="5"/>
  <c r="BS389" i="5"/>
  <c r="BQ389" i="5"/>
  <c r="BM389" i="5"/>
  <c r="BJ389" i="5"/>
  <c r="BZ389" i="5"/>
  <c r="BH389" i="5"/>
  <c r="BU389" i="5"/>
  <c r="BL389" i="5"/>
  <c r="BT389" i="5"/>
  <c r="BK389" i="5"/>
  <c r="BF389" i="5"/>
  <c r="BD389" i="5"/>
  <c r="AZ389" i="5"/>
  <c r="BR389" i="5"/>
  <c r="BI389" i="5"/>
  <c r="BE389" i="5"/>
  <c r="BG389" i="5"/>
  <c r="AY389" i="5"/>
  <c r="BA389" i="5"/>
  <c r="BP389" i="5" s="1"/>
  <c r="AU389" i="5"/>
  <c r="BN389" i="5" s="1"/>
  <c r="AV389" i="5"/>
  <c r="BC389" i="5" s="1"/>
  <c r="BL318" i="5"/>
  <c r="CI63" i="5"/>
  <c r="CJ63" i="5"/>
  <c r="CK63" i="5"/>
  <c r="CF63" i="5"/>
  <c r="CE63" i="5"/>
  <c r="CC63" i="5"/>
  <c r="CG63" i="5"/>
  <c r="CH63" i="5"/>
  <c r="CA63" i="5"/>
  <c r="BW63" i="5"/>
  <c r="BX63" i="5"/>
  <c r="BV63" i="5"/>
  <c r="BR63" i="5"/>
  <c r="BY63" i="5"/>
  <c r="CD63" i="5"/>
  <c r="BZ63" i="5"/>
  <c r="BI63" i="5"/>
  <c r="BU63" i="5"/>
  <c r="BK63" i="5"/>
  <c r="BG63" i="5"/>
  <c r="BS63" i="5"/>
  <c r="BT63" i="5"/>
  <c r="BM63" i="5"/>
  <c r="BJ63" i="5"/>
  <c r="BH63" i="5"/>
  <c r="BE63" i="5"/>
  <c r="AY63" i="5"/>
  <c r="BQ63" i="5"/>
  <c r="BL63" i="5"/>
  <c r="BD63" i="5"/>
  <c r="BA63" i="5"/>
  <c r="BP63" i="5" s="1"/>
  <c r="BF63" i="5"/>
  <c r="AZ63" i="5"/>
  <c r="AV63" i="5"/>
  <c r="BO63" i="5" s="1"/>
  <c r="AU63" i="5"/>
  <c r="CJ127" i="5"/>
  <c r="CI127" i="5"/>
  <c r="CF127" i="5"/>
  <c r="CE127" i="5"/>
  <c r="CC127" i="5"/>
  <c r="CG127" i="5"/>
  <c r="CH127" i="5"/>
  <c r="CA127" i="5"/>
  <c r="CK127" i="5"/>
  <c r="BZ127" i="5"/>
  <c r="BW127" i="5"/>
  <c r="BV127" i="5"/>
  <c r="CD127" i="5"/>
  <c r="BR127" i="5"/>
  <c r="BY127" i="5"/>
  <c r="BX127" i="5"/>
  <c r="BU127" i="5"/>
  <c r="BL127" i="5"/>
  <c r="BI127" i="5"/>
  <c r="BK127" i="5"/>
  <c r="BG127" i="5"/>
  <c r="BT127" i="5"/>
  <c r="BS127" i="5"/>
  <c r="BM127" i="5"/>
  <c r="BJ127" i="5"/>
  <c r="BQ127" i="5"/>
  <c r="BE127" i="5"/>
  <c r="AY127" i="5"/>
  <c r="BH127" i="5"/>
  <c r="BD127" i="5"/>
  <c r="BA127" i="5"/>
  <c r="BP127" i="5" s="1"/>
  <c r="BF127" i="5"/>
  <c r="AZ127" i="5"/>
  <c r="AV127" i="5"/>
  <c r="BC127" i="5" s="1"/>
  <c r="AU127" i="5"/>
  <c r="CJ191" i="5"/>
  <c r="CI191" i="5"/>
  <c r="CG191" i="5"/>
  <c r="CK191" i="5"/>
  <c r="CH191" i="5"/>
  <c r="CF191" i="5"/>
  <c r="CE191" i="5"/>
  <c r="CC191" i="5"/>
  <c r="CA191" i="5"/>
  <c r="BZ191" i="5"/>
  <c r="BW191" i="5"/>
  <c r="CD191" i="5"/>
  <c r="BX191" i="5"/>
  <c r="BV191" i="5"/>
  <c r="BR191" i="5"/>
  <c r="BI191" i="5"/>
  <c r="BY191" i="5"/>
  <c r="BK191" i="5"/>
  <c r="BG191" i="5"/>
  <c r="BT191" i="5"/>
  <c r="BL191" i="5"/>
  <c r="BU191" i="5"/>
  <c r="BS191" i="5"/>
  <c r="BM191" i="5"/>
  <c r="BJ191" i="5"/>
  <c r="BH191" i="5"/>
  <c r="BE191" i="5"/>
  <c r="AY191" i="5"/>
  <c r="BQ191" i="5"/>
  <c r="BD191" i="5"/>
  <c r="BA191" i="5"/>
  <c r="BP191" i="5" s="1"/>
  <c r="BF191" i="5"/>
  <c r="AZ191" i="5"/>
  <c r="AV191" i="5"/>
  <c r="BC191" i="5" s="1"/>
  <c r="AU191" i="5"/>
  <c r="CJ255" i="5"/>
  <c r="CI255" i="5"/>
  <c r="CK255" i="5"/>
  <c r="CF255" i="5"/>
  <c r="CG255" i="5"/>
  <c r="CE255" i="5"/>
  <c r="CC255" i="5"/>
  <c r="CH255" i="5"/>
  <c r="CA255" i="5"/>
  <c r="BZ255" i="5"/>
  <c r="CD255" i="5"/>
  <c r="BW255" i="5"/>
  <c r="BV255" i="5"/>
  <c r="BR255" i="5"/>
  <c r="BX255" i="5"/>
  <c r="BI255" i="5"/>
  <c r="BY255" i="5"/>
  <c r="BK255" i="5"/>
  <c r="BU255" i="5"/>
  <c r="BS255" i="5"/>
  <c r="BT255" i="5"/>
  <c r="BM255" i="5"/>
  <c r="BL255" i="5"/>
  <c r="BJ255" i="5"/>
  <c r="BQ255" i="5"/>
  <c r="BE255" i="5"/>
  <c r="AY255" i="5"/>
  <c r="BH255" i="5"/>
  <c r="BD255" i="5"/>
  <c r="BA255" i="5"/>
  <c r="BF255" i="5"/>
  <c r="BG255" i="5"/>
  <c r="AZ255" i="5"/>
  <c r="AV255" i="5"/>
  <c r="AU255" i="5"/>
  <c r="CI319" i="5"/>
  <c r="CH319" i="5"/>
  <c r="CF319" i="5"/>
  <c r="CJ319" i="5"/>
  <c r="CE319" i="5"/>
  <c r="CC319" i="5"/>
  <c r="CG319" i="5"/>
  <c r="CK319" i="5"/>
  <c r="CA319" i="5"/>
  <c r="BZ319" i="5"/>
  <c r="BX319" i="5"/>
  <c r="BW319" i="5"/>
  <c r="BV319" i="5"/>
  <c r="BR319" i="5"/>
  <c r="CD319" i="5"/>
  <c r="BY319" i="5"/>
  <c r="BI319" i="5"/>
  <c r="BK319" i="5"/>
  <c r="BT319" i="5"/>
  <c r="BU319" i="5"/>
  <c r="BS319" i="5"/>
  <c r="BM319" i="5"/>
  <c r="BJ319" i="5"/>
  <c r="BQ319" i="5"/>
  <c r="BH319" i="5"/>
  <c r="BE319" i="5"/>
  <c r="AY319" i="5"/>
  <c r="BL319" i="5"/>
  <c r="BA319" i="5"/>
  <c r="BP319" i="5" s="1"/>
  <c r="BG319" i="5"/>
  <c r="BF319" i="5"/>
  <c r="BD319" i="5"/>
  <c r="AZ319" i="5"/>
  <c r="AV319" i="5"/>
  <c r="BO319" i="5" s="1"/>
  <c r="AU319" i="5"/>
  <c r="CI383" i="5"/>
  <c r="CF383" i="5"/>
  <c r="CE383" i="5"/>
  <c r="CK383" i="5"/>
  <c r="CC383" i="5"/>
  <c r="CA383" i="5"/>
  <c r="BW383" i="5"/>
  <c r="BV383" i="5"/>
  <c r="CD383" i="5"/>
  <c r="BY383" i="5"/>
  <c r="BR383" i="5"/>
  <c r="BI383" i="5"/>
  <c r="BK383" i="5"/>
  <c r="BS383" i="5"/>
  <c r="BT383" i="5"/>
  <c r="BU383" i="5"/>
  <c r="BM383" i="5"/>
  <c r="BJ383" i="5"/>
  <c r="BE383" i="5"/>
  <c r="AY383" i="5"/>
  <c r="BQ383" i="5"/>
  <c r="BH383" i="5"/>
  <c r="BA383" i="5"/>
  <c r="BP383" i="5" s="1"/>
  <c r="BF383" i="5"/>
  <c r="BG383" i="5"/>
  <c r="BD383" i="5"/>
  <c r="AZ383" i="5"/>
  <c r="AV383" i="5"/>
  <c r="BO383" i="5" s="1"/>
  <c r="AU383" i="5"/>
  <c r="BB383" i="5" s="1"/>
  <c r="CI64" i="5"/>
  <c r="CE64" i="5"/>
  <c r="CA64" i="5"/>
  <c r="CK64" i="5"/>
  <c r="CF64" i="5"/>
  <c r="BW64" i="5"/>
  <c r="CC64" i="5"/>
  <c r="BY64" i="5"/>
  <c r="CD64" i="5"/>
  <c r="BT64" i="5"/>
  <c r="BV64" i="5"/>
  <c r="BQ64" i="5"/>
  <c r="BU64" i="5"/>
  <c r="BS64" i="5"/>
  <c r="BR64" i="5"/>
  <c r="BK64" i="5"/>
  <c r="BE64" i="5"/>
  <c r="BG64" i="5"/>
  <c r="BF64" i="5"/>
  <c r="BM64" i="5"/>
  <c r="BJ64" i="5"/>
  <c r="BH64" i="5"/>
  <c r="BI64" i="5"/>
  <c r="AY64" i="5"/>
  <c r="BD64" i="5"/>
  <c r="AZ64" i="5"/>
  <c r="BA64" i="5"/>
  <c r="BP64" i="5" s="1"/>
  <c r="AU64" i="5"/>
  <c r="BB64" i="5" s="1"/>
  <c r="AV64" i="5"/>
  <c r="BC64" i="5" s="1"/>
  <c r="CJ128" i="5"/>
  <c r="CK128" i="5"/>
  <c r="CE128" i="5"/>
  <c r="CA128" i="5"/>
  <c r="CG128" i="5"/>
  <c r="CI128" i="5"/>
  <c r="CF128" i="5"/>
  <c r="BZ128" i="5"/>
  <c r="CH128" i="5"/>
  <c r="CD128" i="5"/>
  <c r="BW128" i="5"/>
  <c r="BY128" i="5"/>
  <c r="BX128" i="5"/>
  <c r="CC128" i="5"/>
  <c r="BT128" i="5"/>
  <c r="BU128" i="5"/>
  <c r="BQ128" i="5"/>
  <c r="BV128" i="5"/>
  <c r="BK128" i="5"/>
  <c r="BE128" i="5"/>
  <c r="BS128" i="5"/>
  <c r="BR128" i="5"/>
  <c r="BL128" i="5"/>
  <c r="BG128" i="5"/>
  <c r="BF128" i="5"/>
  <c r="BM128" i="5"/>
  <c r="BI128" i="5"/>
  <c r="BJ128" i="5"/>
  <c r="BH128" i="5"/>
  <c r="AY128" i="5"/>
  <c r="BD128" i="5"/>
  <c r="AZ128" i="5"/>
  <c r="BA128" i="5"/>
  <c r="BP128" i="5" s="1"/>
  <c r="AU128" i="5"/>
  <c r="BN128" i="5" s="1"/>
  <c r="AV128" i="5"/>
  <c r="BO128" i="5" s="1"/>
  <c r="CK192" i="5"/>
  <c r="CI192" i="5"/>
  <c r="CG192" i="5"/>
  <c r="CF192" i="5"/>
  <c r="CE192" i="5"/>
  <c r="CA192" i="5"/>
  <c r="BZ192" i="5"/>
  <c r="BX192" i="5"/>
  <c r="BW192" i="5"/>
  <c r="CH192" i="5"/>
  <c r="BY192" i="5"/>
  <c r="CC192" i="5"/>
  <c r="BT192" i="5"/>
  <c r="CJ192" i="5"/>
  <c r="CD192" i="5"/>
  <c r="BV192" i="5"/>
  <c r="BQ192" i="5"/>
  <c r="BU192" i="5"/>
  <c r="BS192" i="5"/>
  <c r="BR192" i="5"/>
  <c r="BK192" i="5"/>
  <c r="BE192" i="5"/>
  <c r="BL192" i="5"/>
  <c r="BG192" i="5"/>
  <c r="BF192" i="5"/>
  <c r="BJ192" i="5"/>
  <c r="BH192" i="5"/>
  <c r="BM192" i="5"/>
  <c r="BI192" i="5"/>
  <c r="BD192" i="5"/>
  <c r="BA192" i="5"/>
  <c r="BP192" i="5" s="1"/>
  <c r="AY192" i="5"/>
  <c r="AZ192" i="5"/>
  <c r="AU192" i="5"/>
  <c r="BB192" i="5" s="1"/>
  <c r="AV192" i="5"/>
  <c r="BC192" i="5" s="1"/>
  <c r="CK256" i="5"/>
  <c r="CH256" i="5"/>
  <c r="CE256" i="5"/>
  <c r="CA256" i="5"/>
  <c r="CF256" i="5"/>
  <c r="CJ256" i="5"/>
  <c r="BZ256" i="5"/>
  <c r="BW256" i="5"/>
  <c r="BY256" i="5"/>
  <c r="CC256" i="5"/>
  <c r="BT256" i="5"/>
  <c r="CG256" i="5"/>
  <c r="CI256" i="5"/>
  <c r="CD256" i="5"/>
  <c r="BS256" i="5"/>
  <c r="BX256" i="5"/>
  <c r="BU256" i="5"/>
  <c r="BQ256" i="5"/>
  <c r="BV256" i="5"/>
  <c r="BK256" i="5"/>
  <c r="BE256" i="5"/>
  <c r="BR256" i="5"/>
  <c r="BG256" i="5"/>
  <c r="BF256" i="5"/>
  <c r="BL256" i="5"/>
  <c r="BI256" i="5"/>
  <c r="BJ256" i="5"/>
  <c r="BH256" i="5"/>
  <c r="BM256" i="5"/>
  <c r="BD256" i="5"/>
  <c r="AZ256" i="5"/>
  <c r="BA256" i="5"/>
  <c r="BP256" i="5" s="1"/>
  <c r="AY256" i="5"/>
  <c r="AU256" i="5"/>
  <c r="BB256" i="5" s="1"/>
  <c r="AV256" i="5"/>
  <c r="BO256" i="5" s="1"/>
  <c r="CI320" i="5"/>
  <c r="CE320" i="5"/>
  <c r="CA320" i="5"/>
  <c r="CK320" i="5"/>
  <c r="BW320" i="5"/>
  <c r="CD320" i="5"/>
  <c r="BY320" i="5"/>
  <c r="CC320" i="5"/>
  <c r="BT320" i="5"/>
  <c r="CF320" i="5"/>
  <c r="BQ320" i="5"/>
  <c r="BV320" i="5"/>
  <c r="BU320" i="5"/>
  <c r="BR320" i="5"/>
  <c r="BK320" i="5"/>
  <c r="BE320" i="5"/>
  <c r="BS320" i="5"/>
  <c r="BG320" i="5"/>
  <c r="BF320" i="5"/>
  <c r="BM320" i="5"/>
  <c r="BH320" i="5"/>
  <c r="BI320" i="5"/>
  <c r="BJ320" i="5"/>
  <c r="BD320" i="5"/>
  <c r="AY320" i="5"/>
  <c r="AZ320" i="5"/>
  <c r="BA320" i="5"/>
  <c r="BP320" i="5" s="1"/>
  <c r="AU320" i="5"/>
  <c r="AV320" i="5"/>
  <c r="BO320" i="5" s="1"/>
  <c r="CK384" i="5"/>
  <c r="CG384" i="5"/>
  <c r="CE384" i="5"/>
  <c r="CA384" i="5"/>
  <c r="CI384" i="5"/>
  <c r="CH384" i="5"/>
  <c r="BW384" i="5"/>
  <c r="BY384" i="5"/>
  <c r="CJ384" i="5"/>
  <c r="BT384" i="5"/>
  <c r="CC384" i="5"/>
  <c r="CF384" i="5"/>
  <c r="CD384" i="5"/>
  <c r="BZ384" i="5"/>
  <c r="BX384" i="5"/>
  <c r="BV384" i="5"/>
  <c r="BU384" i="5"/>
  <c r="BQ384" i="5"/>
  <c r="BS384" i="5"/>
  <c r="BK384" i="5"/>
  <c r="BE384" i="5"/>
  <c r="BG384" i="5"/>
  <c r="BR384" i="5"/>
  <c r="BL384" i="5"/>
  <c r="BF384" i="5"/>
  <c r="BM384" i="5"/>
  <c r="BJ384" i="5"/>
  <c r="BH384" i="5"/>
  <c r="BI384" i="5"/>
  <c r="BD384" i="5"/>
  <c r="AZ384" i="5"/>
  <c r="AY384" i="5"/>
  <c r="BA384" i="5"/>
  <c r="BP384" i="5" s="1"/>
  <c r="AU384" i="5"/>
  <c r="AV384" i="5"/>
  <c r="BC384" i="5" s="1"/>
  <c r="CB294" i="5"/>
  <c r="CK41" i="5"/>
  <c r="CI41" i="5"/>
  <c r="CD41" i="5"/>
  <c r="CF41" i="5"/>
  <c r="CC41" i="5"/>
  <c r="CE41" i="5"/>
  <c r="BY41" i="5"/>
  <c r="CA41" i="5"/>
  <c r="BV41" i="5"/>
  <c r="BQ41" i="5"/>
  <c r="BU41" i="5"/>
  <c r="BH41" i="5"/>
  <c r="BW41" i="5"/>
  <c r="BM41" i="5"/>
  <c r="BJ41" i="5"/>
  <c r="BS41" i="5"/>
  <c r="BT41" i="5"/>
  <c r="BI41" i="5"/>
  <c r="BR41" i="5"/>
  <c r="BD41" i="5"/>
  <c r="AZ41" i="5"/>
  <c r="BF41" i="5"/>
  <c r="BK41" i="5"/>
  <c r="BG41" i="5"/>
  <c r="BA41" i="5"/>
  <c r="BP41" i="5" s="1"/>
  <c r="BE41" i="5"/>
  <c r="AY41" i="5"/>
  <c r="AV41" i="5"/>
  <c r="BC41" i="5" s="1"/>
  <c r="AU41" i="5"/>
  <c r="BB41" i="5" s="1"/>
  <c r="CK105" i="5"/>
  <c r="CI105" i="5"/>
  <c r="CD105" i="5"/>
  <c r="CF105" i="5"/>
  <c r="CE105" i="5"/>
  <c r="CA105" i="5"/>
  <c r="BY105" i="5"/>
  <c r="CC105" i="5"/>
  <c r="BV105" i="5"/>
  <c r="BQ105" i="5"/>
  <c r="BW105" i="5"/>
  <c r="BH105" i="5"/>
  <c r="BU105" i="5"/>
  <c r="BM105" i="5"/>
  <c r="BJ105" i="5"/>
  <c r="BR105" i="5"/>
  <c r="BS105" i="5"/>
  <c r="BI105" i="5"/>
  <c r="BT105" i="5"/>
  <c r="BD105" i="5"/>
  <c r="AZ105" i="5"/>
  <c r="BK105" i="5"/>
  <c r="BG105" i="5"/>
  <c r="BF105" i="5"/>
  <c r="AY105" i="5"/>
  <c r="BA105" i="5"/>
  <c r="BP105" i="5" s="1"/>
  <c r="BE105" i="5"/>
  <c r="AV105" i="5"/>
  <c r="BC105" i="5" s="1"/>
  <c r="AU105" i="5"/>
  <c r="CK169" i="5"/>
  <c r="CG169" i="5"/>
  <c r="CF169" i="5"/>
  <c r="CI169" i="5"/>
  <c r="CC169" i="5"/>
  <c r="BY169" i="5"/>
  <c r="CD169" i="5"/>
  <c r="CE169" i="5"/>
  <c r="CA169" i="5"/>
  <c r="BV169" i="5"/>
  <c r="BQ169" i="5"/>
  <c r="BW169" i="5"/>
  <c r="BH169" i="5"/>
  <c r="BM169" i="5"/>
  <c r="BJ169" i="5"/>
  <c r="BT169" i="5"/>
  <c r="BI169" i="5"/>
  <c r="BU169" i="5"/>
  <c r="BR169" i="5"/>
  <c r="BS169" i="5"/>
  <c r="BD169" i="5"/>
  <c r="AZ169" i="5"/>
  <c r="BF169" i="5"/>
  <c r="BK169" i="5"/>
  <c r="BG169" i="5"/>
  <c r="BE169" i="5"/>
  <c r="BA169" i="5"/>
  <c r="BP169" i="5" s="1"/>
  <c r="AY169" i="5"/>
  <c r="AV169" i="5"/>
  <c r="BO169" i="5" s="1"/>
  <c r="AU169" i="5"/>
  <c r="BN169" i="5" s="1"/>
  <c r="CK233" i="5"/>
  <c r="CF233" i="5"/>
  <c r="CI233" i="5"/>
  <c r="CE233" i="5"/>
  <c r="CA233" i="5"/>
  <c r="BY233" i="5"/>
  <c r="BV233" i="5"/>
  <c r="CD233" i="5"/>
  <c r="BQ233" i="5"/>
  <c r="CC233" i="5"/>
  <c r="BH233" i="5"/>
  <c r="BW233" i="5"/>
  <c r="BM233" i="5"/>
  <c r="BJ233" i="5"/>
  <c r="BU233" i="5"/>
  <c r="BS233" i="5"/>
  <c r="BR233" i="5"/>
  <c r="BI233" i="5"/>
  <c r="BT233" i="5"/>
  <c r="BD233" i="5"/>
  <c r="AZ233" i="5"/>
  <c r="BG233" i="5"/>
  <c r="BK233" i="5"/>
  <c r="BF233" i="5"/>
  <c r="BE233" i="5"/>
  <c r="AY233" i="5"/>
  <c r="BA233" i="5"/>
  <c r="BP233" i="5" s="1"/>
  <c r="AV233" i="5"/>
  <c r="BO233" i="5" s="1"/>
  <c r="AU233" i="5"/>
  <c r="BB233" i="5" s="1"/>
  <c r="CK297" i="5"/>
  <c r="CJ297" i="5"/>
  <c r="CH297" i="5"/>
  <c r="CG297" i="5"/>
  <c r="CI297" i="5"/>
  <c r="CF297" i="5"/>
  <c r="CC297" i="5"/>
  <c r="CE297" i="5"/>
  <c r="BY297" i="5"/>
  <c r="CA297" i="5"/>
  <c r="BV297" i="5"/>
  <c r="BZ297" i="5"/>
  <c r="BQ297" i="5"/>
  <c r="CD297" i="5"/>
  <c r="BS297" i="5"/>
  <c r="BW297" i="5"/>
  <c r="BH297" i="5"/>
  <c r="BX297" i="5"/>
  <c r="BM297" i="5"/>
  <c r="BJ297" i="5"/>
  <c r="BU297" i="5"/>
  <c r="BI297" i="5"/>
  <c r="BR297" i="5"/>
  <c r="BT297" i="5"/>
  <c r="BD297" i="5"/>
  <c r="AZ297" i="5"/>
  <c r="BK297" i="5"/>
  <c r="BF297" i="5"/>
  <c r="BG297" i="5"/>
  <c r="BL297" i="5"/>
  <c r="BA297" i="5"/>
  <c r="BP297" i="5" s="1"/>
  <c r="BE297" i="5"/>
  <c r="AY297" i="5"/>
  <c r="AV297" i="5"/>
  <c r="BO297" i="5" s="1"/>
  <c r="AU297" i="5"/>
  <c r="BN297" i="5" s="1"/>
  <c r="CJ361" i="5"/>
  <c r="CK361" i="5"/>
  <c r="CI361" i="5"/>
  <c r="CG361" i="5"/>
  <c r="CF361" i="5"/>
  <c r="CE361" i="5"/>
  <c r="CH361" i="5"/>
  <c r="CA361" i="5"/>
  <c r="BY361" i="5"/>
  <c r="BX361" i="5"/>
  <c r="BV361" i="5"/>
  <c r="BQ361" i="5"/>
  <c r="CD361" i="5"/>
  <c r="BS361" i="5"/>
  <c r="BZ361" i="5"/>
  <c r="BL361" i="5"/>
  <c r="BH361" i="5"/>
  <c r="BW361" i="5"/>
  <c r="CC361" i="5"/>
  <c r="BM361" i="5"/>
  <c r="BJ361" i="5"/>
  <c r="BR361" i="5"/>
  <c r="BT361" i="5"/>
  <c r="BI361" i="5"/>
  <c r="BU361" i="5"/>
  <c r="BD361" i="5"/>
  <c r="AZ361" i="5"/>
  <c r="BG361" i="5"/>
  <c r="BK361" i="5"/>
  <c r="BF361" i="5"/>
  <c r="BE361" i="5"/>
  <c r="AY361" i="5"/>
  <c r="BA361" i="5"/>
  <c r="BP361" i="5" s="1"/>
  <c r="AV361" i="5"/>
  <c r="BO361" i="5" s="1"/>
  <c r="AU361" i="5"/>
  <c r="BB361" i="5" s="1"/>
  <c r="BC74" i="5"/>
  <c r="CK170" i="5"/>
  <c r="CJ170" i="5"/>
  <c r="CI170" i="5"/>
  <c r="CE170" i="5"/>
  <c r="CD170" i="5"/>
  <c r="BZ170" i="5"/>
  <c r="CF170" i="5"/>
  <c r="CH170" i="5"/>
  <c r="CG170" i="5"/>
  <c r="CA170" i="5"/>
  <c r="BV170" i="5"/>
  <c r="BW170" i="5"/>
  <c r="BU170" i="5"/>
  <c r="BX170" i="5"/>
  <c r="BS170" i="5"/>
  <c r="CC170" i="5"/>
  <c r="BY170" i="5"/>
  <c r="BL170" i="5"/>
  <c r="BT170" i="5"/>
  <c r="BK170" i="5"/>
  <c r="BD170" i="5"/>
  <c r="BR170" i="5"/>
  <c r="BM170" i="5"/>
  <c r="BJ170" i="5"/>
  <c r="BF170" i="5"/>
  <c r="BG170" i="5"/>
  <c r="BE170" i="5"/>
  <c r="BQ170" i="5"/>
  <c r="BH170" i="5"/>
  <c r="BI170" i="5"/>
  <c r="AZ170" i="5"/>
  <c r="BA170" i="5"/>
  <c r="BP170" i="5" s="1"/>
  <c r="AY170" i="5"/>
  <c r="AV170" i="5"/>
  <c r="BO170" i="5" s="1"/>
  <c r="AU170" i="5"/>
  <c r="BN170" i="5" s="1"/>
  <c r="CK234" i="5"/>
  <c r="CI234" i="5"/>
  <c r="CE234" i="5"/>
  <c r="CD234" i="5"/>
  <c r="CF234" i="5"/>
  <c r="CA234" i="5"/>
  <c r="BV234" i="5"/>
  <c r="CC234" i="5"/>
  <c r="BW234" i="5"/>
  <c r="BU234" i="5"/>
  <c r="BS234" i="5"/>
  <c r="BY234" i="5"/>
  <c r="BR234" i="5"/>
  <c r="BK234" i="5"/>
  <c r="BD234" i="5"/>
  <c r="BT234" i="5"/>
  <c r="BM234" i="5"/>
  <c r="BJ234" i="5"/>
  <c r="BF234" i="5"/>
  <c r="BH234" i="5"/>
  <c r="BE234" i="5"/>
  <c r="BQ234" i="5"/>
  <c r="BG234" i="5"/>
  <c r="BI234" i="5"/>
  <c r="AZ234" i="5"/>
  <c r="BA234" i="5"/>
  <c r="BP234" i="5" s="1"/>
  <c r="AY234" i="5"/>
  <c r="AV234" i="5"/>
  <c r="BC234" i="5" s="1"/>
  <c r="AU234" i="5"/>
  <c r="BB234" i="5" s="1"/>
  <c r="CK298" i="5"/>
  <c r="CG298" i="5"/>
  <c r="CJ298" i="5"/>
  <c r="CI298" i="5"/>
  <c r="CE298" i="5"/>
  <c r="CD298" i="5"/>
  <c r="BZ298" i="5"/>
  <c r="CF298" i="5"/>
  <c r="CH298" i="5"/>
  <c r="CA298" i="5"/>
  <c r="BV298" i="5"/>
  <c r="BX298" i="5"/>
  <c r="BW298" i="5"/>
  <c r="BU298" i="5"/>
  <c r="CC298" i="5"/>
  <c r="BY298" i="5"/>
  <c r="BT298" i="5"/>
  <c r="BS298" i="5"/>
  <c r="BK298" i="5"/>
  <c r="BR298" i="5"/>
  <c r="BM298" i="5"/>
  <c r="BJ298" i="5"/>
  <c r="BF298" i="5"/>
  <c r="BQ298" i="5"/>
  <c r="BE298" i="5"/>
  <c r="BH298" i="5"/>
  <c r="BL298" i="5"/>
  <c r="BI298" i="5"/>
  <c r="BG298" i="5"/>
  <c r="BD298" i="5"/>
  <c r="AZ298" i="5"/>
  <c r="AY298" i="5"/>
  <c r="BA298" i="5"/>
  <c r="BP298" i="5" s="1"/>
  <c r="AV298" i="5"/>
  <c r="BC298" i="5" s="1"/>
  <c r="AU298" i="5"/>
  <c r="CK362" i="5"/>
  <c r="CJ362" i="5"/>
  <c r="CG362" i="5"/>
  <c r="CF362" i="5"/>
  <c r="CE362" i="5"/>
  <c r="CD362" i="5"/>
  <c r="CI362" i="5"/>
  <c r="CH362" i="5"/>
  <c r="CA362" i="5"/>
  <c r="BV362" i="5"/>
  <c r="BW362" i="5"/>
  <c r="BU362" i="5"/>
  <c r="CC362" i="5"/>
  <c r="BZ362" i="5"/>
  <c r="BY362" i="5"/>
  <c r="BX362" i="5"/>
  <c r="BR362" i="5"/>
  <c r="BT362" i="5"/>
  <c r="BK362" i="5"/>
  <c r="BS362" i="5"/>
  <c r="BM362" i="5"/>
  <c r="BJ362" i="5"/>
  <c r="BF362" i="5"/>
  <c r="BH362" i="5"/>
  <c r="BE362" i="5"/>
  <c r="BQ362" i="5"/>
  <c r="BL362" i="5"/>
  <c r="BG362" i="5"/>
  <c r="BI362" i="5"/>
  <c r="BD362" i="5"/>
  <c r="AZ362" i="5"/>
  <c r="BA362" i="5"/>
  <c r="BP362" i="5" s="1"/>
  <c r="AY362" i="5"/>
  <c r="AV362" i="5"/>
  <c r="BO362" i="5" s="1"/>
  <c r="AU362" i="5"/>
  <c r="BC43" i="5"/>
  <c r="CK107" i="5"/>
  <c r="CI107" i="5"/>
  <c r="CA107" i="5"/>
  <c r="CE107" i="5"/>
  <c r="CC107" i="5"/>
  <c r="BW107" i="5"/>
  <c r="BY107" i="5"/>
  <c r="CF107" i="5"/>
  <c r="CD107" i="5"/>
  <c r="BR107" i="5"/>
  <c r="BT107" i="5"/>
  <c r="BQ107" i="5"/>
  <c r="BK107" i="5"/>
  <c r="BG107" i="5"/>
  <c r="BV107" i="5"/>
  <c r="BU107" i="5"/>
  <c r="BI107" i="5"/>
  <c r="BS107" i="5"/>
  <c r="BA107" i="5"/>
  <c r="BP107" i="5" s="1"/>
  <c r="BF107" i="5"/>
  <c r="AY107" i="5"/>
  <c r="BE107" i="5"/>
  <c r="BM107" i="5"/>
  <c r="BJ107" i="5"/>
  <c r="BH107" i="5"/>
  <c r="BD107" i="5"/>
  <c r="AZ107" i="5"/>
  <c r="AV107" i="5"/>
  <c r="AU107" i="5"/>
  <c r="BB107" i="5" s="1"/>
  <c r="CJ171" i="5"/>
  <c r="CH171" i="5"/>
  <c r="CI171" i="5"/>
  <c r="CG171" i="5"/>
  <c r="CF171" i="5"/>
  <c r="CA171" i="5"/>
  <c r="CE171" i="5"/>
  <c r="BZ171" i="5"/>
  <c r="CK171" i="5"/>
  <c r="CC171" i="5"/>
  <c r="BW171" i="5"/>
  <c r="BY171" i="5"/>
  <c r="CD171" i="5"/>
  <c r="BR171" i="5"/>
  <c r="BX171" i="5"/>
  <c r="BV171" i="5"/>
  <c r="BU171" i="5"/>
  <c r="BQ171" i="5"/>
  <c r="BK171" i="5"/>
  <c r="BG171" i="5"/>
  <c r="BT171" i="5"/>
  <c r="BI171" i="5"/>
  <c r="BS171" i="5"/>
  <c r="BA171" i="5"/>
  <c r="BP171" i="5" s="1"/>
  <c r="BF171" i="5"/>
  <c r="AY171" i="5"/>
  <c r="BJ171" i="5"/>
  <c r="BH171" i="5"/>
  <c r="BL171" i="5"/>
  <c r="BM171" i="5"/>
  <c r="BE171" i="5"/>
  <c r="BD171" i="5"/>
  <c r="AZ171" i="5"/>
  <c r="AV171" i="5"/>
  <c r="AU171" i="5"/>
  <c r="BB171" i="5" s="1"/>
  <c r="CJ235" i="5"/>
  <c r="CI235" i="5"/>
  <c r="CK235" i="5"/>
  <c r="CA235" i="5"/>
  <c r="CE235" i="5"/>
  <c r="CG235" i="5"/>
  <c r="CF235" i="5"/>
  <c r="CH235" i="5"/>
  <c r="BZ235" i="5"/>
  <c r="CC235" i="5"/>
  <c r="BW235" i="5"/>
  <c r="BY235" i="5"/>
  <c r="CD235" i="5"/>
  <c r="BX235" i="5"/>
  <c r="BR235" i="5"/>
  <c r="BV235" i="5"/>
  <c r="BT235" i="5"/>
  <c r="BQ235" i="5"/>
  <c r="BK235" i="5"/>
  <c r="BU235" i="5"/>
  <c r="BI235" i="5"/>
  <c r="BS235" i="5"/>
  <c r="BL235" i="5"/>
  <c r="BG235" i="5"/>
  <c r="BA235" i="5"/>
  <c r="BP235" i="5" s="1"/>
  <c r="BF235" i="5"/>
  <c r="AY235" i="5"/>
  <c r="BM235" i="5"/>
  <c r="BJ235" i="5"/>
  <c r="BH235" i="5"/>
  <c r="BE235" i="5"/>
  <c r="BD235" i="5"/>
  <c r="AZ235" i="5"/>
  <c r="AV235" i="5"/>
  <c r="AU235" i="5"/>
  <c r="BB235" i="5" s="1"/>
  <c r="CK299" i="5"/>
  <c r="CI299" i="5"/>
  <c r="CA299" i="5"/>
  <c r="CE299" i="5"/>
  <c r="CC299" i="5"/>
  <c r="BW299" i="5"/>
  <c r="BY299" i="5"/>
  <c r="CD299" i="5"/>
  <c r="CF299" i="5"/>
  <c r="BR299" i="5"/>
  <c r="BU299" i="5"/>
  <c r="BQ299" i="5"/>
  <c r="BK299" i="5"/>
  <c r="BV299" i="5"/>
  <c r="BT299" i="5"/>
  <c r="BI299" i="5"/>
  <c r="BS299" i="5"/>
  <c r="BG299" i="5"/>
  <c r="BA299" i="5"/>
  <c r="BP299" i="5" s="1"/>
  <c r="BF299" i="5"/>
  <c r="AY299" i="5"/>
  <c r="BM299" i="5"/>
  <c r="BJ299" i="5"/>
  <c r="BH299" i="5"/>
  <c r="BE299" i="5"/>
  <c r="BD299" i="5"/>
  <c r="AZ299" i="5"/>
  <c r="AV299" i="5"/>
  <c r="BC299" i="5" s="1"/>
  <c r="AU299" i="5"/>
  <c r="BB299" i="5" s="1"/>
  <c r="CJ363" i="5"/>
  <c r="CG363" i="5"/>
  <c r="CK363" i="5"/>
  <c r="CH363" i="5"/>
  <c r="CI363" i="5"/>
  <c r="CA363" i="5"/>
  <c r="CF363" i="5"/>
  <c r="CE363" i="5"/>
  <c r="CC363" i="5"/>
  <c r="BW363" i="5"/>
  <c r="BY363" i="5"/>
  <c r="BZ363" i="5"/>
  <c r="CD363" i="5"/>
  <c r="BR363" i="5"/>
  <c r="BT363" i="5"/>
  <c r="BQ363" i="5"/>
  <c r="BK363" i="5"/>
  <c r="BX363" i="5"/>
  <c r="BU363" i="5"/>
  <c r="BI363" i="5"/>
  <c r="BV363" i="5"/>
  <c r="BS363" i="5"/>
  <c r="BL363" i="5"/>
  <c r="BG363" i="5"/>
  <c r="BA363" i="5"/>
  <c r="BP363" i="5" s="1"/>
  <c r="BF363" i="5"/>
  <c r="AY363" i="5"/>
  <c r="BJ363" i="5"/>
  <c r="BH363" i="5"/>
  <c r="BM363" i="5"/>
  <c r="BE363" i="5"/>
  <c r="BD363" i="5"/>
  <c r="AZ363" i="5"/>
  <c r="AV363" i="5"/>
  <c r="BC363" i="5" s="1"/>
  <c r="AU363" i="5"/>
  <c r="BN363" i="5" s="1"/>
  <c r="BC6" i="5"/>
  <c r="CI52" i="5"/>
  <c r="CE52" i="5"/>
  <c r="CC52" i="5"/>
  <c r="CD52" i="5"/>
  <c r="CK52" i="5"/>
  <c r="CF52" i="5"/>
  <c r="CA52" i="5"/>
  <c r="BT52" i="5"/>
  <c r="BV52" i="5"/>
  <c r="BY52" i="5"/>
  <c r="BU52" i="5"/>
  <c r="BW52" i="5"/>
  <c r="BS52" i="5"/>
  <c r="BR52" i="5"/>
  <c r="BI52" i="5"/>
  <c r="BQ52" i="5"/>
  <c r="BM52" i="5"/>
  <c r="BJ52" i="5"/>
  <c r="BE52" i="5"/>
  <c r="BK52" i="5"/>
  <c r="BD52" i="5"/>
  <c r="BF52" i="5"/>
  <c r="BG52" i="5"/>
  <c r="BH52" i="5"/>
  <c r="AZ52" i="5"/>
  <c r="BA52" i="5"/>
  <c r="BP52" i="5" s="1"/>
  <c r="AY52" i="5"/>
  <c r="AV52" i="5"/>
  <c r="BO52" i="5" s="1"/>
  <c r="AU52" i="5"/>
  <c r="BB52" i="5" s="1"/>
  <c r="CI116" i="5"/>
  <c r="CK116" i="5"/>
  <c r="CE116" i="5"/>
  <c r="CC116" i="5"/>
  <c r="CF116" i="5"/>
  <c r="BT116" i="5"/>
  <c r="BV116" i="5"/>
  <c r="BY116" i="5"/>
  <c r="CD116" i="5"/>
  <c r="BS116" i="5"/>
  <c r="BU116" i="5"/>
  <c r="BW116" i="5"/>
  <c r="CA116" i="5"/>
  <c r="BQ116" i="5"/>
  <c r="BI116" i="5"/>
  <c r="BR116" i="5"/>
  <c r="BM116" i="5"/>
  <c r="BJ116" i="5"/>
  <c r="BE116" i="5"/>
  <c r="BK116" i="5"/>
  <c r="BD116" i="5"/>
  <c r="BH116" i="5"/>
  <c r="BG116" i="5"/>
  <c r="BF116" i="5"/>
  <c r="AZ116" i="5"/>
  <c r="BA116" i="5"/>
  <c r="BP116" i="5" s="1"/>
  <c r="AY116" i="5"/>
  <c r="AV116" i="5"/>
  <c r="BC116" i="5" s="1"/>
  <c r="AU116" i="5"/>
  <c r="BB116" i="5" s="1"/>
  <c r="CI180" i="5"/>
  <c r="CK180" i="5"/>
  <c r="CE180" i="5"/>
  <c r="CC180" i="5"/>
  <c r="CD180" i="5"/>
  <c r="BT180" i="5"/>
  <c r="BV180" i="5"/>
  <c r="CA180" i="5"/>
  <c r="CF180" i="5"/>
  <c r="BW180" i="5"/>
  <c r="BY180" i="5"/>
  <c r="BS180" i="5"/>
  <c r="BU180" i="5"/>
  <c r="BR180" i="5"/>
  <c r="BI180" i="5"/>
  <c r="BQ180" i="5"/>
  <c r="BM180" i="5"/>
  <c r="BJ180" i="5"/>
  <c r="BE180" i="5"/>
  <c r="BK180" i="5"/>
  <c r="BD180" i="5"/>
  <c r="BG180" i="5"/>
  <c r="BH180" i="5"/>
  <c r="BF180" i="5"/>
  <c r="AZ180" i="5"/>
  <c r="BA180" i="5"/>
  <c r="BP180" i="5" s="1"/>
  <c r="AY180" i="5"/>
  <c r="AV180" i="5"/>
  <c r="AU180" i="5"/>
  <c r="CI244" i="5"/>
  <c r="CE244" i="5"/>
  <c r="CK244" i="5"/>
  <c r="CC244" i="5"/>
  <c r="CF244" i="5"/>
  <c r="CD244" i="5"/>
  <c r="BT244" i="5"/>
  <c r="BV244" i="5"/>
  <c r="CA244" i="5"/>
  <c r="BY244" i="5"/>
  <c r="BW244" i="5"/>
  <c r="BS244" i="5"/>
  <c r="BQ244" i="5"/>
  <c r="BI244" i="5"/>
  <c r="BG244" i="5"/>
  <c r="BU244" i="5"/>
  <c r="BR244" i="5"/>
  <c r="BM244" i="5"/>
  <c r="BJ244" i="5"/>
  <c r="BE244" i="5"/>
  <c r="BK244" i="5"/>
  <c r="BD244" i="5"/>
  <c r="BH244" i="5"/>
  <c r="BF244" i="5"/>
  <c r="BA244" i="5"/>
  <c r="BP244" i="5" s="1"/>
  <c r="AY244" i="5"/>
  <c r="AZ244" i="5"/>
  <c r="AV244" i="5"/>
  <c r="AU244" i="5"/>
  <c r="BN244" i="5" s="1"/>
  <c r="CJ308" i="5"/>
  <c r="CI308" i="5"/>
  <c r="CE308" i="5"/>
  <c r="CK308" i="5"/>
  <c r="CC308" i="5"/>
  <c r="CH308" i="5"/>
  <c r="CF308" i="5"/>
  <c r="CG308" i="5"/>
  <c r="BZ308" i="5"/>
  <c r="BX308" i="5"/>
  <c r="CD308" i="5"/>
  <c r="CA308" i="5"/>
  <c r="BT308" i="5"/>
  <c r="BV308" i="5"/>
  <c r="BY308" i="5"/>
  <c r="BL308" i="5"/>
  <c r="BW308" i="5"/>
  <c r="BS308" i="5"/>
  <c r="BR308" i="5"/>
  <c r="BI308" i="5"/>
  <c r="BG308" i="5"/>
  <c r="BU308" i="5"/>
  <c r="BQ308" i="5"/>
  <c r="BM308" i="5"/>
  <c r="BJ308" i="5"/>
  <c r="BE308" i="5"/>
  <c r="BK308" i="5"/>
  <c r="BH308" i="5"/>
  <c r="BD308" i="5"/>
  <c r="BF308" i="5"/>
  <c r="AZ308" i="5"/>
  <c r="BA308" i="5"/>
  <c r="BP308" i="5" s="1"/>
  <c r="AY308" i="5"/>
  <c r="AV308" i="5"/>
  <c r="BO308" i="5" s="1"/>
  <c r="AU308" i="5"/>
  <c r="BN308" i="5" s="1"/>
  <c r="CI372" i="5"/>
  <c r="CK372" i="5"/>
  <c r="CE372" i="5"/>
  <c r="CC372" i="5"/>
  <c r="CF372" i="5"/>
  <c r="CA372" i="5"/>
  <c r="BT372" i="5"/>
  <c r="BV372" i="5"/>
  <c r="CD372" i="5"/>
  <c r="BY372" i="5"/>
  <c r="BW372" i="5"/>
  <c r="BU372" i="5"/>
  <c r="BQ372" i="5"/>
  <c r="BI372" i="5"/>
  <c r="BG372" i="5"/>
  <c r="BS372" i="5"/>
  <c r="BR372" i="5"/>
  <c r="BM372" i="5"/>
  <c r="BJ372" i="5"/>
  <c r="BE372" i="5"/>
  <c r="BK372" i="5"/>
  <c r="BH372" i="5"/>
  <c r="BD372" i="5"/>
  <c r="BF372" i="5"/>
  <c r="AY372" i="5"/>
  <c r="AZ372" i="5"/>
  <c r="BA372" i="5"/>
  <c r="BP372" i="5" s="1"/>
  <c r="AV372" i="5"/>
  <c r="BC372" i="5" s="1"/>
  <c r="AU372" i="5"/>
  <c r="BB372" i="5" s="1"/>
  <c r="CK101" i="5"/>
  <c r="CF101" i="5"/>
  <c r="CI101" i="5"/>
  <c r="CE101" i="5"/>
  <c r="BV101" i="5"/>
  <c r="CC101" i="5"/>
  <c r="BY101" i="5"/>
  <c r="CD101" i="5"/>
  <c r="BW101" i="5"/>
  <c r="BQ101" i="5"/>
  <c r="BS101" i="5"/>
  <c r="BM101" i="5"/>
  <c r="BJ101" i="5"/>
  <c r="BU101" i="5"/>
  <c r="CA101" i="5"/>
  <c r="BT101" i="5"/>
  <c r="BH101" i="5"/>
  <c r="BR101" i="5"/>
  <c r="BK101" i="5"/>
  <c r="BF101" i="5"/>
  <c r="AZ101" i="5"/>
  <c r="BE101" i="5"/>
  <c r="BG101" i="5"/>
  <c r="BI101" i="5"/>
  <c r="BD101" i="5"/>
  <c r="BA101" i="5"/>
  <c r="BP101" i="5" s="1"/>
  <c r="AU101" i="5"/>
  <c r="AY101" i="5"/>
  <c r="AV101" i="5"/>
  <c r="CK357" i="5"/>
  <c r="CJ357" i="5"/>
  <c r="CH357" i="5"/>
  <c r="CF357" i="5"/>
  <c r="CI357" i="5"/>
  <c r="CG357" i="5"/>
  <c r="CD357" i="5"/>
  <c r="CE357" i="5"/>
  <c r="BV357" i="5"/>
  <c r="CC357" i="5"/>
  <c r="BY357" i="5"/>
  <c r="BW357" i="5"/>
  <c r="CA357" i="5"/>
  <c r="BX357" i="5"/>
  <c r="BS357" i="5"/>
  <c r="BZ357" i="5"/>
  <c r="BQ357" i="5"/>
  <c r="BM357" i="5"/>
  <c r="BJ357" i="5"/>
  <c r="BT357" i="5"/>
  <c r="BL357" i="5"/>
  <c r="BH357" i="5"/>
  <c r="BU357" i="5"/>
  <c r="BR357" i="5"/>
  <c r="BK357" i="5"/>
  <c r="BF357" i="5"/>
  <c r="BD357" i="5"/>
  <c r="AZ357" i="5"/>
  <c r="BE357" i="5"/>
  <c r="BG357" i="5"/>
  <c r="BI357" i="5"/>
  <c r="BA357" i="5"/>
  <c r="BP357" i="5" s="1"/>
  <c r="AU357" i="5"/>
  <c r="BN357" i="5" s="1"/>
  <c r="AY357" i="5"/>
  <c r="AV357" i="5"/>
  <c r="BC357" i="5" s="1"/>
  <c r="CJ223" i="5"/>
  <c r="CI223" i="5"/>
  <c r="CE223" i="5"/>
  <c r="CH223" i="5"/>
  <c r="CC223" i="5"/>
  <c r="CK223" i="5"/>
  <c r="CG223" i="5"/>
  <c r="CA223" i="5"/>
  <c r="CD223" i="5"/>
  <c r="BX223" i="5"/>
  <c r="BW223" i="5"/>
  <c r="BZ223" i="5"/>
  <c r="BV223" i="5"/>
  <c r="BY223" i="5"/>
  <c r="BR223" i="5"/>
  <c r="CF223" i="5"/>
  <c r="BI223" i="5"/>
  <c r="BS223" i="5"/>
  <c r="BK223" i="5"/>
  <c r="BT223" i="5"/>
  <c r="BU223" i="5"/>
  <c r="BL223" i="5"/>
  <c r="BQ223" i="5"/>
  <c r="BM223" i="5"/>
  <c r="BJ223" i="5"/>
  <c r="BE223" i="5"/>
  <c r="AY223" i="5"/>
  <c r="BD223" i="5"/>
  <c r="BA223" i="5"/>
  <c r="BP223" i="5" s="1"/>
  <c r="BG223" i="5"/>
  <c r="BH223" i="5"/>
  <c r="BF223" i="5"/>
  <c r="AZ223" i="5"/>
  <c r="AV223" i="5"/>
  <c r="BC223" i="5" s="1"/>
  <c r="AU223" i="5"/>
  <c r="BN223" i="5" s="1"/>
  <c r="CJ160" i="5"/>
  <c r="CK160" i="5"/>
  <c r="CH160" i="5"/>
  <c r="CG160" i="5"/>
  <c r="CE160" i="5"/>
  <c r="CA160" i="5"/>
  <c r="CF160" i="5"/>
  <c r="CI160" i="5"/>
  <c r="BZ160" i="5"/>
  <c r="CD160" i="5"/>
  <c r="BW160" i="5"/>
  <c r="CC160" i="5"/>
  <c r="BY160" i="5"/>
  <c r="BT160" i="5"/>
  <c r="BQ160" i="5"/>
  <c r="BV160" i="5"/>
  <c r="BX160" i="5"/>
  <c r="BL160" i="5"/>
  <c r="BR160" i="5"/>
  <c r="BU160" i="5"/>
  <c r="BS160" i="5"/>
  <c r="BK160" i="5"/>
  <c r="BE160" i="5"/>
  <c r="BJ160" i="5"/>
  <c r="BM160" i="5"/>
  <c r="BF160" i="5"/>
  <c r="BI160" i="5"/>
  <c r="BG160" i="5"/>
  <c r="BD160" i="5"/>
  <c r="BH160" i="5"/>
  <c r="BA160" i="5"/>
  <c r="BP160" i="5" s="1"/>
  <c r="AZ160" i="5"/>
  <c r="AY160" i="5"/>
  <c r="AV160" i="5"/>
  <c r="AU160" i="5"/>
  <c r="BN160" i="5" s="1"/>
  <c r="CK137" i="5"/>
  <c r="CI137" i="5"/>
  <c r="CD137" i="5"/>
  <c r="CF137" i="5"/>
  <c r="BY137" i="5"/>
  <c r="CA137" i="5"/>
  <c r="CE137" i="5"/>
  <c r="BV137" i="5"/>
  <c r="BQ137" i="5"/>
  <c r="CC137" i="5"/>
  <c r="BU137" i="5"/>
  <c r="BT137" i="5"/>
  <c r="BH137" i="5"/>
  <c r="BW137" i="5"/>
  <c r="BS137" i="5"/>
  <c r="BM137" i="5"/>
  <c r="BJ137" i="5"/>
  <c r="BR137" i="5"/>
  <c r="BI137" i="5"/>
  <c r="BK137" i="5"/>
  <c r="BD137" i="5"/>
  <c r="AZ137" i="5"/>
  <c r="BE137" i="5"/>
  <c r="BG137" i="5"/>
  <c r="BF137" i="5"/>
  <c r="BA137" i="5"/>
  <c r="BP137" i="5" s="1"/>
  <c r="AY137" i="5"/>
  <c r="AU137" i="5"/>
  <c r="AV137" i="5"/>
  <c r="BO137" i="5" s="1"/>
  <c r="CK117" i="5"/>
  <c r="CJ117" i="5"/>
  <c r="CH117" i="5"/>
  <c r="CF117" i="5"/>
  <c r="CI117" i="5"/>
  <c r="CG117" i="5"/>
  <c r="CE117" i="5"/>
  <c r="BZ117" i="5"/>
  <c r="CA117" i="5"/>
  <c r="CC117" i="5"/>
  <c r="BV117" i="5"/>
  <c r="BY117" i="5"/>
  <c r="BX117" i="5"/>
  <c r="CD117" i="5"/>
  <c r="BW117" i="5"/>
  <c r="BQ117" i="5"/>
  <c r="BM117" i="5"/>
  <c r="BJ117" i="5"/>
  <c r="BL117" i="5"/>
  <c r="BH117" i="5"/>
  <c r="BS117" i="5"/>
  <c r="BR117" i="5"/>
  <c r="BU117" i="5"/>
  <c r="BT117" i="5"/>
  <c r="BK117" i="5"/>
  <c r="BE117" i="5"/>
  <c r="AZ117" i="5"/>
  <c r="BF117" i="5"/>
  <c r="BD117" i="5"/>
  <c r="BI117" i="5"/>
  <c r="BG117" i="5"/>
  <c r="BA117" i="5"/>
  <c r="BP117" i="5" s="1"/>
  <c r="AY117" i="5"/>
  <c r="AU117" i="5"/>
  <c r="BN117" i="5" s="1"/>
  <c r="AV117" i="5"/>
  <c r="BC117" i="5" s="1"/>
  <c r="CK309" i="5"/>
  <c r="CF309" i="5"/>
  <c r="CJ309" i="5"/>
  <c r="CI309" i="5"/>
  <c r="CG309" i="5"/>
  <c r="CE309" i="5"/>
  <c r="CH309" i="5"/>
  <c r="CD309" i="5"/>
  <c r="CA309" i="5"/>
  <c r="BV309" i="5"/>
  <c r="CC309" i="5"/>
  <c r="BY309" i="5"/>
  <c r="BW309" i="5"/>
  <c r="BZ309" i="5"/>
  <c r="BS309" i="5"/>
  <c r="BQ309" i="5"/>
  <c r="BX309" i="5"/>
  <c r="BM309" i="5"/>
  <c r="BJ309" i="5"/>
  <c r="BH309" i="5"/>
  <c r="BU309" i="5"/>
  <c r="BK309" i="5"/>
  <c r="BT309" i="5"/>
  <c r="BR309" i="5"/>
  <c r="BE309" i="5"/>
  <c r="BD309" i="5"/>
  <c r="AZ309" i="5"/>
  <c r="BF309" i="5"/>
  <c r="BL309" i="5"/>
  <c r="BG309" i="5"/>
  <c r="BI309" i="5"/>
  <c r="BA309" i="5"/>
  <c r="BP309" i="5" s="1"/>
  <c r="AU309" i="5"/>
  <c r="BN309" i="5" s="1"/>
  <c r="AY309" i="5"/>
  <c r="AV309" i="5"/>
  <c r="BC309" i="5" s="1"/>
  <c r="CK13" i="5"/>
  <c r="CF13" i="5"/>
  <c r="CI13" i="5"/>
  <c r="CE13" i="5"/>
  <c r="CD13" i="5"/>
  <c r="CC13" i="5"/>
  <c r="BV13" i="5"/>
  <c r="CA13" i="5"/>
  <c r="BT13" i="5"/>
  <c r="BY13" i="5"/>
  <c r="BU13" i="5"/>
  <c r="BQ13" i="5"/>
  <c r="BW13" i="5"/>
  <c r="BM13" i="5"/>
  <c r="BJ13" i="5"/>
  <c r="BH13" i="5"/>
  <c r="BS13" i="5"/>
  <c r="BR13" i="5"/>
  <c r="BG13" i="5"/>
  <c r="AZ13" i="5"/>
  <c r="BK13" i="5"/>
  <c r="BI13" i="5"/>
  <c r="BF13" i="5"/>
  <c r="BA13" i="5"/>
  <c r="BP13" i="5" s="1"/>
  <c r="BD13" i="5"/>
  <c r="BE13" i="5"/>
  <c r="AY13" i="5"/>
  <c r="AV13" i="5"/>
  <c r="BO13" i="5" s="1"/>
  <c r="AU13" i="5"/>
  <c r="BN13" i="5" s="1"/>
  <c r="CK77" i="5"/>
  <c r="CJ77" i="5"/>
  <c r="CI77" i="5"/>
  <c r="CF77" i="5"/>
  <c r="CG77" i="5"/>
  <c r="BZ77" i="5"/>
  <c r="CH77" i="5"/>
  <c r="CE77" i="5"/>
  <c r="CA77" i="5"/>
  <c r="BV77" i="5"/>
  <c r="BX77" i="5"/>
  <c r="CD77" i="5"/>
  <c r="BT77" i="5"/>
  <c r="CC77" i="5"/>
  <c r="BU77" i="5"/>
  <c r="BQ77" i="5"/>
  <c r="BM77" i="5"/>
  <c r="BL77" i="5"/>
  <c r="BJ77" i="5"/>
  <c r="BW77" i="5"/>
  <c r="BY77" i="5"/>
  <c r="BH77" i="5"/>
  <c r="BR77" i="5"/>
  <c r="BS77" i="5"/>
  <c r="BG77" i="5"/>
  <c r="AZ77" i="5"/>
  <c r="BK77" i="5"/>
  <c r="BI77" i="5"/>
  <c r="BF77" i="5"/>
  <c r="BA77" i="5"/>
  <c r="BP77" i="5" s="1"/>
  <c r="AY77" i="5"/>
  <c r="BD77" i="5"/>
  <c r="BE77" i="5"/>
  <c r="AU77" i="5"/>
  <c r="BN77" i="5" s="1"/>
  <c r="AV77" i="5"/>
  <c r="BC77" i="5" s="1"/>
  <c r="CK141" i="5"/>
  <c r="CI141" i="5"/>
  <c r="CF141" i="5"/>
  <c r="CD141" i="5"/>
  <c r="CC141" i="5"/>
  <c r="BV141" i="5"/>
  <c r="CA141" i="5"/>
  <c r="BT141" i="5"/>
  <c r="CE141" i="5"/>
  <c r="BU141" i="5"/>
  <c r="BQ141" i="5"/>
  <c r="BM141" i="5"/>
  <c r="BJ141" i="5"/>
  <c r="BY141" i="5"/>
  <c r="BW141" i="5"/>
  <c r="BH141" i="5"/>
  <c r="BS141" i="5"/>
  <c r="BR141" i="5"/>
  <c r="BG141" i="5"/>
  <c r="AZ141" i="5"/>
  <c r="BI141" i="5"/>
  <c r="BF141" i="5"/>
  <c r="BK141" i="5"/>
  <c r="BA141" i="5"/>
  <c r="BP141" i="5" s="1"/>
  <c r="BE141" i="5"/>
  <c r="BD141" i="5"/>
  <c r="AY141" i="5"/>
  <c r="AU141" i="5"/>
  <c r="BB141" i="5" s="1"/>
  <c r="AV141" i="5"/>
  <c r="BC141" i="5" s="1"/>
  <c r="CK205" i="5"/>
  <c r="CI205" i="5"/>
  <c r="CF205" i="5"/>
  <c r="CD205" i="5"/>
  <c r="CE205" i="5"/>
  <c r="CA205" i="5"/>
  <c r="BV205" i="5"/>
  <c r="CC205" i="5"/>
  <c r="BY205" i="5"/>
  <c r="BT205" i="5"/>
  <c r="BU205" i="5"/>
  <c r="BQ205" i="5"/>
  <c r="BW205" i="5"/>
  <c r="BM205" i="5"/>
  <c r="BJ205" i="5"/>
  <c r="BH205" i="5"/>
  <c r="BR205" i="5"/>
  <c r="BS205" i="5"/>
  <c r="BG205" i="5"/>
  <c r="AZ205" i="5"/>
  <c r="BK205" i="5"/>
  <c r="BI205" i="5"/>
  <c r="BF205" i="5"/>
  <c r="BA205" i="5"/>
  <c r="BP205" i="5" s="1"/>
  <c r="BD205" i="5"/>
  <c r="AY205" i="5"/>
  <c r="BE205" i="5"/>
  <c r="AU205" i="5"/>
  <c r="BN205" i="5" s="1"/>
  <c r="AV205" i="5"/>
  <c r="BC205" i="5" s="1"/>
  <c r="CJ269" i="5"/>
  <c r="CK269" i="5"/>
  <c r="CI269" i="5"/>
  <c r="CF269" i="5"/>
  <c r="CG269" i="5"/>
  <c r="CD269" i="5"/>
  <c r="BZ269" i="5"/>
  <c r="CC269" i="5"/>
  <c r="CE269" i="5"/>
  <c r="BV269" i="5"/>
  <c r="CA269" i="5"/>
  <c r="CH269" i="5"/>
  <c r="BX269" i="5"/>
  <c r="BY269" i="5"/>
  <c r="BT269" i="5"/>
  <c r="BS269" i="5"/>
  <c r="BU269" i="5"/>
  <c r="BQ269" i="5"/>
  <c r="BM269" i="5"/>
  <c r="BJ269" i="5"/>
  <c r="BW269" i="5"/>
  <c r="BH269" i="5"/>
  <c r="BR269" i="5"/>
  <c r="BD269" i="5"/>
  <c r="AZ269" i="5"/>
  <c r="BL269" i="5"/>
  <c r="BF269" i="5"/>
  <c r="BK269" i="5"/>
  <c r="BI269" i="5"/>
  <c r="BG269" i="5"/>
  <c r="BA269" i="5"/>
  <c r="BP269" i="5" s="1"/>
  <c r="BE269" i="5"/>
  <c r="AY269" i="5"/>
  <c r="AU269" i="5"/>
  <c r="BB269" i="5" s="1"/>
  <c r="AV269" i="5"/>
  <c r="BC269" i="5" s="1"/>
  <c r="CK333" i="5"/>
  <c r="CI333" i="5"/>
  <c r="CF333" i="5"/>
  <c r="CG333" i="5"/>
  <c r="CH333" i="5"/>
  <c r="CJ333" i="5"/>
  <c r="CD333" i="5"/>
  <c r="CE333" i="5"/>
  <c r="BX333" i="5"/>
  <c r="CA333" i="5"/>
  <c r="BV333" i="5"/>
  <c r="CC333" i="5"/>
  <c r="BT333" i="5"/>
  <c r="BS333" i="5"/>
  <c r="BU333" i="5"/>
  <c r="BQ333" i="5"/>
  <c r="BY333" i="5"/>
  <c r="BW333" i="5"/>
  <c r="BZ333" i="5"/>
  <c r="BM333" i="5"/>
  <c r="BJ333" i="5"/>
  <c r="BH333" i="5"/>
  <c r="BR333" i="5"/>
  <c r="BL333" i="5"/>
  <c r="BD333" i="5"/>
  <c r="AZ333" i="5"/>
  <c r="BK333" i="5"/>
  <c r="BI333" i="5"/>
  <c r="BG333" i="5"/>
  <c r="BF333" i="5"/>
  <c r="BA333" i="5"/>
  <c r="BP333" i="5" s="1"/>
  <c r="AY333" i="5"/>
  <c r="BE333" i="5"/>
  <c r="AU333" i="5"/>
  <c r="BN333" i="5" s="1"/>
  <c r="AV333" i="5"/>
  <c r="BO333" i="5" s="1"/>
  <c r="BX7" i="5"/>
  <c r="CI71" i="5"/>
  <c r="CK71" i="5"/>
  <c r="CE71" i="5"/>
  <c r="CC71" i="5"/>
  <c r="CF71" i="5"/>
  <c r="CD71" i="5"/>
  <c r="CA71" i="5"/>
  <c r="BS71" i="5"/>
  <c r="BR71" i="5"/>
  <c r="BY71" i="5"/>
  <c r="BT71" i="5"/>
  <c r="BW71" i="5"/>
  <c r="BU71" i="5"/>
  <c r="BI71" i="5"/>
  <c r="BV71" i="5"/>
  <c r="BK71" i="5"/>
  <c r="BG71" i="5"/>
  <c r="BQ71" i="5"/>
  <c r="AY71" i="5"/>
  <c r="BA71" i="5"/>
  <c r="BP71" i="5" s="1"/>
  <c r="BM71" i="5"/>
  <c r="BF71" i="5"/>
  <c r="BJ71" i="5"/>
  <c r="BE71" i="5"/>
  <c r="BH71" i="5"/>
  <c r="AZ71" i="5"/>
  <c r="BD71" i="5"/>
  <c r="AV71" i="5"/>
  <c r="BO71" i="5" s="1"/>
  <c r="AU71" i="5"/>
  <c r="BB71" i="5" s="1"/>
  <c r="CK135" i="5"/>
  <c r="CE135" i="5"/>
  <c r="CF135" i="5"/>
  <c r="CC135" i="5"/>
  <c r="CI135" i="5"/>
  <c r="CD135" i="5"/>
  <c r="BS135" i="5"/>
  <c r="BR135" i="5"/>
  <c r="BT135" i="5"/>
  <c r="CA135" i="5"/>
  <c r="BV135" i="5"/>
  <c r="BY135" i="5"/>
  <c r="BI135" i="5"/>
  <c r="BW135" i="5"/>
  <c r="BU135" i="5"/>
  <c r="BK135" i="5"/>
  <c r="BG135" i="5"/>
  <c r="AY135" i="5"/>
  <c r="BQ135" i="5"/>
  <c r="BA135" i="5"/>
  <c r="BP135" i="5" s="1"/>
  <c r="BJ135" i="5"/>
  <c r="BH135" i="5"/>
  <c r="BE135" i="5"/>
  <c r="BM135" i="5"/>
  <c r="BF135" i="5"/>
  <c r="AZ135" i="5"/>
  <c r="BD135" i="5"/>
  <c r="AV135" i="5"/>
  <c r="AU135" i="5"/>
  <c r="BN135" i="5" s="1"/>
  <c r="CI199" i="5"/>
  <c r="CE199" i="5"/>
  <c r="CK199" i="5"/>
  <c r="CC199" i="5"/>
  <c r="CF199" i="5"/>
  <c r="CD199" i="5"/>
  <c r="CA199" i="5"/>
  <c r="BS199" i="5"/>
  <c r="BR199" i="5"/>
  <c r="BT199" i="5"/>
  <c r="BY199" i="5"/>
  <c r="BW199" i="5"/>
  <c r="BU199" i="5"/>
  <c r="BI199" i="5"/>
  <c r="BV199" i="5"/>
  <c r="BK199" i="5"/>
  <c r="BG199" i="5"/>
  <c r="BQ199" i="5"/>
  <c r="AY199" i="5"/>
  <c r="BA199" i="5"/>
  <c r="BP199" i="5" s="1"/>
  <c r="BF199" i="5"/>
  <c r="BJ199" i="5"/>
  <c r="BH199" i="5"/>
  <c r="BM199" i="5"/>
  <c r="AZ199" i="5"/>
  <c r="BD199" i="5"/>
  <c r="BE199" i="5"/>
  <c r="AV199" i="5"/>
  <c r="BC199" i="5" s="1"/>
  <c r="AU199" i="5"/>
  <c r="CK263" i="5"/>
  <c r="CI263" i="5"/>
  <c r="CE263" i="5"/>
  <c r="CC263" i="5"/>
  <c r="CF263" i="5"/>
  <c r="CD263" i="5"/>
  <c r="BY263" i="5"/>
  <c r="BR263" i="5"/>
  <c r="CA263" i="5"/>
  <c r="BT263" i="5"/>
  <c r="BW263" i="5"/>
  <c r="BI263" i="5"/>
  <c r="BV263" i="5"/>
  <c r="BU263" i="5"/>
  <c r="BS263" i="5"/>
  <c r="BK263" i="5"/>
  <c r="BQ263" i="5"/>
  <c r="AY263" i="5"/>
  <c r="BA263" i="5"/>
  <c r="BP263" i="5" s="1"/>
  <c r="BM263" i="5"/>
  <c r="BH263" i="5"/>
  <c r="BG263" i="5"/>
  <c r="BF263" i="5"/>
  <c r="BJ263" i="5"/>
  <c r="AZ263" i="5"/>
  <c r="BD263" i="5"/>
  <c r="BE263" i="5"/>
  <c r="AV263" i="5"/>
  <c r="BO263" i="5" s="1"/>
  <c r="AU263" i="5"/>
  <c r="CK327" i="5"/>
  <c r="CE327" i="5"/>
  <c r="CC327" i="5"/>
  <c r="CI327" i="5"/>
  <c r="CD327" i="5"/>
  <c r="CF327" i="5"/>
  <c r="CA327" i="5"/>
  <c r="BY327" i="5"/>
  <c r="BR327" i="5"/>
  <c r="BT327" i="5"/>
  <c r="BV327" i="5"/>
  <c r="BU327" i="5"/>
  <c r="BI327" i="5"/>
  <c r="BW327" i="5"/>
  <c r="BS327" i="5"/>
  <c r="BK327" i="5"/>
  <c r="AY327" i="5"/>
  <c r="BQ327" i="5"/>
  <c r="BA327" i="5"/>
  <c r="BP327" i="5" s="1"/>
  <c r="BM327" i="5"/>
  <c r="BJ327" i="5"/>
  <c r="BF327" i="5"/>
  <c r="BH327" i="5"/>
  <c r="BG327" i="5"/>
  <c r="AZ327" i="5"/>
  <c r="BE327" i="5"/>
  <c r="BD327" i="5"/>
  <c r="AV327" i="5"/>
  <c r="BC327" i="5" s="1"/>
  <c r="AU327" i="5"/>
  <c r="BN327" i="5" s="1"/>
  <c r="CJ391" i="5"/>
  <c r="CG391" i="5"/>
  <c r="CE391" i="5"/>
  <c r="CF391" i="5"/>
  <c r="CC391" i="5"/>
  <c r="CK391" i="5"/>
  <c r="CI391" i="5"/>
  <c r="CD391" i="5"/>
  <c r="BZ391" i="5"/>
  <c r="CH391" i="5"/>
  <c r="CA391" i="5"/>
  <c r="BR391" i="5"/>
  <c r="BT391" i="5"/>
  <c r="BW391" i="5"/>
  <c r="BY391" i="5"/>
  <c r="BI391" i="5"/>
  <c r="BX391" i="5"/>
  <c r="BU391" i="5"/>
  <c r="BS391" i="5"/>
  <c r="BK391" i="5"/>
  <c r="BV391" i="5"/>
  <c r="BQ391" i="5"/>
  <c r="AY391" i="5"/>
  <c r="BL391" i="5"/>
  <c r="BA391" i="5"/>
  <c r="BP391" i="5" s="1"/>
  <c r="BG391" i="5"/>
  <c r="BM391" i="5"/>
  <c r="BJ391" i="5"/>
  <c r="BH391" i="5"/>
  <c r="BF391" i="5"/>
  <c r="AZ391" i="5"/>
  <c r="BD391" i="5"/>
  <c r="BE391" i="5"/>
  <c r="AV391" i="5"/>
  <c r="BC391" i="5" s="1"/>
  <c r="AU391" i="5"/>
  <c r="BN391" i="5" s="1"/>
  <c r="CJ8" i="5"/>
  <c r="CK8" i="5"/>
  <c r="CF8" i="5"/>
  <c r="CA8" i="5"/>
  <c r="CI8" i="5"/>
  <c r="CH8" i="5"/>
  <c r="CD8" i="5"/>
  <c r="CC8" i="5"/>
  <c r="CG8" i="5"/>
  <c r="BZ8" i="5"/>
  <c r="BW8" i="5"/>
  <c r="CE8" i="5"/>
  <c r="BT8" i="5"/>
  <c r="BY8" i="5"/>
  <c r="BU8" i="5"/>
  <c r="BX8" i="5"/>
  <c r="BV8" i="5"/>
  <c r="BS8" i="5"/>
  <c r="BR8" i="5"/>
  <c r="BG8" i="5"/>
  <c r="BE8" i="5"/>
  <c r="BL8" i="5"/>
  <c r="BH8" i="5"/>
  <c r="BQ8" i="5"/>
  <c r="BM8" i="5"/>
  <c r="BI8" i="5"/>
  <c r="BA8" i="5"/>
  <c r="BP8" i="5" s="1"/>
  <c r="BJ8" i="5"/>
  <c r="BK8" i="5"/>
  <c r="BF8" i="5"/>
  <c r="BD8" i="5"/>
  <c r="AY8" i="5"/>
  <c r="AZ8" i="5"/>
  <c r="AV8" i="5"/>
  <c r="BO8" i="5" s="1"/>
  <c r="AU8" i="5"/>
  <c r="BB8" i="5" s="1"/>
  <c r="CI72" i="5"/>
  <c r="CF72" i="5"/>
  <c r="CA72" i="5"/>
  <c r="CD72" i="5"/>
  <c r="CE72" i="5"/>
  <c r="CC72" i="5"/>
  <c r="BW72" i="5"/>
  <c r="CK72" i="5"/>
  <c r="BT72" i="5"/>
  <c r="BY72" i="5"/>
  <c r="BU72" i="5"/>
  <c r="BV72" i="5"/>
  <c r="BG72" i="5"/>
  <c r="BE72" i="5"/>
  <c r="BS72" i="5"/>
  <c r="BR72" i="5"/>
  <c r="BH72" i="5"/>
  <c r="BQ72" i="5"/>
  <c r="BM72" i="5"/>
  <c r="BK72" i="5"/>
  <c r="BI72" i="5"/>
  <c r="BF72" i="5"/>
  <c r="BA72" i="5"/>
  <c r="BP72" i="5" s="1"/>
  <c r="BJ72" i="5"/>
  <c r="AY72" i="5"/>
  <c r="BD72" i="5"/>
  <c r="AZ72" i="5"/>
  <c r="AU72" i="5"/>
  <c r="BN72" i="5" s="1"/>
  <c r="AV72" i="5"/>
  <c r="BO72" i="5" s="1"/>
  <c r="CI136" i="5"/>
  <c r="CF136" i="5"/>
  <c r="CA136" i="5"/>
  <c r="CD136" i="5"/>
  <c r="CE136" i="5"/>
  <c r="CK136" i="5"/>
  <c r="CC136" i="5"/>
  <c r="BW136" i="5"/>
  <c r="BT136" i="5"/>
  <c r="BY136" i="5"/>
  <c r="BU136" i="5"/>
  <c r="BV136" i="5"/>
  <c r="BS136" i="5"/>
  <c r="BR136" i="5"/>
  <c r="BG136" i="5"/>
  <c r="BE136" i="5"/>
  <c r="BH136" i="5"/>
  <c r="BM136" i="5"/>
  <c r="BQ136" i="5"/>
  <c r="BJ136" i="5"/>
  <c r="BA136" i="5"/>
  <c r="BP136" i="5" s="1"/>
  <c r="BK136" i="5"/>
  <c r="BI136" i="5"/>
  <c r="BF136" i="5"/>
  <c r="AY136" i="5"/>
  <c r="BD136" i="5"/>
  <c r="AZ136" i="5"/>
  <c r="AU136" i="5"/>
  <c r="BN136" i="5" s="1"/>
  <c r="AV136" i="5"/>
  <c r="BO136" i="5" s="1"/>
  <c r="CJ200" i="5"/>
  <c r="CI200" i="5"/>
  <c r="CK200" i="5"/>
  <c r="CG200" i="5"/>
  <c r="CF200" i="5"/>
  <c r="CA200" i="5"/>
  <c r="CE200" i="5"/>
  <c r="CC200" i="5"/>
  <c r="CH200" i="5"/>
  <c r="BW200" i="5"/>
  <c r="BT200" i="5"/>
  <c r="CD200" i="5"/>
  <c r="BX200" i="5"/>
  <c r="BU200" i="5"/>
  <c r="BY200" i="5"/>
  <c r="BV200" i="5"/>
  <c r="BZ200" i="5"/>
  <c r="BS200" i="5"/>
  <c r="BG200" i="5"/>
  <c r="BE200" i="5"/>
  <c r="BR200" i="5"/>
  <c r="BH200" i="5"/>
  <c r="BQ200" i="5"/>
  <c r="BL200" i="5"/>
  <c r="BM200" i="5"/>
  <c r="BK200" i="5"/>
  <c r="BI200" i="5"/>
  <c r="BF200" i="5"/>
  <c r="BA200" i="5"/>
  <c r="BP200" i="5" s="1"/>
  <c r="BJ200" i="5"/>
  <c r="BD200" i="5"/>
  <c r="AZ200" i="5"/>
  <c r="AY200" i="5"/>
  <c r="AU200" i="5"/>
  <c r="BN200" i="5" s="1"/>
  <c r="AV200" i="5"/>
  <c r="CJ264" i="5"/>
  <c r="CI264" i="5"/>
  <c r="CK264" i="5"/>
  <c r="CF264" i="5"/>
  <c r="CG264" i="5"/>
  <c r="CA264" i="5"/>
  <c r="CE264" i="5"/>
  <c r="CH264" i="5"/>
  <c r="CC264" i="5"/>
  <c r="BZ264" i="5"/>
  <c r="BX264" i="5"/>
  <c r="BW264" i="5"/>
  <c r="CD264" i="5"/>
  <c r="BT264" i="5"/>
  <c r="BU264" i="5"/>
  <c r="BV264" i="5"/>
  <c r="BL264" i="5"/>
  <c r="BY264" i="5"/>
  <c r="BR264" i="5"/>
  <c r="BE264" i="5"/>
  <c r="BS264" i="5"/>
  <c r="BH264" i="5"/>
  <c r="BG264" i="5"/>
  <c r="BM264" i="5"/>
  <c r="BQ264" i="5"/>
  <c r="BJ264" i="5"/>
  <c r="BK264" i="5"/>
  <c r="BA264" i="5"/>
  <c r="BP264" i="5" s="1"/>
  <c r="BI264" i="5"/>
  <c r="BF264" i="5"/>
  <c r="BD264" i="5"/>
  <c r="AY264" i="5"/>
  <c r="AZ264" i="5"/>
  <c r="AU264" i="5"/>
  <c r="BN264" i="5" s="1"/>
  <c r="AV264" i="5"/>
  <c r="BO264" i="5" s="1"/>
  <c r="CI328" i="5"/>
  <c r="CK328" i="5"/>
  <c r="CF328" i="5"/>
  <c r="CA328" i="5"/>
  <c r="CE328" i="5"/>
  <c r="CC328" i="5"/>
  <c r="BW328" i="5"/>
  <c r="CD328" i="5"/>
  <c r="BT328" i="5"/>
  <c r="BU328" i="5"/>
  <c r="BV328" i="5"/>
  <c r="BY328" i="5"/>
  <c r="BS328" i="5"/>
  <c r="BE328" i="5"/>
  <c r="BR328" i="5"/>
  <c r="BH328" i="5"/>
  <c r="BG328" i="5"/>
  <c r="BM328" i="5"/>
  <c r="BQ328" i="5"/>
  <c r="BJ328" i="5"/>
  <c r="BF328" i="5"/>
  <c r="BA328" i="5"/>
  <c r="BP328" i="5" s="1"/>
  <c r="BK328" i="5"/>
  <c r="BI328" i="5"/>
  <c r="BD328" i="5"/>
  <c r="AZ328" i="5"/>
  <c r="AY328" i="5"/>
  <c r="AU328" i="5"/>
  <c r="BN328" i="5" s="1"/>
  <c r="AV328" i="5"/>
  <c r="BO328" i="5" s="1"/>
  <c r="AT394" i="5"/>
  <c r="AT395" i="5" s="1"/>
  <c r="AS394" i="5"/>
  <c r="AS395" i="5" s="1"/>
  <c r="CI2" i="5"/>
  <c r="CF2" i="5"/>
  <c r="CA2" i="5"/>
  <c r="CE2" i="5"/>
  <c r="CC2" i="5"/>
  <c r="CK2" i="5"/>
  <c r="BW2" i="5"/>
  <c r="CD2" i="5"/>
  <c r="BT2" i="5"/>
  <c r="BU2" i="5"/>
  <c r="BY2" i="5"/>
  <c r="BV2" i="5"/>
  <c r="BE2" i="5"/>
  <c r="BS2" i="5"/>
  <c r="BH2" i="5"/>
  <c r="BG2" i="5"/>
  <c r="BQ2" i="5"/>
  <c r="BM2" i="5"/>
  <c r="BR2" i="5"/>
  <c r="BK2" i="5"/>
  <c r="BI2" i="5"/>
  <c r="BA2" i="5"/>
  <c r="BJ2" i="5"/>
  <c r="BF2" i="5"/>
  <c r="BD2" i="5"/>
  <c r="AY2" i="5"/>
  <c r="AZ2" i="5"/>
  <c r="AV2" i="5"/>
  <c r="AU2" i="5"/>
  <c r="BB2" i="5" s="1"/>
  <c r="CB374" i="5"/>
  <c r="CK49" i="5"/>
  <c r="CI49" i="5"/>
  <c r="CD49" i="5"/>
  <c r="CA49" i="5"/>
  <c r="CF49" i="5"/>
  <c r="CE49" i="5"/>
  <c r="BY49" i="5"/>
  <c r="CC49" i="5"/>
  <c r="BS49" i="5"/>
  <c r="BQ49" i="5"/>
  <c r="BW49" i="5"/>
  <c r="BR49" i="5"/>
  <c r="BH49" i="5"/>
  <c r="BV49" i="5"/>
  <c r="BU49" i="5"/>
  <c r="BM49" i="5"/>
  <c r="BJ49" i="5"/>
  <c r="BT49" i="5"/>
  <c r="BG49" i="5"/>
  <c r="AZ49" i="5"/>
  <c r="BK49" i="5"/>
  <c r="BI49" i="5"/>
  <c r="AY49" i="5"/>
  <c r="BF49" i="5"/>
  <c r="BD49" i="5"/>
  <c r="BE49" i="5"/>
  <c r="BA49" i="5"/>
  <c r="BP49" i="5" s="1"/>
  <c r="AU49" i="5"/>
  <c r="BN49" i="5" s="1"/>
  <c r="AV49" i="5"/>
  <c r="BC49" i="5" s="1"/>
  <c r="CK113" i="5"/>
  <c r="CI113" i="5"/>
  <c r="CD113" i="5"/>
  <c r="CF113" i="5"/>
  <c r="CA113" i="5"/>
  <c r="BY113" i="5"/>
  <c r="CE113" i="5"/>
  <c r="CC113" i="5"/>
  <c r="BS113" i="5"/>
  <c r="BQ113" i="5"/>
  <c r="BV113" i="5"/>
  <c r="BW113" i="5"/>
  <c r="BU113" i="5"/>
  <c r="BR113" i="5"/>
  <c r="BH113" i="5"/>
  <c r="BM113" i="5"/>
  <c r="BJ113" i="5"/>
  <c r="BT113" i="5"/>
  <c r="BG113" i="5"/>
  <c r="AZ113" i="5"/>
  <c r="BF113" i="5"/>
  <c r="BK113" i="5"/>
  <c r="AY113" i="5"/>
  <c r="BI113" i="5"/>
  <c r="BE113" i="5"/>
  <c r="BD113" i="5"/>
  <c r="BA113" i="5"/>
  <c r="BP113" i="5" s="1"/>
  <c r="AU113" i="5"/>
  <c r="BN113" i="5" s="1"/>
  <c r="AV113" i="5"/>
  <c r="CK177" i="5"/>
  <c r="CJ177" i="5"/>
  <c r="CI177" i="5"/>
  <c r="CH177" i="5"/>
  <c r="CG177" i="5"/>
  <c r="CF177" i="5"/>
  <c r="CA177" i="5"/>
  <c r="CE177" i="5"/>
  <c r="CD177" i="5"/>
  <c r="BY177" i="5"/>
  <c r="CC177" i="5"/>
  <c r="BS177" i="5"/>
  <c r="BQ177" i="5"/>
  <c r="BX177" i="5"/>
  <c r="BV177" i="5"/>
  <c r="BR177" i="5"/>
  <c r="BH177" i="5"/>
  <c r="BZ177" i="5"/>
  <c r="BW177" i="5"/>
  <c r="BU177" i="5"/>
  <c r="BM177" i="5"/>
  <c r="BL177" i="5"/>
  <c r="BJ177" i="5"/>
  <c r="BT177" i="5"/>
  <c r="BG177" i="5"/>
  <c r="AZ177" i="5"/>
  <c r="AY177" i="5"/>
  <c r="BK177" i="5"/>
  <c r="BF177" i="5"/>
  <c r="BI177" i="5"/>
  <c r="BE177" i="5"/>
  <c r="BD177" i="5"/>
  <c r="BA177" i="5"/>
  <c r="BP177" i="5" s="1"/>
  <c r="AU177" i="5"/>
  <c r="AV177" i="5"/>
  <c r="BO177" i="5" s="1"/>
  <c r="CK241" i="5"/>
  <c r="CI241" i="5"/>
  <c r="CF241" i="5"/>
  <c r="CA241" i="5"/>
  <c r="CD241" i="5"/>
  <c r="CE241" i="5"/>
  <c r="BY241" i="5"/>
  <c r="CC241" i="5"/>
  <c r="BS241" i="5"/>
  <c r="BQ241" i="5"/>
  <c r="BW241" i="5"/>
  <c r="BU241" i="5"/>
  <c r="BR241" i="5"/>
  <c r="BH241" i="5"/>
  <c r="BV241" i="5"/>
  <c r="BM241" i="5"/>
  <c r="BJ241" i="5"/>
  <c r="BT241" i="5"/>
  <c r="BG241" i="5"/>
  <c r="AZ241" i="5"/>
  <c r="BK241" i="5"/>
  <c r="BI241" i="5"/>
  <c r="BF241" i="5"/>
  <c r="AY241" i="5"/>
  <c r="BD241" i="5"/>
  <c r="BE241" i="5"/>
  <c r="BA241" i="5"/>
  <c r="BP241" i="5" s="1"/>
  <c r="AU241" i="5"/>
  <c r="BB241" i="5" s="1"/>
  <c r="AV241" i="5"/>
  <c r="BC241" i="5" s="1"/>
  <c r="CK305" i="5"/>
  <c r="CI305" i="5"/>
  <c r="CG305" i="5"/>
  <c r="CJ305" i="5"/>
  <c r="CH305" i="5"/>
  <c r="CA305" i="5"/>
  <c r="CE305" i="5"/>
  <c r="CD305" i="5"/>
  <c r="CF305" i="5"/>
  <c r="BY305" i="5"/>
  <c r="BZ305" i="5"/>
  <c r="CC305" i="5"/>
  <c r="BQ305" i="5"/>
  <c r="BS305" i="5"/>
  <c r="BV305" i="5"/>
  <c r="BR305" i="5"/>
  <c r="BH305" i="5"/>
  <c r="BW305" i="5"/>
  <c r="BX305" i="5"/>
  <c r="BU305" i="5"/>
  <c r="BM305" i="5"/>
  <c r="BJ305" i="5"/>
  <c r="BT305" i="5"/>
  <c r="BL305" i="5"/>
  <c r="BG305" i="5"/>
  <c r="BD305" i="5"/>
  <c r="AZ305" i="5"/>
  <c r="AY305" i="5"/>
  <c r="BK305" i="5"/>
  <c r="BI305" i="5"/>
  <c r="BF305" i="5"/>
  <c r="BE305" i="5"/>
  <c r="BA305" i="5"/>
  <c r="BP305" i="5" s="1"/>
  <c r="AU305" i="5"/>
  <c r="BB305" i="5" s="1"/>
  <c r="AV305" i="5"/>
  <c r="BC305" i="5" s="1"/>
  <c r="CJ369" i="5"/>
  <c r="CK369" i="5"/>
  <c r="CI369" i="5"/>
  <c r="CH369" i="5"/>
  <c r="CA369" i="5"/>
  <c r="CG369" i="5"/>
  <c r="CD369" i="5"/>
  <c r="BY369" i="5"/>
  <c r="BX369" i="5"/>
  <c r="BZ369" i="5"/>
  <c r="CF369" i="5"/>
  <c r="CC369" i="5"/>
  <c r="CE369" i="5"/>
  <c r="BQ369" i="5"/>
  <c r="BS369" i="5"/>
  <c r="BU369" i="5"/>
  <c r="BR369" i="5"/>
  <c r="BL369" i="5"/>
  <c r="BH369" i="5"/>
  <c r="BV369" i="5"/>
  <c r="BW369" i="5"/>
  <c r="BM369" i="5"/>
  <c r="BJ369" i="5"/>
  <c r="BT369" i="5"/>
  <c r="BG369" i="5"/>
  <c r="BD369" i="5"/>
  <c r="AZ369" i="5"/>
  <c r="BI369" i="5"/>
  <c r="BF369" i="5"/>
  <c r="AY369" i="5"/>
  <c r="BK369" i="5"/>
  <c r="BE369" i="5"/>
  <c r="BA369" i="5"/>
  <c r="BP369" i="5" s="1"/>
  <c r="AU369" i="5"/>
  <c r="BN369" i="5" s="1"/>
  <c r="AV369" i="5"/>
  <c r="BB58" i="5"/>
  <c r="BZ58" i="5" s="1"/>
  <c r="BB90" i="5"/>
  <c r="BZ90" i="5" s="1"/>
  <c r="CK178" i="5"/>
  <c r="CI178" i="5"/>
  <c r="CD178" i="5"/>
  <c r="CE178" i="5"/>
  <c r="CC178" i="5"/>
  <c r="CF178" i="5"/>
  <c r="BV178" i="5"/>
  <c r="BU178" i="5"/>
  <c r="BS178" i="5"/>
  <c r="CA178" i="5"/>
  <c r="BY178" i="5"/>
  <c r="BT178" i="5"/>
  <c r="BW178" i="5"/>
  <c r="BR178" i="5"/>
  <c r="BG178" i="5"/>
  <c r="BD178" i="5"/>
  <c r="BF178" i="5"/>
  <c r="BQ178" i="5"/>
  <c r="BM178" i="5"/>
  <c r="BI178" i="5"/>
  <c r="BJ178" i="5"/>
  <c r="BA178" i="5"/>
  <c r="BP178" i="5" s="1"/>
  <c r="BH178" i="5"/>
  <c r="BK178" i="5"/>
  <c r="AZ178" i="5"/>
  <c r="BE178" i="5"/>
  <c r="AY178" i="5"/>
  <c r="AV178" i="5"/>
  <c r="BO178" i="5" s="1"/>
  <c r="AU178" i="5"/>
  <c r="BN178" i="5" s="1"/>
  <c r="CK242" i="5"/>
  <c r="CJ242" i="5"/>
  <c r="CH242" i="5"/>
  <c r="CD242" i="5"/>
  <c r="BZ242" i="5"/>
  <c r="CI242" i="5"/>
  <c r="CG242" i="5"/>
  <c r="CF242" i="5"/>
  <c r="CE242" i="5"/>
  <c r="CC242" i="5"/>
  <c r="CA242" i="5"/>
  <c r="BV242" i="5"/>
  <c r="BU242" i="5"/>
  <c r="BX242" i="5"/>
  <c r="BS242" i="5"/>
  <c r="BY242" i="5"/>
  <c r="BT242" i="5"/>
  <c r="BW242" i="5"/>
  <c r="BL242" i="5"/>
  <c r="BD242" i="5"/>
  <c r="BR242" i="5"/>
  <c r="BF242" i="5"/>
  <c r="BQ242" i="5"/>
  <c r="BM242" i="5"/>
  <c r="BK242" i="5"/>
  <c r="BI242" i="5"/>
  <c r="BA242" i="5"/>
  <c r="BP242" i="5" s="1"/>
  <c r="BJ242" i="5"/>
  <c r="BH242" i="5"/>
  <c r="BG242" i="5"/>
  <c r="AZ242" i="5"/>
  <c r="BE242" i="5"/>
  <c r="AY242" i="5"/>
  <c r="AV242" i="5"/>
  <c r="AU242" i="5"/>
  <c r="BB242" i="5" s="1"/>
  <c r="CK306" i="5"/>
  <c r="CH306" i="5"/>
  <c r="CJ306" i="5"/>
  <c r="CD306" i="5"/>
  <c r="CI306" i="5"/>
  <c r="CF306" i="5"/>
  <c r="CE306" i="5"/>
  <c r="CC306" i="5"/>
  <c r="BV306" i="5"/>
  <c r="CG306" i="5"/>
  <c r="BU306" i="5"/>
  <c r="BX306" i="5"/>
  <c r="CA306" i="5"/>
  <c r="BT306" i="5"/>
  <c r="BZ306" i="5"/>
  <c r="BW306" i="5"/>
  <c r="BY306" i="5"/>
  <c r="BS306" i="5"/>
  <c r="BR306" i="5"/>
  <c r="BF306" i="5"/>
  <c r="BQ306" i="5"/>
  <c r="BL306" i="5"/>
  <c r="BJ306" i="5"/>
  <c r="BH306" i="5"/>
  <c r="BG306" i="5"/>
  <c r="BA306" i="5"/>
  <c r="BP306" i="5" s="1"/>
  <c r="BM306" i="5"/>
  <c r="BK306" i="5"/>
  <c r="BI306" i="5"/>
  <c r="AZ306" i="5"/>
  <c r="BE306" i="5"/>
  <c r="BD306" i="5"/>
  <c r="AY306" i="5"/>
  <c r="AV306" i="5"/>
  <c r="BO306" i="5" s="1"/>
  <c r="AU306" i="5"/>
  <c r="BN306" i="5" s="1"/>
  <c r="CK370" i="5"/>
  <c r="CJ370" i="5"/>
  <c r="CD370" i="5"/>
  <c r="CG370" i="5"/>
  <c r="CH370" i="5"/>
  <c r="CE370" i="5"/>
  <c r="CC370" i="5"/>
  <c r="CI370" i="5"/>
  <c r="CA370" i="5"/>
  <c r="BV370" i="5"/>
  <c r="CF370" i="5"/>
  <c r="BU370" i="5"/>
  <c r="BT370" i="5"/>
  <c r="BW370" i="5"/>
  <c r="BZ370" i="5"/>
  <c r="BY370" i="5"/>
  <c r="BX370" i="5"/>
  <c r="BS370" i="5"/>
  <c r="BF370" i="5"/>
  <c r="BQ370" i="5"/>
  <c r="BR370" i="5"/>
  <c r="BL370" i="5"/>
  <c r="BK370" i="5"/>
  <c r="BI370" i="5"/>
  <c r="BA370" i="5"/>
  <c r="BP370" i="5" s="1"/>
  <c r="BJ370" i="5"/>
  <c r="BH370" i="5"/>
  <c r="BM370" i="5"/>
  <c r="BG370" i="5"/>
  <c r="AZ370" i="5"/>
  <c r="BE370" i="5"/>
  <c r="BD370" i="5"/>
  <c r="AY370" i="5"/>
  <c r="AV370" i="5"/>
  <c r="BC370" i="5" s="1"/>
  <c r="AU370" i="5"/>
  <c r="BN370" i="5" s="1"/>
  <c r="CK115" i="5"/>
  <c r="CG115" i="5"/>
  <c r="CH115" i="5"/>
  <c r="CJ115" i="5"/>
  <c r="CD115" i="5"/>
  <c r="CA115" i="5"/>
  <c r="CI115" i="5"/>
  <c r="CE115" i="5"/>
  <c r="BW115" i="5"/>
  <c r="CF115" i="5"/>
  <c r="CC115" i="5"/>
  <c r="BU115" i="5"/>
  <c r="BR115" i="5"/>
  <c r="BX115" i="5"/>
  <c r="BV115" i="5"/>
  <c r="BK115" i="5"/>
  <c r="BG115" i="5"/>
  <c r="BZ115" i="5"/>
  <c r="BY115" i="5"/>
  <c r="BT115" i="5"/>
  <c r="BI115" i="5"/>
  <c r="BS115" i="5"/>
  <c r="BH115" i="5"/>
  <c r="BA115" i="5"/>
  <c r="BP115" i="5" s="1"/>
  <c r="BQ115" i="5"/>
  <c r="BM115" i="5"/>
  <c r="AY115" i="5"/>
  <c r="BJ115" i="5"/>
  <c r="BF115" i="5"/>
  <c r="BL115" i="5"/>
  <c r="BE115" i="5"/>
  <c r="BD115" i="5"/>
  <c r="AZ115" i="5"/>
  <c r="AV115" i="5"/>
  <c r="BO115" i="5" s="1"/>
  <c r="AU115" i="5"/>
  <c r="BN115" i="5" s="1"/>
  <c r="CK179" i="5"/>
  <c r="CI179" i="5"/>
  <c r="CF179" i="5"/>
  <c r="CA179" i="5"/>
  <c r="BW179" i="5"/>
  <c r="CD179" i="5"/>
  <c r="CC179" i="5"/>
  <c r="CE179" i="5"/>
  <c r="BU179" i="5"/>
  <c r="BR179" i="5"/>
  <c r="BT179" i="5"/>
  <c r="BK179" i="5"/>
  <c r="BG179" i="5"/>
  <c r="BY179" i="5"/>
  <c r="BV179" i="5"/>
  <c r="BI179" i="5"/>
  <c r="BS179" i="5"/>
  <c r="BH179" i="5"/>
  <c r="BQ179" i="5"/>
  <c r="BM179" i="5"/>
  <c r="BA179" i="5"/>
  <c r="BP179" i="5" s="1"/>
  <c r="AY179" i="5"/>
  <c r="BE179" i="5"/>
  <c r="BJ179" i="5"/>
  <c r="BF179" i="5"/>
  <c r="BD179" i="5"/>
  <c r="AZ179" i="5"/>
  <c r="AV179" i="5"/>
  <c r="BC179" i="5" s="1"/>
  <c r="AU179" i="5"/>
  <c r="BB179" i="5" s="1"/>
  <c r="CK243" i="5"/>
  <c r="CI243" i="5"/>
  <c r="CA243" i="5"/>
  <c r="CF243" i="5"/>
  <c r="CE243" i="5"/>
  <c r="BW243" i="5"/>
  <c r="CC243" i="5"/>
  <c r="BY243" i="5"/>
  <c r="CD243" i="5"/>
  <c r="BU243" i="5"/>
  <c r="BR243" i="5"/>
  <c r="BK243" i="5"/>
  <c r="BV243" i="5"/>
  <c r="BT243" i="5"/>
  <c r="BI243" i="5"/>
  <c r="BS243" i="5"/>
  <c r="BH243" i="5"/>
  <c r="BQ243" i="5"/>
  <c r="BA243" i="5"/>
  <c r="BP243" i="5" s="1"/>
  <c r="BM243" i="5"/>
  <c r="AY243" i="5"/>
  <c r="BG243" i="5"/>
  <c r="BF243" i="5"/>
  <c r="BJ243" i="5"/>
  <c r="BE243" i="5"/>
  <c r="BD243" i="5"/>
  <c r="AZ243" i="5"/>
  <c r="AV243" i="5"/>
  <c r="BO243" i="5" s="1"/>
  <c r="AU243" i="5"/>
  <c r="BN243" i="5" s="1"/>
  <c r="CK307" i="5"/>
  <c r="CI307" i="5"/>
  <c r="CA307" i="5"/>
  <c r="CF307" i="5"/>
  <c r="BW307" i="5"/>
  <c r="CE307" i="5"/>
  <c r="CD307" i="5"/>
  <c r="BY307" i="5"/>
  <c r="BU307" i="5"/>
  <c r="BR307" i="5"/>
  <c r="BV307" i="5"/>
  <c r="BT307" i="5"/>
  <c r="BK307" i="5"/>
  <c r="CC307" i="5"/>
  <c r="BI307" i="5"/>
  <c r="BS307" i="5"/>
  <c r="BH307" i="5"/>
  <c r="BM307" i="5"/>
  <c r="BA307" i="5"/>
  <c r="BP307" i="5" s="1"/>
  <c r="BQ307" i="5"/>
  <c r="AY307" i="5"/>
  <c r="BJ307" i="5"/>
  <c r="BE307" i="5"/>
  <c r="BG307" i="5"/>
  <c r="BF307" i="5"/>
  <c r="BD307" i="5"/>
  <c r="AZ307" i="5"/>
  <c r="AV307" i="5"/>
  <c r="BO307" i="5" s="1"/>
  <c r="AU307" i="5"/>
  <c r="CK371" i="5"/>
  <c r="CG371" i="5"/>
  <c r="CJ371" i="5"/>
  <c r="CI371" i="5"/>
  <c r="CH371" i="5"/>
  <c r="CA371" i="5"/>
  <c r="CF371" i="5"/>
  <c r="CE371" i="5"/>
  <c r="BW371" i="5"/>
  <c r="BX371" i="5"/>
  <c r="CD371" i="5"/>
  <c r="BU371" i="5"/>
  <c r="CC371" i="5"/>
  <c r="BR371" i="5"/>
  <c r="BZ371" i="5"/>
  <c r="BK371" i="5"/>
  <c r="BY371" i="5"/>
  <c r="BT371" i="5"/>
  <c r="BI371" i="5"/>
  <c r="BS371" i="5"/>
  <c r="BL371" i="5"/>
  <c r="BV371" i="5"/>
  <c r="BH371" i="5"/>
  <c r="BQ371" i="5"/>
  <c r="BA371" i="5"/>
  <c r="BP371" i="5" s="1"/>
  <c r="BM371" i="5"/>
  <c r="AY371" i="5"/>
  <c r="BG371" i="5"/>
  <c r="BF371" i="5"/>
  <c r="BJ371" i="5"/>
  <c r="BE371" i="5"/>
  <c r="BD371" i="5"/>
  <c r="AZ371" i="5"/>
  <c r="AV371" i="5"/>
  <c r="AU371" i="5"/>
  <c r="BB371" i="5" s="1"/>
  <c r="BO46" i="5"/>
  <c r="BB158" i="5"/>
  <c r="CJ60" i="5"/>
  <c r="CK60" i="5"/>
  <c r="CH60" i="5"/>
  <c r="CG60" i="5"/>
  <c r="CE60" i="5"/>
  <c r="CC60" i="5"/>
  <c r="CF60" i="5"/>
  <c r="CA60" i="5"/>
  <c r="CI60" i="5"/>
  <c r="BX60" i="5"/>
  <c r="CD60" i="5"/>
  <c r="BZ60" i="5"/>
  <c r="BT60" i="5"/>
  <c r="BY60" i="5"/>
  <c r="BS60" i="5"/>
  <c r="BV60" i="5"/>
  <c r="BR60" i="5"/>
  <c r="BW60" i="5"/>
  <c r="BU60" i="5"/>
  <c r="BQ60" i="5"/>
  <c r="BE60" i="5"/>
  <c r="BJ60" i="5"/>
  <c r="BL60" i="5"/>
  <c r="BM60" i="5"/>
  <c r="BK60" i="5"/>
  <c r="BH60" i="5"/>
  <c r="BD60" i="5"/>
  <c r="AY60" i="5"/>
  <c r="BF60" i="5"/>
  <c r="BI60" i="5"/>
  <c r="BG60" i="5"/>
  <c r="AZ60" i="5"/>
  <c r="BA60" i="5"/>
  <c r="BP60" i="5" s="1"/>
  <c r="AV60" i="5"/>
  <c r="BO60" i="5" s="1"/>
  <c r="AU60" i="5"/>
  <c r="BN60" i="5" s="1"/>
  <c r="CK124" i="5"/>
  <c r="CI124" i="5"/>
  <c r="CE124" i="5"/>
  <c r="CC124" i="5"/>
  <c r="CA124" i="5"/>
  <c r="CF124" i="5"/>
  <c r="CD124" i="5"/>
  <c r="BT124" i="5"/>
  <c r="BS124" i="5"/>
  <c r="BW124" i="5"/>
  <c r="BY124" i="5"/>
  <c r="BR124" i="5"/>
  <c r="BV124" i="5"/>
  <c r="BU124" i="5"/>
  <c r="BQ124" i="5"/>
  <c r="BE124" i="5"/>
  <c r="BM124" i="5"/>
  <c r="BK124" i="5"/>
  <c r="BJ124" i="5"/>
  <c r="BI124" i="5"/>
  <c r="BG124" i="5"/>
  <c r="AY124" i="5"/>
  <c r="BH124" i="5"/>
  <c r="BD124" i="5"/>
  <c r="AZ124" i="5"/>
  <c r="BF124" i="5"/>
  <c r="BA124" i="5"/>
  <c r="BP124" i="5" s="1"/>
  <c r="AV124" i="5"/>
  <c r="BC124" i="5" s="1"/>
  <c r="AU124" i="5"/>
  <c r="CK188" i="5"/>
  <c r="CI188" i="5"/>
  <c r="CE188" i="5"/>
  <c r="CC188" i="5"/>
  <c r="CA188" i="5"/>
  <c r="CD188" i="5"/>
  <c r="CF188" i="5"/>
  <c r="BT188" i="5"/>
  <c r="BS188" i="5"/>
  <c r="BV188" i="5"/>
  <c r="BW188" i="5"/>
  <c r="BR188" i="5"/>
  <c r="BY188" i="5"/>
  <c r="BQ188" i="5"/>
  <c r="BU188" i="5"/>
  <c r="BE188" i="5"/>
  <c r="BJ188" i="5"/>
  <c r="BM188" i="5"/>
  <c r="BK188" i="5"/>
  <c r="BH188" i="5"/>
  <c r="BD188" i="5"/>
  <c r="AY188" i="5"/>
  <c r="BI188" i="5"/>
  <c r="BG188" i="5"/>
  <c r="AZ188" i="5"/>
  <c r="BA188" i="5"/>
  <c r="BP188" i="5" s="1"/>
  <c r="BF188" i="5"/>
  <c r="AV188" i="5"/>
  <c r="BO188" i="5" s="1"/>
  <c r="AU188" i="5"/>
  <c r="CK252" i="5"/>
  <c r="CI252" i="5"/>
  <c r="CJ252" i="5"/>
  <c r="CE252" i="5"/>
  <c r="CH252" i="5"/>
  <c r="CF252" i="5"/>
  <c r="CC252" i="5"/>
  <c r="CG252" i="5"/>
  <c r="CA252" i="5"/>
  <c r="CD252" i="5"/>
  <c r="BX252" i="5"/>
  <c r="BT252" i="5"/>
  <c r="BS252" i="5"/>
  <c r="BY252" i="5"/>
  <c r="BV252" i="5"/>
  <c r="BR252" i="5"/>
  <c r="BZ252" i="5"/>
  <c r="BW252" i="5"/>
  <c r="BU252" i="5"/>
  <c r="BG252" i="5"/>
  <c r="BQ252" i="5"/>
  <c r="BE252" i="5"/>
  <c r="BM252" i="5"/>
  <c r="BK252" i="5"/>
  <c r="BJ252" i="5"/>
  <c r="AY252" i="5"/>
  <c r="BH252" i="5"/>
  <c r="BL252" i="5"/>
  <c r="BI252" i="5"/>
  <c r="BD252" i="5"/>
  <c r="AZ252" i="5"/>
  <c r="BF252" i="5"/>
  <c r="BA252" i="5"/>
  <c r="BP252" i="5" s="1"/>
  <c r="AV252" i="5"/>
  <c r="BO252" i="5" s="1"/>
  <c r="AU252" i="5"/>
  <c r="BB252" i="5" s="1"/>
  <c r="CK316" i="5"/>
  <c r="CI316" i="5"/>
  <c r="CE316" i="5"/>
  <c r="CC316" i="5"/>
  <c r="CA316" i="5"/>
  <c r="CD316" i="5"/>
  <c r="BT316" i="5"/>
  <c r="CF316" i="5"/>
  <c r="BY316" i="5"/>
  <c r="BW316" i="5"/>
  <c r="BR316" i="5"/>
  <c r="BV316" i="5"/>
  <c r="BS316" i="5"/>
  <c r="BU316" i="5"/>
  <c r="BQ316" i="5"/>
  <c r="BG316" i="5"/>
  <c r="BE316" i="5"/>
  <c r="BJ316" i="5"/>
  <c r="BM316" i="5"/>
  <c r="BK316" i="5"/>
  <c r="BI316" i="5"/>
  <c r="AY316" i="5"/>
  <c r="BH316" i="5"/>
  <c r="AZ316" i="5"/>
  <c r="BD316" i="5"/>
  <c r="BF316" i="5"/>
  <c r="BA316" i="5"/>
  <c r="BP316" i="5" s="1"/>
  <c r="AV316" i="5"/>
  <c r="BC316" i="5" s="1"/>
  <c r="AU316" i="5"/>
  <c r="BN316" i="5" s="1"/>
  <c r="CK380" i="5"/>
  <c r="CI380" i="5"/>
  <c r="CJ380" i="5"/>
  <c r="CH380" i="5"/>
  <c r="CE380" i="5"/>
  <c r="CC380" i="5"/>
  <c r="CF380" i="5"/>
  <c r="CA380" i="5"/>
  <c r="CD380" i="5"/>
  <c r="CG380" i="5"/>
  <c r="BZ380" i="5"/>
  <c r="BT380" i="5"/>
  <c r="BX380" i="5"/>
  <c r="BR380" i="5"/>
  <c r="BW380" i="5"/>
  <c r="BY380" i="5"/>
  <c r="BS380" i="5"/>
  <c r="BV380" i="5"/>
  <c r="BG380" i="5"/>
  <c r="BU380" i="5"/>
  <c r="BQ380" i="5"/>
  <c r="BL380" i="5"/>
  <c r="BE380" i="5"/>
  <c r="BM380" i="5"/>
  <c r="BK380" i="5"/>
  <c r="BJ380" i="5"/>
  <c r="BH380" i="5"/>
  <c r="AY380" i="5"/>
  <c r="BI380" i="5"/>
  <c r="AZ380" i="5"/>
  <c r="BF380" i="5"/>
  <c r="BD380" i="5"/>
  <c r="BA380" i="5"/>
  <c r="BP380" i="5" s="1"/>
  <c r="AV380" i="5"/>
  <c r="BC380" i="5" s="1"/>
  <c r="AU380" i="5"/>
  <c r="BN380" i="5" s="1"/>
  <c r="CK352" i="5"/>
  <c r="CE352" i="5"/>
  <c r="CA352" i="5"/>
  <c r="CI352" i="5"/>
  <c r="BW352" i="5"/>
  <c r="BY352" i="5"/>
  <c r="BT352" i="5"/>
  <c r="CF352" i="5"/>
  <c r="CC352" i="5"/>
  <c r="CD352" i="5"/>
  <c r="BQ352" i="5"/>
  <c r="BS352" i="5"/>
  <c r="BU352" i="5"/>
  <c r="BK352" i="5"/>
  <c r="BE352" i="5"/>
  <c r="BV352" i="5"/>
  <c r="BG352" i="5"/>
  <c r="BR352" i="5"/>
  <c r="BM352" i="5"/>
  <c r="BJ352" i="5"/>
  <c r="BF352" i="5"/>
  <c r="BI352" i="5"/>
  <c r="BH352" i="5"/>
  <c r="AZ352" i="5"/>
  <c r="BD352" i="5"/>
  <c r="BA352" i="5"/>
  <c r="BP352" i="5" s="1"/>
  <c r="AY352" i="5"/>
  <c r="AV352" i="5"/>
  <c r="BO352" i="5" s="1"/>
  <c r="AU352" i="5"/>
  <c r="CK201" i="5"/>
  <c r="CJ201" i="5"/>
  <c r="CH201" i="5"/>
  <c r="CF201" i="5"/>
  <c r="CI201" i="5"/>
  <c r="CG201" i="5"/>
  <c r="CE201" i="5"/>
  <c r="BY201" i="5"/>
  <c r="BX201" i="5"/>
  <c r="BZ201" i="5"/>
  <c r="CD201" i="5"/>
  <c r="BV201" i="5"/>
  <c r="BQ201" i="5"/>
  <c r="CC201" i="5"/>
  <c r="BW201" i="5"/>
  <c r="BS201" i="5"/>
  <c r="BH201" i="5"/>
  <c r="CA201" i="5"/>
  <c r="BT201" i="5"/>
  <c r="BM201" i="5"/>
  <c r="BJ201" i="5"/>
  <c r="BU201" i="5"/>
  <c r="BI201" i="5"/>
  <c r="BR201" i="5"/>
  <c r="BK201" i="5"/>
  <c r="BD201" i="5"/>
  <c r="AZ201" i="5"/>
  <c r="BL201" i="5"/>
  <c r="BG201" i="5"/>
  <c r="BE201" i="5"/>
  <c r="BF201" i="5"/>
  <c r="AY201" i="5"/>
  <c r="BA201" i="5"/>
  <c r="BP201" i="5" s="1"/>
  <c r="AU201" i="5"/>
  <c r="BN201" i="5" s="1"/>
  <c r="AV201" i="5"/>
  <c r="BO201" i="5" s="1"/>
  <c r="CK181" i="5"/>
  <c r="CF181" i="5"/>
  <c r="CI181" i="5"/>
  <c r="CE181" i="5"/>
  <c r="CD181" i="5"/>
  <c r="CA181" i="5"/>
  <c r="BV181" i="5"/>
  <c r="BY181" i="5"/>
  <c r="BW181" i="5"/>
  <c r="CC181" i="5"/>
  <c r="BQ181" i="5"/>
  <c r="BM181" i="5"/>
  <c r="BJ181" i="5"/>
  <c r="BH181" i="5"/>
  <c r="BU181" i="5"/>
  <c r="BS181" i="5"/>
  <c r="BK181" i="5"/>
  <c r="BR181" i="5"/>
  <c r="BT181" i="5"/>
  <c r="BE181" i="5"/>
  <c r="AZ181" i="5"/>
  <c r="BF181" i="5"/>
  <c r="BI181" i="5"/>
  <c r="BG181" i="5"/>
  <c r="BD181" i="5"/>
  <c r="BA181" i="5"/>
  <c r="BP181" i="5" s="1"/>
  <c r="AY181" i="5"/>
  <c r="AU181" i="5"/>
  <c r="BB181" i="5" s="1"/>
  <c r="AV181" i="5"/>
  <c r="BC181" i="5" s="1"/>
  <c r="CK245" i="5"/>
  <c r="CF245" i="5"/>
  <c r="CE245" i="5"/>
  <c r="CD245" i="5"/>
  <c r="CI245" i="5"/>
  <c r="CA245" i="5"/>
  <c r="CC245" i="5"/>
  <c r="BV245" i="5"/>
  <c r="BY245" i="5"/>
  <c r="BW245" i="5"/>
  <c r="BQ245" i="5"/>
  <c r="BM245" i="5"/>
  <c r="BJ245" i="5"/>
  <c r="BH245" i="5"/>
  <c r="BT245" i="5"/>
  <c r="BK245" i="5"/>
  <c r="BU245" i="5"/>
  <c r="BS245" i="5"/>
  <c r="BR245" i="5"/>
  <c r="BE245" i="5"/>
  <c r="AZ245" i="5"/>
  <c r="BF245" i="5"/>
  <c r="BG245" i="5"/>
  <c r="BD245" i="5"/>
  <c r="BI245" i="5"/>
  <c r="BA245" i="5"/>
  <c r="BP245" i="5" s="1"/>
  <c r="AU245" i="5"/>
  <c r="BN245" i="5" s="1"/>
  <c r="AY245" i="5"/>
  <c r="AV245" i="5"/>
  <c r="BC245" i="5" s="1"/>
  <c r="CK373" i="5"/>
  <c r="CF373" i="5"/>
  <c r="CH373" i="5"/>
  <c r="CI373" i="5"/>
  <c r="CG373" i="5"/>
  <c r="CJ373" i="5"/>
  <c r="CE373" i="5"/>
  <c r="CD373" i="5"/>
  <c r="CA373" i="5"/>
  <c r="CC373" i="5"/>
  <c r="BV373" i="5"/>
  <c r="BY373" i="5"/>
  <c r="BZ373" i="5"/>
  <c r="BW373" i="5"/>
  <c r="BX373" i="5"/>
  <c r="BS373" i="5"/>
  <c r="BQ373" i="5"/>
  <c r="BM373" i="5"/>
  <c r="BJ373" i="5"/>
  <c r="BH373" i="5"/>
  <c r="BU373" i="5"/>
  <c r="BK373" i="5"/>
  <c r="BT373" i="5"/>
  <c r="BE373" i="5"/>
  <c r="BD373" i="5"/>
  <c r="AZ373" i="5"/>
  <c r="BR373" i="5"/>
  <c r="BF373" i="5"/>
  <c r="BG373" i="5"/>
  <c r="BI373" i="5"/>
  <c r="BL373" i="5"/>
  <c r="BA373" i="5"/>
  <c r="BP373" i="5" s="1"/>
  <c r="AY373" i="5"/>
  <c r="AU373" i="5"/>
  <c r="BN373" i="5" s="1"/>
  <c r="AV373" i="5"/>
  <c r="BC373" i="5" s="1"/>
  <c r="CK21" i="5"/>
  <c r="CF21" i="5"/>
  <c r="CI21" i="5"/>
  <c r="CE21" i="5"/>
  <c r="CA21" i="5"/>
  <c r="BV21" i="5"/>
  <c r="CD21" i="5"/>
  <c r="BY21" i="5"/>
  <c r="BW21" i="5"/>
  <c r="CC21" i="5"/>
  <c r="BQ21" i="5"/>
  <c r="BM21" i="5"/>
  <c r="BJ21" i="5"/>
  <c r="BU21" i="5"/>
  <c r="BH21" i="5"/>
  <c r="BS21" i="5"/>
  <c r="BR21" i="5"/>
  <c r="BT21" i="5"/>
  <c r="BK21" i="5"/>
  <c r="BE21" i="5"/>
  <c r="AZ21" i="5"/>
  <c r="BG21" i="5"/>
  <c r="BF21" i="5"/>
  <c r="BI21" i="5"/>
  <c r="AY21" i="5"/>
  <c r="BD21" i="5"/>
  <c r="BA21" i="5"/>
  <c r="BP21" i="5" s="1"/>
  <c r="AU21" i="5"/>
  <c r="BN21" i="5" s="1"/>
  <c r="AV21" i="5"/>
  <c r="CK85" i="5"/>
  <c r="CJ85" i="5"/>
  <c r="CG85" i="5"/>
  <c r="CF85" i="5"/>
  <c r="CH85" i="5"/>
  <c r="CE85" i="5"/>
  <c r="BZ85" i="5"/>
  <c r="CI85" i="5"/>
  <c r="CD85" i="5"/>
  <c r="CA85" i="5"/>
  <c r="BV85" i="5"/>
  <c r="BY85" i="5"/>
  <c r="BX85" i="5"/>
  <c r="BW85" i="5"/>
  <c r="CC85" i="5"/>
  <c r="BQ85" i="5"/>
  <c r="BU85" i="5"/>
  <c r="BM85" i="5"/>
  <c r="BJ85" i="5"/>
  <c r="BH85" i="5"/>
  <c r="BS85" i="5"/>
  <c r="BK85" i="5"/>
  <c r="BT85" i="5"/>
  <c r="BR85" i="5"/>
  <c r="BG85" i="5"/>
  <c r="BE85" i="5"/>
  <c r="AZ85" i="5"/>
  <c r="BF85" i="5"/>
  <c r="BI85" i="5"/>
  <c r="BL85" i="5"/>
  <c r="BD85" i="5"/>
  <c r="AY85" i="5"/>
  <c r="AU85" i="5"/>
  <c r="BN85" i="5" s="1"/>
  <c r="BA85" i="5"/>
  <c r="BP85" i="5" s="1"/>
  <c r="AV85" i="5"/>
  <c r="BC85" i="5" s="1"/>
  <c r="CK149" i="5"/>
  <c r="CJ149" i="5"/>
  <c r="CF149" i="5"/>
  <c r="CI149" i="5"/>
  <c r="CE149" i="5"/>
  <c r="BZ149" i="5"/>
  <c r="CG149" i="5"/>
  <c r="CH149" i="5"/>
  <c r="CA149" i="5"/>
  <c r="CD149" i="5"/>
  <c r="BX149" i="5"/>
  <c r="BV149" i="5"/>
  <c r="BY149" i="5"/>
  <c r="CC149" i="5"/>
  <c r="BW149" i="5"/>
  <c r="BQ149" i="5"/>
  <c r="BM149" i="5"/>
  <c r="BJ149" i="5"/>
  <c r="BU149" i="5"/>
  <c r="BH149" i="5"/>
  <c r="BT149" i="5"/>
  <c r="BR149" i="5"/>
  <c r="BK149" i="5"/>
  <c r="BS149" i="5"/>
  <c r="BE149" i="5"/>
  <c r="AZ149" i="5"/>
  <c r="BL149" i="5"/>
  <c r="BG149" i="5"/>
  <c r="BF149" i="5"/>
  <c r="BI149" i="5"/>
  <c r="BD149" i="5"/>
  <c r="AU149" i="5"/>
  <c r="AY149" i="5"/>
  <c r="BA149" i="5"/>
  <c r="BP149" i="5" s="1"/>
  <c r="AV149" i="5"/>
  <c r="BO149" i="5" s="1"/>
  <c r="CK213" i="5"/>
  <c r="CF213" i="5"/>
  <c r="CE213" i="5"/>
  <c r="CD213" i="5"/>
  <c r="CI213" i="5"/>
  <c r="CA213" i="5"/>
  <c r="BV213" i="5"/>
  <c r="BY213" i="5"/>
  <c r="BW213" i="5"/>
  <c r="CC213" i="5"/>
  <c r="BQ213" i="5"/>
  <c r="BU213" i="5"/>
  <c r="BM213" i="5"/>
  <c r="BJ213" i="5"/>
  <c r="BH213" i="5"/>
  <c r="BS213" i="5"/>
  <c r="BK213" i="5"/>
  <c r="BT213" i="5"/>
  <c r="BR213" i="5"/>
  <c r="BG213" i="5"/>
  <c r="BE213" i="5"/>
  <c r="AZ213" i="5"/>
  <c r="BF213" i="5"/>
  <c r="BI213" i="5"/>
  <c r="BD213" i="5"/>
  <c r="AU213" i="5"/>
  <c r="BN213" i="5" s="1"/>
  <c r="AY213" i="5"/>
  <c r="BA213" i="5"/>
  <c r="BP213" i="5" s="1"/>
  <c r="AV213" i="5"/>
  <c r="BO213" i="5" s="1"/>
  <c r="CK277" i="5"/>
  <c r="CG277" i="5"/>
  <c r="CF277" i="5"/>
  <c r="CI277" i="5"/>
  <c r="CH277" i="5"/>
  <c r="CE277" i="5"/>
  <c r="CD277" i="5"/>
  <c r="BZ277" i="5"/>
  <c r="CA277" i="5"/>
  <c r="BV277" i="5"/>
  <c r="BY277" i="5"/>
  <c r="BW277" i="5"/>
  <c r="CJ277" i="5"/>
  <c r="BX277" i="5"/>
  <c r="BS277" i="5"/>
  <c r="CC277" i="5"/>
  <c r="BQ277" i="5"/>
  <c r="BM277" i="5"/>
  <c r="BJ277" i="5"/>
  <c r="BU277" i="5"/>
  <c r="BH277" i="5"/>
  <c r="BR277" i="5"/>
  <c r="BK277" i="5"/>
  <c r="BT277" i="5"/>
  <c r="BE277" i="5"/>
  <c r="BD277" i="5"/>
  <c r="AZ277" i="5"/>
  <c r="BF277" i="5"/>
  <c r="BI277" i="5"/>
  <c r="BL277" i="5"/>
  <c r="BG277" i="5"/>
  <c r="AY277" i="5"/>
  <c r="BA277" i="5"/>
  <c r="BP277" i="5" s="1"/>
  <c r="AU277" i="5"/>
  <c r="BB277" i="5" s="1"/>
  <c r="AV277" i="5"/>
  <c r="BO277" i="5" s="1"/>
  <c r="CK341" i="5"/>
  <c r="CG341" i="5"/>
  <c r="CF341" i="5"/>
  <c r="CJ341" i="5"/>
  <c r="CI341" i="5"/>
  <c r="CE341" i="5"/>
  <c r="CD341" i="5"/>
  <c r="CH341" i="5"/>
  <c r="CA341" i="5"/>
  <c r="BX341" i="5"/>
  <c r="BV341" i="5"/>
  <c r="BY341" i="5"/>
  <c r="BW341" i="5"/>
  <c r="BS341" i="5"/>
  <c r="BQ341" i="5"/>
  <c r="BU341" i="5"/>
  <c r="BM341" i="5"/>
  <c r="BJ341" i="5"/>
  <c r="BZ341" i="5"/>
  <c r="CC341" i="5"/>
  <c r="BH341" i="5"/>
  <c r="BT341" i="5"/>
  <c r="BK341" i="5"/>
  <c r="BR341" i="5"/>
  <c r="BE341" i="5"/>
  <c r="BD341" i="5"/>
  <c r="AZ341" i="5"/>
  <c r="BF341" i="5"/>
  <c r="BI341" i="5"/>
  <c r="BL341" i="5"/>
  <c r="BG341" i="5"/>
  <c r="AU341" i="5"/>
  <c r="BB341" i="5" s="1"/>
  <c r="BA341" i="5"/>
  <c r="BP341" i="5" s="1"/>
  <c r="AY341" i="5"/>
  <c r="AV341" i="5"/>
  <c r="BO341" i="5" s="1"/>
  <c r="BL278" i="5"/>
  <c r="BL15" i="5"/>
  <c r="CK79" i="5"/>
  <c r="CJ79" i="5"/>
  <c r="CH79" i="5"/>
  <c r="CE79" i="5"/>
  <c r="CD79" i="5"/>
  <c r="CC79" i="5"/>
  <c r="CG79" i="5"/>
  <c r="CF79" i="5"/>
  <c r="BZ79" i="5"/>
  <c r="CA79" i="5"/>
  <c r="CI79" i="5"/>
  <c r="BV79" i="5"/>
  <c r="BW79" i="5"/>
  <c r="BY79" i="5"/>
  <c r="BR79" i="5"/>
  <c r="BT79" i="5"/>
  <c r="BI79" i="5"/>
  <c r="BX79" i="5"/>
  <c r="BU79" i="5"/>
  <c r="BK79" i="5"/>
  <c r="BG79" i="5"/>
  <c r="BS79" i="5"/>
  <c r="BM79" i="5"/>
  <c r="BJ79" i="5"/>
  <c r="BL79" i="5"/>
  <c r="BD79" i="5"/>
  <c r="AY79" i="5"/>
  <c r="BQ79" i="5"/>
  <c r="BE79" i="5"/>
  <c r="BA79" i="5"/>
  <c r="BH79" i="5"/>
  <c r="BF79" i="5"/>
  <c r="AV79" i="5"/>
  <c r="AZ79" i="5"/>
  <c r="AU79" i="5"/>
  <c r="CK143" i="5"/>
  <c r="CI143" i="5"/>
  <c r="CE143" i="5"/>
  <c r="CF143" i="5"/>
  <c r="CD143" i="5"/>
  <c r="CC143" i="5"/>
  <c r="CA143" i="5"/>
  <c r="BV143" i="5"/>
  <c r="BW143" i="5"/>
  <c r="BR143" i="5"/>
  <c r="BU143" i="5"/>
  <c r="BI143" i="5"/>
  <c r="BY143" i="5"/>
  <c r="BT143" i="5"/>
  <c r="BK143" i="5"/>
  <c r="BG143" i="5"/>
  <c r="BS143" i="5"/>
  <c r="BM143" i="5"/>
  <c r="BJ143" i="5"/>
  <c r="BQ143" i="5"/>
  <c r="BD143" i="5"/>
  <c r="AY143" i="5"/>
  <c r="BE143" i="5"/>
  <c r="BA143" i="5"/>
  <c r="BP143" i="5" s="1"/>
  <c r="BF143" i="5"/>
  <c r="BH143" i="5"/>
  <c r="AZ143" i="5"/>
  <c r="AV143" i="5"/>
  <c r="BC143" i="5" s="1"/>
  <c r="AU143" i="5"/>
  <c r="BB143" i="5" s="1"/>
  <c r="CK207" i="5"/>
  <c r="CE207" i="5"/>
  <c r="CI207" i="5"/>
  <c r="CC207" i="5"/>
  <c r="CF207" i="5"/>
  <c r="CD207" i="5"/>
  <c r="BV207" i="5"/>
  <c r="CA207" i="5"/>
  <c r="BW207" i="5"/>
  <c r="BR207" i="5"/>
  <c r="BY207" i="5"/>
  <c r="BT207" i="5"/>
  <c r="BI207" i="5"/>
  <c r="BU207" i="5"/>
  <c r="BK207" i="5"/>
  <c r="BG207" i="5"/>
  <c r="BM207" i="5"/>
  <c r="BJ207" i="5"/>
  <c r="BS207" i="5"/>
  <c r="BD207" i="5"/>
  <c r="AY207" i="5"/>
  <c r="BQ207" i="5"/>
  <c r="BE207" i="5"/>
  <c r="BA207" i="5"/>
  <c r="BP207" i="5" s="1"/>
  <c r="BH207" i="5"/>
  <c r="BF207" i="5"/>
  <c r="AV207" i="5"/>
  <c r="BO207" i="5" s="1"/>
  <c r="AZ207" i="5"/>
  <c r="AU207" i="5"/>
  <c r="BB207" i="5" s="1"/>
  <c r="CK271" i="5"/>
  <c r="CI271" i="5"/>
  <c r="CJ271" i="5"/>
  <c r="CH271" i="5"/>
  <c r="CE271" i="5"/>
  <c r="CC271" i="5"/>
  <c r="BZ271" i="5"/>
  <c r="CG271" i="5"/>
  <c r="CA271" i="5"/>
  <c r="BV271" i="5"/>
  <c r="BW271" i="5"/>
  <c r="CF271" i="5"/>
  <c r="CD271" i="5"/>
  <c r="BR271" i="5"/>
  <c r="BY271" i="5"/>
  <c r="BU271" i="5"/>
  <c r="BI271" i="5"/>
  <c r="BX271" i="5"/>
  <c r="BT271" i="5"/>
  <c r="BK271" i="5"/>
  <c r="BS271" i="5"/>
  <c r="BM271" i="5"/>
  <c r="BJ271" i="5"/>
  <c r="BL271" i="5"/>
  <c r="AY271" i="5"/>
  <c r="BQ271" i="5"/>
  <c r="BE271" i="5"/>
  <c r="BA271" i="5"/>
  <c r="BG271" i="5"/>
  <c r="BH271" i="5"/>
  <c r="BF271" i="5"/>
  <c r="BD271" i="5"/>
  <c r="AV271" i="5"/>
  <c r="AZ271" i="5"/>
  <c r="AU271" i="5"/>
  <c r="CK335" i="5"/>
  <c r="CE335" i="5"/>
  <c r="CC335" i="5"/>
  <c r="CI335" i="5"/>
  <c r="CA335" i="5"/>
  <c r="CF335" i="5"/>
  <c r="BV335" i="5"/>
  <c r="BW335" i="5"/>
  <c r="CD335" i="5"/>
  <c r="BR335" i="5"/>
  <c r="BY335" i="5"/>
  <c r="BT335" i="5"/>
  <c r="BI335" i="5"/>
  <c r="BU335" i="5"/>
  <c r="BK335" i="5"/>
  <c r="BM335" i="5"/>
  <c r="BJ335" i="5"/>
  <c r="BS335" i="5"/>
  <c r="BQ335" i="5"/>
  <c r="AY335" i="5"/>
  <c r="BE335" i="5"/>
  <c r="BA335" i="5"/>
  <c r="BP335" i="5" s="1"/>
  <c r="BD335" i="5"/>
  <c r="BG335" i="5"/>
  <c r="BH335" i="5"/>
  <c r="BF335" i="5"/>
  <c r="AV335" i="5"/>
  <c r="BC335" i="5" s="1"/>
  <c r="AZ335" i="5"/>
  <c r="AU335" i="5"/>
  <c r="BN335" i="5" s="1"/>
  <c r="CI16" i="5"/>
  <c r="CA16" i="5"/>
  <c r="CK16" i="5"/>
  <c r="CE16" i="5"/>
  <c r="CF16" i="5"/>
  <c r="BW16" i="5"/>
  <c r="CC16" i="5"/>
  <c r="BY16" i="5"/>
  <c r="CD16" i="5"/>
  <c r="BT16" i="5"/>
  <c r="BS16" i="5"/>
  <c r="BU16" i="5"/>
  <c r="BV16" i="5"/>
  <c r="BQ16" i="5"/>
  <c r="BE16" i="5"/>
  <c r="BR16" i="5"/>
  <c r="BK16" i="5"/>
  <c r="BF16" i="5"/>
  <c r="BM16" i="5"/>
  <c r="BH16" i="5"/>
  <c r="BI16" i="5"/>
  <c r="BG16" i="5"/>
  <c r="BJ16" i="5"/>
  <c r="BD16" i="5"/>
  <c r="BA16" i="5"/>
  <c r="BP16" i="5" s="1"/>
  <c r="AY16" i="5"/>
  <c r="AZ16" i="5"/>
  <c r="AV16" i="5"/>
  <c r="BC16" i="5" s="1"/>
  <c r="AU16" i="5"/>
  <c r="BN16" i="5" s="1"/>
  <c r="CK80" i="5"/>
  <c r="CI80" i="5"/>
  <c r="CA80" i="5"/>
  <c r="CE80" i="5"/>
  <c r="CD80" i="5"/>
  <c r="CF80" i="5"/>
  <c r="BW80" i="5"/>
  <c r="BY80" i="5"/>
  <c r="BT80" i="5"/>
  <c r="CC80" i="5"/>
  <c r="BU80" i="5"/>
  <c r="BV80" i="5"/>
  <c r="BS80" i="5"/>
  <c r="BQ80" i="5"/>
  <c r="BR80" i="5"/>
  <c r="BE80" i="5"/>
  <c r="BK80" i="5"/>
  <c r="BM80" i="5"/>
  <c r="BF80" i="5"/>
  <c r="BJ80" i="5"/>
  <c r="BH80" i="5"/>
  <c r="BI80" i="5"/>
  <c r="BG80" i="5"/>
  <c r="BD80" i="5"/>
  <c r="AZ80" i="5"/>
  <c r="BA80" i="5"/>
  <c r="BP80" i="5" s="1"/>
  <c r="AY80" i="5"/>
  <c r="AV80" i="5"/>
  <c r="BO80" i="5" s="1"/>
  <c r="AU80" i="5"/>
  <c r="BB80" i="5" s="1"/>
  <c r="CK144" i="5"/>
  <c r="CA144" i="5"/>
  <c r="CF144" i="5"/>
  <c r="CE144" i="5"/>
  <c r="CD144" i="5"/>
  <c r="BW144" i="5"/>
  <c r="CI144" i="5"/>
  <c r="BY144" i="5"/>
  <c r="BT144" i="5"/>
  <c r="CC144" i="5"/>
  <c r="BS144" i="5"/>
  <c r="BU144" i="5"/>
  <c r="BV144" i="5"/>
  <c r="BQ144" i="5"/>
  <c r="BE144" i="5"/>
  <c r="BR144" i="5"/>
  <c r="BK144" i="5"/>
  <c r="BF144" i="5"/>
  <c r="BM144" i="5"/>
  <c r="BI144" i="5"/>
  <c r="BG144" i="5"/>
  <c r="BJ144" i="5"/>
  <c r="BH144" i="5"/>
  <c r="BD144" i="5"/>
  <c r="AY144" i="5"/>
  <c r="AZ144" i="5"/>
  <c r="BA144" i="5"/>
  <c r="BP144" i="5" s="1"/>
  <c r="AV144" i="5"/>
  <c r="BO144" i="5" s="1"/>
  <c r="AU144" i="5"/>
  <c r="CK208" i="5"/>
  <c r="CA208" i="5"/>
  <c r="CF208" i="5"/>
  <c r="CE208" i="5"/>
  <c r="BW208" i="5"/>
  <c r="CD208" i="5"/>
  <c r="BY208" i="5"/>
  <c r="CI208" i="5"/>
  <c r="BT208" i="5"/>
  <c r="CC208" i="5"/>
  <c r="BV208" i="5"/>
  <c r="BS208" i="5"/>
  <c r="BQ208" i="5"/>
  <c r="BR208" i="5"/>
  <c r="BE208" i="5"/>
  <c r="BU208" i="5"/>
  <c r="BK208" i="5"/>
  <c r="BM208" i="5"/>
  <c r="BF208" i="5"/>
  <c r="BJ208" i="5"/>
  <c r="BH208" i="5"/>
  <c r="BI208" i="5"/>
  <c r="BG208" i="5"/>
  <c r="BD208" i="5"/>
  <c r="AY208" i="5"/>
  <c r="AZ208" i="5"/>
  <c r="BA208" i="5"/>
  <c r="BP208" i="5" s="1"/>
  <c r="AV208" i="5"/>
  <c r="BC208" i="5" s="1"/>
  <c r="AU208" i="5"/>
  <c r="BN208" i="5" s="1"/>
  <c r="CI272" i="5"/>
  <c r="CA272" i="5"/>
  <c r="CE272" i="5"/>
  <c r="CK272" i="5"/>
  <c r="BW272" i="5"/>
  <c r="CF272" i="5"/>
  <c r="CC272" i="5"/>
  <c r="CD272" i="5"/>
  <c r="BY272" i="5"/>
  <c r="BT272" i="5"/>
  <c r="BV272" i="5"/>
  <c r="BQ272" i="5"/>
  <c r="BU272" i="5"/>
  <c r="BE272" i="5"/>
  <c r="BS272" i="5"/>
  <c r="BR272" i="5"/>
  <c r="BK272" i="5"/>
  <c r="BG272" i="5"/>
  <c r="BF272" i="5"/>
  <c r="BM272" i="5"/>
  <c r="BJ272" i="5"/>
  <c r="BH272" i="5"/>
  <c r="BI272" i="5"/>
  <c r="BD272" i="5"/>
  <c r="BA272" i="5"/>
  <c r="BP272" i="5" s="1"/>
  <c r="AZ272" i="5"/>
  <c r="AY272" i="5"/>
  <c r="AV272" i="5"/>
  <c r="BC272" i="5" s="1"/>
  <c r="AU272" i="5"/>
  <c r="BN272" i="5" s="1"/>
  <c r="CJ336" i="5"/>
  <c r="CH336" i="5"/>
  <c r="CK336" i="5"/>
  <c r="CI336" i="5"/>
  <c r="CA336" i="5"/>
  <c r="CE336" i="5"/>
  <c r="CG336" i="5"/>
  <c r="BW336" i="5"/>
  <c r="CF336" i="5"/>
  <c r="CD336" i="5"/>
  <c r="BY336" i="5"/>
  <c r="BT336" i="5"/>
  <c r="BZ336" i="5"/>
  <c r="BX336" i="5"/>
  <c r="CC336" i="5"/>
  <c r="BL336" i="5"/>
  <c r="BV336" i="5"/>
  <c r="BQ336" i="5"/>
  <c r="BS336" i="5"/>
  <c r="BU336" i="5"/>
  <c r="BR336" i="5"/>
  <c r="BE336" i="5"/>
  <c r="BK336" i="5"/>
  <c r="BG336" i="5"/>
  <c r="BM336" i="5"/>
  <c r="BF336" i="5"/>
  <c r="BI336" i="5"/>
  <c r="BJ336" i="5"/>
  <c r="BH336" i="5"/>
  <c r="BD336" i="5"/>
  <c r="AZ336" i="5"/>
  <c r="AY336" i="5"/>
  <c r="BA336" i="5"/>
  <c r="BP336" i="5" s="1"/>
  <c r="AV336" i="5"/>
  <c r="BC336" i="5" s="1"/>
  <c r="AU336" i="5"/>
  <c r="BN336" i="5" s="1"/>
  <c r="CK57" i="5"/>
  <c r="CI57" i="5"/>
  <c r="CF57" i="5"/>
  <c r="CD57" i="5"/>
  <c r="CE57" i="5"/>
  <c r="CA57" i="5"/>
  <c r="BY57" i="5"/>
  <c r="BV57" i="5"/>
  <c r="CC57" i="5"/>
  <c r="BQ57" i="5"/>
  <c r="BU57" i="5"/>
  <c r="BH57" i="5"/>
  <c r="BW57" i="5"/>
  <c r="BM57" i="5"/>
  <c r="BJ57" i="5"/>
  <c r="BT57" i="5"/>
  <c r="BR57" i="5"/>
  <c r="BS57" i="5"/>
  <c r="BI57" i="5"/>
  <c r="BG57" i="5"/>
  <c r="BD57" i="5"/>
  <c r="AZ57" i="5"/>
  <c r="BF57" i="5"/>
  <c r="BK57" i="5"/>
  <c r="BE57" i="5"/>
  <c r="AY57" i="5"/>
  <c r="BA57" i="5"/>
  <c r="BP57" i="5" s="1"/>
  <c r="AV57" i="5"/>
  <c r="BC57" i="5" s="1"/>
  <c r="AU57" i="5"/>
  <c r="BB57" i="5" s="1"/>
  <c r="CK121" i="5"/>
  <c r="CJ121" i="5"/>
  <c r="CI121" i="5"/>
  <c r="CH121" i="5"/>
  <c r="CF121" i="5"/>
  <c r="CD121" i="5"/>
  <c r="CG121" i="5"/>
  <c r="CE121" i="5"/>
  <c r="BZ121" i="5"/>
  <c r="BY121" i="5"/>
  <c r="CC121" i="5"/>
  <c r="CA121" i="5"/>
  <c r="BX121" i="5"/>
  <c r="BV121" i="5"/>
  <c r="BQ121" i="5"/>
  <c r="BH121" i="5"/>
  <c r="BW121" i="5"/>
  <c r="BU121" i="5"/>
  <c r="BM121" i="5"/>
  <c r="BJ121" i="5"/>
  <c r="BS121" i="5"/>
  <c r="BR121" i="5"/>
  <c r="BT121" i="5"/>
  <c r="BI121" i="5"/>
  <c r="BL121" i="5"/>
  <c r="BD121" i="5"/>
  <c r="BG121" i="5"/>
  <c r="AZ121" i="5"/>
  <c r="BE121" i="5"/>
  <c r="BK121" i="5"/>
  <c r="BF121" i="5"/>
  <c r="AY121" i="5"/>
  <c r="BA121" i="5"/>
  <c r="BP121" i="5" s="1"/>
  <c r="AV121" i="5"/>
  <c r="BC121" i="5" s="1"/>
  <c r="AU121" i="5"/>
  <c r="BB121" i="5" s="1"/>
  <c r="CK185" i="5"/>
  <c r="CI185" i="5"/>
  <c r="CF185" i="5"/>
  <c r="CE185" i="5"/>
  <c r="CA185" i="5"/>
  <c r="BY185" i="5"/>
  <c r="BV185" i="5"/>
  <c r="CC185" i="5"/>
  <c r="BQ185" i="5"/>
  <c r="CD185" i="5"/>
  <c r="BW185" i="5"/>
  <c r="BU185" i="5"/>
  <c r="BH185" i="5"/>
  <c r="BM185" i="5"/>
  <c r="BJ185" i="5"/>
  <c r="BT185" i="5"/>
  <c r="BS185" i="5"/>
  <c r="BR185" i="5"/>
  <c r="BI185" i="5"/>
  <c r="BG185" i="5"/>
  <c r="BD185" i="5"/>
  <c r="AZ185" i="5"/>
  <c r="BK185" i="5"/>
  <c r="BF185" i="5"/>
  <c r="BE185" i="5"/>
  <c r="AY185" i="5"/>
  <c r="BA185" i="5"/>
  <c r="BP185" i="5" s="1"/>
  <c r="AV185" i="5"/>
  <c r="BO185" i="5" s="1"/>
  <c r="AU185" i="5"/>
  <c r="BB185" i="5" s="1"/>
  <c r="CK249" i="5"/>
  <c r="CF249" i="5"/>
  <c r="CI249" i="5"/>
  <c r="CE249" i="5"/>
  <c r="BY249" i="5"/>
  <c r="BV249" i="5"/>
  <c r="CC249" i="5"/>
  <c r="CA249" i="5"/>
  <c r="BQ249" i="5"/>
  <c r="CD249" i="5"/>
  <c r="BH249" i="5"/>
  <c r="BW249" i="5"/>
  <c r="BU249" i="5"/>
  <c r="BM249" i="5"/>
  <c r="BJ249" i="5"/>
  <c r="BS249" i="5"/>
  <c r="BR249" i="5"/>
  <c r="BT249" i="5"/>
  <c r="BI249" i="5"/>
  <c r="BD249" i="5"/>
  <c r="AZ249" i="5"/>
  <c r="BG249" i="5"/>
  <c r="BK249" i="5"/>
  <c r="BF249" i="5"/>
  <c r="BE249" i="5"/>
  <c r="BA249" i="5"/>
  <c r="BP249" i="5" s="1"/>
  <c r="AY249" i="5"/>
  <c r="AV249" i="5"/>
  <c r="BC249" i="5" s="1"/>
  <c r="AU249" i="5"/>
  <c r="BB249" i="5" s="1"/>
  <c r="CK313" i="5"/>
  <c r="CF313" i="5"/>
  <c r="CE313" i="5"/>
  <c r="CI313" i="5"/>
  <c r="CA313" i="5"/>
  <c r="BY313" i="5"/>
  <c r="BV313" i="5"/>
  <c r="CD313" i="5"/>
  <c r="BQ313" i="5"/>
  <c r="CC313" i="5"/>
  <c r="BS313" i="5"/>
  <c r="BW313" i="5"/>
  <c r="BU313" i="5"/>
  <c r="BH313" i="5"/>
  <c r="BM313" i="5"/>
  <c r="BJ313" i="5"/>
  <c r="BT313" i="5"/>
  <c r="BR313" i="5"/>
  <c r="BI313" i="5"/>
  <c r="BD313" i="5"/>
  <c r="AZ313" i="5"/>
  <c r="BK313" i="5"/>
  <c r="BF313" i="5"/>
  <c r="BG313" i="5"/>
  <c r="BE313" i="5"/>
  <c r="BA313" i="5"/>
  <c r="BP313" i="5" s="1"/>
  <c r="AY313" i="5"/>
  <c r="AV313" i="5"/>
  <c r="AU313" i="5"/>
  <c r="BN313" i="5" s="1"/>
  <c r="CK377" i="5"/>
  <c r="CJ377" i="5"/>
  <c r="CG377" i="5"/>
  <c r="CF377" i="5"/>
  <c r="CE377" i="5"/>
  <c r="CI377" i="5"/>
  <c r="CH377" i="5"/>
  <c r="BY377" i="5"/>
  <c r="CD377" i="5"/>
  <c r="CC377" i="5"/>
  <c r="BV377" i="5"/>
  <c r="BQ377" i="5"/>
  <c r="BZ377" i="5"/>
  <c r="CA377" i="5"/>
  <c r="BS377" i="5"/>
  <c r="BX377" i="5"/>
  <c r="BW377" i="5"/>
  <c r="BH377" i="5"/>
  <c r="BU377" i="5"/>
  <c r="BM377" i="5"/>
  <c r="BJ377" i="5"/>
  <c r="BT377" i="5"/>
  <c r="BI377" i="5"/>
  <c r="BR377" i="5"/>
  <c r="BD377" i="5"/>
  <c r="AZ377" i="5"/>
  <c r="BL377" i="5"/>
  <c r="BK377" i="5"/>
  <c r="BG377" i="5"/>
  <c r="BF377" i="5"/>
  <c r="BE377" i="5"/>
  <c r="AY377" i="5"/>
  <c r="BA377" i="5"/>
  <c r="BP377" i="5" s="1"/>
  <c r="AV377" i="5"/>
  <c r="BC377" i="5" s="1"/>
  <c r="AU377" i="5"/>
  <c r="BN377" i="5" s="1"/>
  <c r="CK186" i="5"/>
  <c r="CJ186" i="5"/>
  <c r="CI186" i="5"/>
  <c r="CH186" i="5"/>
  <c r="CG186" i="5"/>
  <c r="CD186" i="5"/>
  <c r="BZ186" i="5"/>
  <c r="CF186" i="5"/>
  <c r="CE186" i="5"/>
  <c r="BV186" i="5"/>
  <c r="CC186" i="5"/>
  <c r="BU186" i="5"/>
  <c r="BW186" i="5"/>
  <c r="BS186" i="5"/>
  <c r="BY186" i="5"/>
  <c r="BX186" i="5"/>
  <c r="CA186" i="5"/>
  <c r="BT186" i="5"/>
  <c r="BM186" i="5"/>
  <c r="BJ186" i="5"/>
  <c r="BD186" i="5"/>
  <c r="BR186" i="5"/>
  <c r="BK186" i="5"/>
  <c r="BF186" i="5"/>
  <c r="BQ186" i="5"/>
  <c r="BE186" i="5"/>
  <c r="BI186" i="5"/>
  <c r="BG186" i="5"/>
  <c r="BL186" i="5"/>
  <c r="BH186" i="5"/>
  <c r="BA186" i="5"/>
  <c r="BP186" i="5" s="1"/>
  <c r="AY186" i="5"/>
  <c r="AZ186" i="5"/>
  <c r="AU186" i="5"/>
  <c r="BN186" i="5" s="1"/>
  <c r="AV186" i="5"/>
  <c r="BC186" i="5" s="1"/>
  <c r="CK250" i="5"/>
  <c r="CI250" i="5"/>
  <c r="CD250" i="5"/>
  <c r="CF250" i="5"/>
  <c r="CE250" i="5"/>
  <c r="BV250" i="5"/>
  <c r="CA250" i="5"/>
  <c r="BU250" i="5"/>
  <c r="BW250" i="5"/>
  <c r="BS250" i="5"/>
  <c r="CC250" i="5"/>
  <c r="BY250" i="5"/>
  <c r="BT250" i="5"/>
  <c r="BR250" i="5"/>
  <c r="BM250" i="5"/>
  <c r="BJ250" i="5"/>
  <c r="BD250" i="5"/>
  <c r="BK250" i="5"/>
  <c r="BF250" i="5"/>
  <c r="BQ250" i="5"/>
  <c r="BE250" i="5"/>
  <c r="BH250" i="5"/>
  <c r="BG250" i="5"/>
  <c r="BI250" i="5"/>
  <c r="BA250" i="5"/>
  <c r="BP250" i="5" s="1"/>
  <c r="AY250" i="5"/>
  <c r="AZ250" i="5"/>
  <c r="AU250" i="5"/>
  <c r="BN250" i="5" s="1"/>
  <c r="AV250" i="5"/>
  <c r="BO250" i="5" s="1"/>
  <c r="CK314" i="5"/>
  <c r="CJ314" i="5"/>
  <c r="CI314" i="5"/>
  <c r="CG314" i="5"/>
  <c r="CH314" i="5"/>
  <c r="CF314" i="5"/>
  <c r="CD314" i="5"/>
  <c r="CE314" i="5"/>
  <c r="BV314" i="5"/>
  <c r="BU314" i="5"/>
  <c r="BW314" i="5"/>
  <c r="CC314" i="5"/>
  <c r="CA314" i="5"/>
  <c r="BX314" i="5"/>
  <c r="BY314" i="5"/>
  <c r="BZ314" i="5"/>
  <c r="BT314" i="5"/>
  <c r="BS314" i="5"/>
  <c r="BM314" i="5"/>
  <c r="BL314" i="5"/>
  <c r="BJ314" i="5"/>
  <c r="BR314" i="5"/>
  <c r="BK314" i="5"/>
  <c r="BF314" i="5"/>
  <c r="BQ314" i="5"/>
  <c r="BE314" i="5"/>
  <c r="BG314" i="5"/>
  <c r="BI314" i="5"/>
  <c r="BD314" i="5"/>
  <c r="BH314" i="5"/>
  <c r="AY314" i="5"/>
  <c r="AZ314" i="5"/>
  <c r="BA314" i="5"/>
  <c r="BP314" i="5" s="1"/>
  <c r="AU314" i="5"/>
  <c r="BB314" i="5" s="1"/>
  <c r="AV314" i="5"/>
  <c r="BC314" i="5" s="1"/>
  <c r="CK378" i="5"/>
  <c r="CI378" i="5"/>
  <c r="CD378" i="5"/>
  <c r="CE378" i="5"/>
  <c r="CF378" i="5"/>
  <c r="BV378" i="5"/>
  <c r="BU378" i="5"/>
  <c r="BW378" i="5"/>
  <c r="CA378" i="5"/>
  <c r="CC378" i="5"/>
  <c r="BT378" i="5"/>
  <c r="BY378" i="5"/>
  <c r="BR378" i="5"/>
  <c r="BM378" i="5"/>
  <c r="BJ378" i="5"/>
  <c r="BS378" i="5"/>
  <c r="BK378" i="5"/>
  <c r="BF378" i="5"/>
  <c r="BQ378" i="5"/>
  <c r="BE378" i="5"/>
  <c r="BH378" i="5"/>
  <c r="BD378" i="5"/>
  <c r="BI378" i="5"/>
  <c r="BG378" i="5"/>
  <c r="AZ378" i="5"/>
  <c r="AY378" i="5"/>
  <c r="BA378" i="5"/>
  <c r="BP378" i="5" s="1"/>
  <c r="AU378" i="5"/>
  <c r="BN378" i="5" s="1"/>
  <c r="AV378" i="5"/>
  <c r="BO378" i="5" s="1"/>
  <c r="BL3" i="5"/>
  <c r="CK123" i="5"/>
  <c r="CF123" i="5"/>
  <c r="CA123" i="5"/>
  <c r="CD123" i="5"/>
  <c r="BW123" i="5"/>
  <c r="BY123" i="5"/>
  <c r="CI123" i="5"/>
  <c r="CE123" i="5"/>
  <c r="CC123" i="5"/>
  <c r="BR123" i="5"/>
  <c r="BU123" i="5"/>
  <c r="BK123" i="5"/>
  <c r="BG123" i="5"/>
  <c r="BV123" i="5"/>
  <c r="BS123" i="5"/>
  <c r="BQ123" i="5"/>
  <c r="BI123" i="5"/>
  <c r="BT123" i="5"/>
  <c r="BM123" i="5"/>
  <c r="BF123" i="5"/>
  <c r="BA123" i="5"/>
  <c r="BP123" i="5" s="1"/>
  <c r="AY123" i="5"/>
  <c r="BE123" i="5"/>
  <c r="BJ123" i="5"/>
  <c r="BH123" i="5"/>
  <c r="BD123" i="5"/>
  <c r="AZ123" i="5"/>
  <c r="AV123" i="5"/>
  <c r="BC123" i="5" s="1"/>
  <c r="AU123" i="5"/>
  <c r="BB123" i="5" s="1"/>
  <c r="CJ187" i="5"/>
  <c r="CK187" i="5"/>
  <c r="CI187" i="5"/>
  <c r="CA187" i="5"/>
  <c r="CF187" i="5"/>
  <c r="CH187" i="5"/>
  <c r="CE187" i="5"/>
  <c r="CC187" i="5"/>
  <c r="BW187" i="5"/>
  <c r="CD187" i="5"/>
  <c r="BY187" i="5"/>
  <c r="CG187" i="5"/>
  <c r="BZ187" i="5"/>
  <c r="BR187" i="5"/>
  <c r="BX187" i="5"/>
  <c r="BS187" i="5"/>
  <c r="BL187" i="5"/>
  <c r="BK187" i="5"/>
  <c r="BG187" i="5"/>
  <c r="BV187" i="5"/>
  <c r="BQ187" i="5"/>
  <c r="BI187" i="5"/>
  <c r="BT187" i="5"/>
  <c r="BU187" i="5"/>
  <c r="BF187" i="5"/>
  <c r="BA187" i="5"/>
  <c r="BP187" i="5" s="1"/>
  <c r="BM187" i="5"/>
  <c r="AY187" i="5"/>
  <c r="BH187" i="5"/>
  <c r="BJ187" i="5"/>
  <c r="BE187" i="5"/>
  <c r="BD187" i="5"/>
  <c r="AZ187" i="5"/>
  <c r="AV187" i="5"/>
  <c r="BO187" i="5" s="1"/>
  <c r="AU187" i="5"/>
  <c r="BB187" i="5" s="1"/>
  <c r="CK251" i="5"/>
  <c r="CG251" i="5"/>
  <c r="CH251" i="5"/>
  <c r="CI251" i="5"/>
  <c r="CJ251" i="5"/>
  <c r="CA251" i="5"/>
  <c r="CF251" i="5"/>
  <c r="BZ251" i="5"/>
  <c r="CD251" i="5"/>
  <c r="BW251" i="5"/>
  <c r="CC251" i="5"/>
  <c r="CE251" i="5"/>
  <c r="BY251" i="5"/>
  <c r="BR251" i="5"/>
  <c r="BV251" i="5"/>
  <c r="BK251" i="5"/>
  <c r="BX251" i="5"/>
  <c r="BS251" i="5"/>
  <c r="BQ251" i="5"/>
  <c r="BI251" i="5"/>
  <c r="BT251" i="5"/>
  <c r="BU251" i="5"/>
  <c r="BM251" i="5"/>
  <c r="BF251" i="5"/>
  <c r="BA251" i="5"/>
  <c r="BP251" i="5" s="1"/>
  <c r="BL251" i="5"/>
  <c r="BG251" i="5"/>
  <c r="AY251" i="5"/>
  <c r="BJ251" i="5"/>
  <c r="BH251" i="5"/>
  <c r="BE251" i="5"/>
  <c r="BD251" i="5"/>
  <c r="AZ251" i="5"/>
  <c r="AV251" i="5"/>
  <c r="AU251" i="5"/>
  <c r="BB251" i="5" s="1"/>
  <c r="CK315" i="5"/>
  <c r="CI315" i="5"/>
  <c r="CA315" i="5"/>
  <c r="CF315" i="5"/>
  <c r="CE315" i="5"/>
  <c r="CC315" i="5"/>
  <c r="BW315" i="5"/>
  <c r="BY315" i="5"/>
  <c r="CD315" i="5"/>
  <c r="BR315" i="5"/>
  <c r="BK315" i="5"/>
  <c r="BV315" i="5"/>
  <c r="BQ315" i="5"/>
  <c r="BI315" i="5"/>
  <c r="BU315" i="5"/>
  <c r="BS315" i="5"/>
  <c r="BT315" i="5"/>
  <c r="BF315" i="5"/>
  <c r="BA315" i="5"/>
  <c r="BP315" i="5" s="1"/>
  <c r="BM315" i="5"/>
  <c r="BG315" i="5"/>
  <c r="AY315" i="5"/>
  <c r="BJ315" i="5"/>
  <c r="BH315" i="5"/>
  <c r="BE315" i="5"/>
  <c r="BD315" i="5"/>
  <c r="AZ315" i="5"/>
  <c r="AV315" i="5"/>
  <c r="BO315" i="5" s="1"/>
  <c r="AU315" i="5"/>
  <c r="CK379" i="5"/>
  <c r="CI379" i="5"/>
  <c r="CF379" i="5"/>
  <c r="CA379" i="5"/>
  <c r="CD379" i="5"/>
  <c r="BW379" i="5"/>
  <c r="BY379" i="5"/>
  <c r="CC379" i="5"/>
  <c r="CE379" i="5"/>
  <c r="BR379" i="5"/>
  <c r="BV379" i="5"/>
  <c r="BK379" i="5"/>
  <c r="BQ379" i="5"/>
  <c r="BI379" i="5"/>
  <c r="BS379" i="5"/>
  <c r="BT379" i="5"/>
  <c r="BU379" i="5"/>
  <c r="BM379" i="5"/>
  <c r="BF379" i="5"/>
  <c r="BA379" i="5"/>
  <c r="BP379" i="5" s="1"/>
  <c r="BG379" i="5"/>
  <c r="AY379" i="5"/>
  <c r="BJ379" i="5"/>
  <c r="BH379" i="5"/>
  <c r="BE379" i="5"/>
  <c r="BD379" i="5"/>
  <c r="AZ379" i="5"/>
  <c r="AV379" i="5"/>
  <c r="BC379" i="5" s="1"/>
  <c r="AU379" i="5"/>
  <c r="BN379" i="5" s="1"/>
  <c r="BB6" i="5"/>
  <c r="BZ6" i="5" s="1"/>
  <c r="BB38" i="5"/>
  <c r="BX46" i="5"/>
  <c r="CJ4" i="5"/>
  <c r="CI4" i="5"/>
  <c r="CK4" i="5"/>
  <c r="CH4" i="5"/>
  <c r="CG4" i="5"/>
  <c r="CD4" i="5"/>
  <c r="CC4" i="5"/>
  <c r="CF4" i="5"/>
  <c r="CE4" i="5"/>
  <c r="BZ4" i="5"/>
  <c r="BU4" i="5"/>
  <c r="BX4" i="5"/>
  <c r="CA4" i="5"/>
  <c r="BV4" i="5"/>
  <c r="BT4" i="5"/>
  <c r="BY4" i="5"/>
  <c r="BW4" i="5"/>
  <c r="BL4" i="5"/>
  <c r="BS4" i="5"/>
  <c r="BR4" i="5"/>
  <c r="BM4" i="5"/>
  <c r="BJ4" i="5"/>
  <c r="BI4" i="5"/>
  <c r="BE4" i="5"/>
  <c r="BD4" i="5"/>
  <c r="BQ4" i="5"/>
  <c r="BH4" i="5"/>
  <c r="BK4" i="5"/>
  <c r="BF4" i="5"/>
  <c r="BG4" i="5"/>
  <c r="BA4" i="5"/>
  <c r="BP4" i="5" s="1"/>
  <c r="AZ4" i="5"/>
  <c r="AY4" i="5"/>
  <c r="AV4" i="5"/>
  <c r="BO4" i="5" s="1"/>
  <c r="AU4" i="5"/>
  <c r="BN4" i="5" s="1"/>
  <c r="CK68" i="5"/>
  <c r="CI68" i="5"/>
  <c r="CE68" i="5"/>
  <c r="CD68" i="5"/>
  <c r="CC68" i="5"/>
  <c r="CF68" i="5"/>
  <c r="CA68" i="5"/>
  <c r="BY68" i="5"/>
  <c r="BV68" i="5"/>
  <c r="BT68" i="5"/>
  <c r="BW68" i="5"/>
  <c r="BU68" i="5"/>
  <c r="BS68" i="5"/>
  <c r="BM68" i="5"/>
  <c r="BJ68" i="5"/>
  <c r="BR68" i="5"/>
  <c r="BI68" i="5"/>
  <c r="BE68" i="5"/>
  <c r="BQ68" i="5"/>
  <c r="BD68" i="5"/>
  <c r="BK68" i="5"/>
  <c r="BF68" i="5"/>
  <c r="BG68" i="5"/>
  <c r="BH68" i="5"/>
  <c r="AZ68" i="5"/>
  <c r="BA68" i="5"/>
  <c r="BP68" i="5" s="1"/>
  <c r="AY68" i="5"/>
  <c r="AV68" i="5"/>
  <c r="BC68" i="5" s="1"/>
  <c r="AU68" i="5"/>
  <c r="BN68" i="5" s="1"/>
  <c r="CI132" i="5"/>
  <c r="CK132" i="5"/>
  <c r="CG132" i="5"/>
  <c r="CE132" i="5"/>
  <c r="CJ132" i="5"/>
  <c r="CH132" i="5"/>
  <c r="CD132" i="5"/>
  <c r="CC132" i="5"/>
  <c r="BZ132" i="5"/>
  <c r="BV132" i="5"/>
  <c r="BT132" i="5"/>
  <c r="CA132" i="5"/>
  <c r="BY132" i="5"/>
  <c r="CF132" i="5"/>
  <c r="BW132" i="5"/>
  <c r="BX132" i="5"/>
  <c r="BR132" i="5"/>
  <c r="BU132" i="5"/>
  <c r="BM132" i="5"/>
  <c r="BJ132" i="5"/>
  <c r="BS132" i="5"/>
  <c r="BI132" i="5"/>
  <c r="BE132" i="5"/>
  <c r="BD132" i="5"/>
  <c r="BQ132" i="5"/>
  <c r="BL132" i="5"/>
  <c r="BH132" i="5"/>
  <c r="BK132" i="5"/>
  <c r="BG132" i="5"/>
  <c r="BF132" i="5"/>
  <c r="BA132" i="5"/>
  <c r="BP132" i="5" s="1"/>
  <c r="AZ132" i="5"/>
  <c r="AY132" i="5"/>
  <c r="AV132" i="5"/>
  <c r="BO132" i="5" s="1"/>
  <c r="AU132" i="5"/>
  <c r="BB132" i="5" s="1"/>
  <c r="CI196" i="5"/>
  <c r="CK196" i="5"/>
  <c r="CE196" i="5"/>
  <c r="CC196" i="5"/>
  <c r="CF196" i="5"/>
  <c r="CA196" i="5"/>
  <c r="BY196" i="5"/>
  <c r="BV196" i="5"/>
  <c r="BT196" i="5"/>
  <c r="CD196" i="5"/>
  <c r="BW196" i="5"/>
  <c r="BU196" i="5"/>
  <c r="BS196" i="5"/>
  <c r="BM196" i="5"/>
  <c r="BJ196" i="5"/>
  <c r="BI196" i="5"/>
  <c r="BE196" i="5"/>
  <c r="BR196" i="5"/>
  <c r="BD196" i="5"/>
  <c r="BQ196" i="5"/>
  <c r="BG196" i="5"/>
  <c r="BH196" i="5"/>
  <c r="BK196" i="5"/>
  <c r="BF196" i="5"/>
  <c r="AZ196" i="5"/>
  <c r="BA196" i="5"/>
  <c r="BP196" i="5" s="1"/>
  <c r="AY196" i="5"/>
  <c r="AV196" i="5"/>
  <c r="BC196" i="5" s="1"/>
  <c r="AU196" i="5"/>
  <c r="BN196" i="5" s="1"/>
  <c r="CI260" i="5"/>
  <c r="CK260" i="5"/>
  <c r="CE260" i="5"/>
  <c r="CC260" i="5"/>
  <c r="CF260" i="5"/>
  <c r="CD260" i="5"/>
  <c r="CA260" i="5"/>
  <c r="BV260" i="5"/>
  <c r="BT260" i="5"/>
  <c r="BY260" i="5"/>
  <c r="BW260" i="5"/>
  <c r="BU260" i="5"/>
  <c r="BM260" i="5"/>
  <c r="BJ260" i="5"/>
  <c r="BG260" i="5"/>
  <c r="BS260" i="5"/>
  <c r="BI260" i="5"/>
  <c r="BE260" i="5"/>
  <c r="BQ260" i="5"/>
  <c r="BD260" i="5"/>
  <c r="BR260" i="5"/>
  <c r="BK260" i="5"/>
  <c r="BH260" i="5"/>
  <c r="BA260" i="5"/>
  <c r="BP260" i="5" s="1"/>
  <c r="BF260" i="5"/>
  <c r="AZ260" i="5"/>
  <c r="AY260" i="5"/>
  <c r="AV260" i="5"/>
  <c r="BC260" i="5" s="1"/>
  <c r="AU260" i="5"/>
  <c r="BN260" i="5" s="1"/>
  <c r="CI324" i="5"/>
  <c r="CK324" i="5"/>
  <c r="CE324" i="5"/>
  <c r="CG324" i="5"/>
  <c r="CC324" i="5"/>
  <c r="CJ324" i="5"/>
  <c r="CF324" i="5"/>
  <c r="BZ324" i="5"/>
  <c r="BY324" i="5"/>
  <c r="BX324" i="5"/>
  <c r="BV324" i="5"/>
  <c r="BT324" i="5"/>
  <c r="CH324" i="5"/>
  <c r="CA324" i="5"/>
  <c r="CD324" i="5"/>
  <c r="BW324" i="5"/>
  <c r="BS324" i="5"/>
  <c r="BM324" i="5"/>
  <c r="BJ324" i="5"/>
  <c r="BG324" i="5"/>
  <c r="BU324" i="5"/>
  <c r="BI324" i="5"/>
  <c r="BE324" i="5"/>
  <c r="BR324" i="5"/>
  <c r="BQ324" i="5"/>
  <c r="BL324" i="5"/>
  <c r="BH324" i="5"/>
  <c r="BD324" i="5"/>
  <c r="BK324" i="5"/>
  <c r="AZ324" i="5"/>
  <c r="BF324" i="5"/>
  <c r="BA324" i="5"/>
  <c r="BP324" i="5" s="1"/>
  <c r="AY324" i="5"/>
  <c r="AV324" i="5"/>
  <c r="BO324" i="5" s="1"/>
  <c r="AU324" i="5"/>
  <c r="BB324" i="5" s="1"/>
  <c r="CJ388" i="5"/>
  <c r="CI388" i="5"/>
  <c r="CK388" i="5"/>
  <c r="CH388" i="5"/>
  <c r="CG388" i="5"/>
  <c r="CE388" i="5"/>
  <c r="CC388" i="5"/>
  <c r="CF388" i="5"/>
  <c r="CD388" i="5"/>
  <c r="BZ388" i="5"/>
  <c r="BX388" i="5"/>
  <c r="BV388" i="5"/>
  <c r="BT388" i="5"/>
  <c r="BY388" i="5"/>
  <c r="BW388" i="5"/>
  <c r="CA388" i="5"/>
  <c r="BL388" i="5"/>
  <c r="BU388" i="5"/>
  <c r="BM388" i="5"/>
  <c r="BJ388" i="5"/>
  <c r="BG388" i="5"/>
  <c r="BS388" i="5"/>
  <c r="BI388" i="5"/>
  <c r="BE388" i="5"/>
  <c r="BQ388" i="5"/>
  <c r="BR388" i="5"/>
  <c r="BD388" i="5"/>
  <c r="BH388" i="5"/>
  <c r="BK388" i="5"/>
  <c r="BF388" i="5"/>
  <c r="BA388" i="5"/>
  <c r="BP388" i="5" s="1"/>
  <c r="AZ388" i="5"/>
  <c r="AY388" i="5"/>
  <c r="AV388" i="5"/>
  <c r="BO388" i="5" s="1"/>
  <c r="AU388" i="5"/>
  <c r="BB388" i="5" s="1"/>
  <c r="D14" i="7"/>
  <c r="BN254" i="5" l="1"/>
  <c r="BN30" i="5"/>
  <c r="BC302" i="5"/>
  <c r="CB94" i="5"/>
  <c r="BB82" i="5"/>
  <c r="BB366" i="5"/>
  <c r="BB46" i="5"/>
  <c r="BZ46" i="5" s="1"/>
  <c r="AS444" i="5"/>
  <c r="CB86" i="5"/>
  <c r="BX47" i="5"/>
  <c r="BN182" i="5"/>
  <c r="BC262" i="5"/>
  <c r="BO59" i="5"/>
  <c r="BB198" i="5"/>
  <c r="BN126" i="5"/>
  <c r="BZ126" i="5" s="1"/>
  <c r="BO51" i="5"/>
  <c r="AS460" i="5"/>
  <c r="AS452" i="5"/>
  <c r="AS447" i="5"/>
  <c r="AV438" i="5"/>
  <c r="AV439" i="5" s="1"/>
  <c r="AV443" i="5"/>
  <c r="AV442" i="5"/>
  <c r="AV457" i="5"/>
  <c r="AY438" i="5"/>
  <c r="AY439" i="5" s="1"/>
  <c r="AY453" i="5"/>
  <c r="AY446" i="5"/>
  <c r="AV440" i="5"/>
  <c r="AV451" i="5"/>
  <c r="AV453" i="5"/>
  <c r="AV459" i="5"/>
  <c r="AV455" i="5"/>
  <c r="AY451" i="5"/>
  <c r="AY458" i="5"/>
  <c r="AY450" i="5"/>
  <c r="AY442" i="5"/>
  <c r="AY440" i="5"/>
  <c r="AV458" i="5"/>
  <c r="AY459" i="5"/>
  <c r="AY455" i="5"/>
  <c r="AY448" i="5"/>
  <c r="AV450" i="5"/>
  <c r="AV449" i="5"/>
  <c r="AV445" i="5"/>
  <c r="AY443" i="5"/>
  <c r="AY457" i="5"/>
  <c r="AV448" i="5"/>
  <c r="AV446" i="5"/>
  <c r="AY445" i="5"/>
  <c r="AY449" i="5"/>
  <c r="BO3" i="5"/>
  <c r="BN278" i="5"/>
  <c r="BZ278" i="5" s="1"/>
  <c r="BC78" i="5"/>
  <c r="BC182" i="5"/>
  <c r="CB3" i="5"/>
  <c r="BC246" i="5"/>
  <c r="CB46" i="5"/>
  <c r="BN358" i="5"/>
  <c r="BX3" i="5"/>
  <c r="BN238" i="5"/>
  <c r="BC350" i="5"/>
  <c r="BN230" i="5"/>
  <c r="BZ230" i="5" s="1"/>
  <c r="BC238" i="5"/>
  <c r="CB302" i="5"/>
  <c r="BC122" i="5"/>
  <c r="BL46" i="5"/>
  <c r="CB70" i="5"/>
  <c r="CB102" i="5"/>
  <c r="CB206" i="5"/>
  <c r="CB246" i="5"/>
  <c r="BX246" i="5"/>
  <c r="BC286" i="5"/>
  <c r="CB182" i="5"/>
  <c r="BC31" i="5"/>
  <c r="H137" i="10"/>
  <c r="BC11" i="5"/>
  <c r="CB318" i="5"/>
  <c r="BR419" i="5"/>
  <c r="F12" i="24"/>
  <c r="F40" i="24" s="1"/>
  <c r="D138" i="10"/>
  <c r="CB47" i="5"/>
  <c r="G115" i="10"/>
  <c r="H115" i="10" s="1"/>
  <c r="F10" i="24"/>
  <c r="D136" i="10"/>
  <c r="G39" i="24"/>
  <c r="AA11" i="24"/>
  <c r="J11" i="24"/>
  <c r="AB11" i="24"/>
  <c r="AB45" i="24" s="1"/>
  <c r="CB7" i="5"/>
  <c r="F75" i="24"/>
  <c r="F80" i="24" s="1"/>
  <c r="BC355" i="5"/>
  <c r="AV429" i="5"/>
  <c r="AV430" i="5" s="1"/>
  <c r="BM429" i="5"/>
  <c r="BM430" i="5" s="1"/>
  <c r="BI429" i="5"/>
  <c r="BI430" i="5" s="1"/>
  <c r="CC429" i="5"/>
  <c r="CC430" i="5" s="1"/>
  <c r="BB355" i="5"/>
  <c r="AU429" i="5"/>
  <c r="AU430" i="5" s="1"/>
  <c r="AY429" i="5"/>
  <c r="AY430" i="5" s="1"/>
  <c r="BV429" i="5"/>
  <c r="BV430" i="5" s="1"/>
  <c r="BW429" i="5"/>
  <c r="BW430" i="5" s="1"/>
  <c r="BD429" i="5"/>
  <c r="BD430" i="5" s="1"/>
  <c r="BP355" i="5"/>
  <c r="BP429" i="5" s="1"/>
  <c r="BP430" i="5" s="1"/>
  <c r="BA429" i="5"/>
  <c r="BA430" i="5" s="1"/>
  <c r="BK429" i="5"/>
  <c r="BK430" i="5" s="1"/>
  <c r="CD429" i="5"/>
  <c r="CD430" i="5" s="1"/>
  <c r="CI429" i="5"/>
  <c r="CI430" i="5" s="1"/>
  <c r="BE429" i="5"/>
  <c r="BE430" i="5" s="1"/>
  <c r="BQ429" i="5"/>
  <c r="BQ430" i="5" s="1"/>
  <c r="BR429" i="5"/>
  <c r="BR430" i="5" s="1"/>
  <c r="CA429" i="5"/>
  <c r="CA430" i="5" s="1"/>
  <c r="AZ429" i="5"/>
  <c r="AZ430" i="5" s="1"/>
  <c r="BU429" i="5"/>
  <c r="BU430" i="5" s="1"/>
  <c r="CE429" i="5"/>
  <c r="CE430" i="5" s="1"/>
  <c r="CB230" i="5"/>
  <c r="BG429" i="5"/>
  <c r="BG430" i="5" s="1"/>
  <c r="BH429" i="5"/>
  <c r="BH430" i="5" s="1"/>
  <c r="BY429" i="5"/>
  <c r="BY430" i="5" s="1"/>
  <c r="BJ429" i="5"/>
  <c r="BJ430" i="5" s="1"/>
  <c r="BS429" i="5"/>
  <c r="BS430" i="5" s="1"/>
  <c r="CF429" i="5"/>
  <c r="CF430" i="5" s="1"/>
  <c r="BF429" i="5"/>
  <c r="BF430" i="5" s="1"/>
  <c r="BT429" i="5"/>
  <c r="BT430" i="5" s="1"/>
  <c r="CK429" i="5"/>
  <c r="CK430" i="5" s="1"/>
  <c r="BN102" i="5"/>
  <c r="AB11" i="23"/>
  <c r="AB45" i="23" s="1"/>
  <c r="AA11" i="23"/>
  <c r="G39" i="23"/>
  <c r="J11" i="23"/>
  <c r="F10" i="23"/>
  <c r="D125" i="10"/>
  <c r="F12" i="23"/>
  <c r="F40" i="23" s="1"/>
  <c r="D127" i="10"/>
  <c r="CB174" i="5"/>
  <c r="BL230" i="5"/>
  <c r="CB11" i="5"/>
  <c r="H126" i="10"/>
  <c r="F75" i="23"/>
  <c r="F80" i="23" s="1"/>
  <c r="BX230" i="5"/>
  <c r="BN14" i="5"/>
  <c r="BZ14" i="5" s="1"/>
  <c r="AZ419" i="5"/>
  <c r="BQ419" i="5"/>
  <c r="AY419" i="5"/>
  <c r="CD419" i="5"/>
  <c r="BC23" i="5"/>
  <c r="CB166" i="5"/>
  <c r="BN31" i="5"/>
  <c r="BB86" i="5"/>
  <c r="BZ86" i="5" s="1"/>
  <c r="CB382" i="5"/>
  <c r="BD419" i="5"/>
  <c r="CB31" i="5"/>
  <c r="G104" i="10"/>
  <c r="H104" i="10" s="1"/>
  <c r="CB238" i="5"/>
  <c r="BK419" i="5"/>
  <c r="BS419" i="5"/>
  <c r="CC419" i="5"/>
  <c r="BC134" i="5"/>
  <c r="BE419" i="5"/>
  <c r="CB134" i="5"/>
  <c r="BX278" i="5"/>
  <c r="CF419" i="5"/>
  <c r="BC14" i="5"/>
  <c r="BR422" i="5"/>
  <c r="BM419" i="5"/>
  <c r="BT419" i="5"/>
  <c r="BS422" i="5"/>
  <c r="BF419" i="5"/>
  <c r="CE419" i="5"/>
  <c r="BZ222" i="5"/>
  <c r="AZ422" i="5"/>
  <c r="AZ424" i="5"/>
  <c r="AY424" i="5"/>
  <c r="CB278" i="5"/>
  <c r="BL422" i="5"/>
  <c r="BY422" i="5"/>
  <c r="BJ422" i="5"/>
  <c r="BV422" i="5"/>
  <c r="CD422" i="5"/>
  <c r="BK424" i="5"/>
  <c r="AZ423" i="5"/>
  <c r="BP326" i="5"/>
  <c r="BP427" i="5" s="1"/>
  <c r="BP428" i="5" s="1"/>
  <c r="BA427" i="5"/>
  <c r="BA428" i="5" s="1"/>
  <c r="CD427" i="5"/>
  <c r="CD428" i="5" s="1"/>
  <c r="CK427" i="5"/>
  <c r="CK428" i="5" s="1"/>
  <c r="CI427" i="5"/>
  <c r="CI428" i="5" s="1"/>
  <c r="BP288" i="5"/>
  <c r="BP422" i="5" s="1"/>
  <c r="BA422" i="5"/>
  <c r="BX422" i="5"/>
  <c r="CH422" i="5"/>
  <c r="BQ424" i="5"/>
  <c r="BP322" i="5"/>
  <c r="CB322" i="5" s="1"/>
  <c r="BA425" i="5"/>
  <c r="BM427" i="5"/>
  <c r="BM428" i="5" s="1"/>
  <c r="BE427" i="5"/>
  <c r="BE428" i="5" s="1"/>
  <c r="AV424" i="5"/>
  <c r="BI424" i="5"/>
  <c r="CA424" i="5"/>
  <c r="BQ427" i="5"/>
  <c r="BQ428" i="5" s="1"/>
  <c r="AY427" i="5"/>
  <c r="AY428" i="5" s="1"/>
  <c r="G39" i="22"/>
  <c r="AB11" i="22"/>
  <c r="AB45" i="22" s="1"/>
  <c r="AA11" i="22"/>
  <c r="J11" i="22"/>
  <c r="BI422" i="5"/>
  <c r="BU422" i="5"/>
  <c r="BF424" i="5"/>
  <c r="BR424" i="5"/>
  <c r="CD424" i="5"/>
  <c r="BB295" i="5"/>
  <c r="AU423" i="5"/>
  <c r="BP295" i="5"/>
  <c r="BP423" i="5" s="1"/>
  <c r="BA423" i="5"/>
  <c r="CC427" i="5"/>
  <c r="CC428" i="5" s="1"/>
  <c r="CF427" i="5"/>
  <c r="CF428" i="5" s="1"/>
  <c r="BA424" i="5"/>
  <c r="BT422" i="5"/>
  <c r="CE422" i="5"/>
  <c r="BD424" i="5"/>
  <c r="BO295" i="5"/>
  <c r="AV423" i="5"/>
  <c r="AZ425" i="5"/>
  <c r="BF427" i="5"/>
  <c r="BF428" i="5" s="1"/>
  <c r="BT427" i="5"/>
  <c r="BT428" i="5" s="1"/>
  <c r="BR427" i="5"/>
  <c r="BR428" i="5" s="1"/>
  <c r="CA427" i="5"/>
  <c r="CA428" i="5" s="1"/>
  <c r="BS427" i="5"/>
  <c r="BS428" i="5" s="1"/>
  <c r="BJ427" i="5"/>
  <c r="BJ428" i="5" s="1"/>
  <c r="BB288" i="5"/>
  <c r="AU422" i="5"/>
  <c r="BH422" i="5"/>
  <c r="BE422" i="5"/>
  <c r="CI422" i="5"/>
  <c r="BG424" i="5"/>
  <c r="BW424" i="5"/>
  <c r="CI424" i="5"/>
  <c r="AY423" i="5"/>
  <c r="BN322" i="5"/>
  <c r="AU425" i="5"/>
  <c r="BK427" i="5"/>
  <c r="BK428" i="5" s="1"/>
  <c r="BI427" i="5"/>
  <c r="BI428" i="5" s="1"/>
  <c r="BG427" i="5"/>
  <c r="BG428" i="5" s="1"/>
  <c r="BH427" i="5"/>
  <c r="BH428" i="5" s="1"/>
  <c r="BW427" i="5"/>
  <c r="BW428" i="5" s="1"/>
  <c r="BB326" i="5"/>
  <c r="AU427" i="5"/>
  <c r="AU428" i="5" s="1"/>
  <c r="AV427" i="5"/>
  <c r="AV428" i="5" s="1"/>
  <c r="BU427" i="5"/>
  <c r="BU428" i="5" s="1"/>
  <c r="BC288" i="5"/>
  <c r="AV422" i="5"/>
  <c r="BH424" i="5"/>
  <c r="BM424" i="5"/>
  <c r="CC424" i="5"/>
  <c r="BO322" i="5"/>
  <c r="BO425" i="5" s="1"/>
  <c r="AV425" i="5"/>
  <c r="BD427" i="5"/>
  <c r="BD428" i="5" s="1"/>
  <c r="AZ427" i="5"/>
  <c r="AZ428" i="5" s="1"/>
  <c r="G11" i="21"/>
  <c r="G39" i="21" s="1"/>
  <c r="AS426" i="5"/>
  <c r="AY422" i="5"/>
  <c r="BP424" i="5"/>
  <c r="BV424" i="5"/>
  <c r="AY425" i="5"/>
  <c r="BV427" i="5"/>
  <c r="BV428" i="5" s="1"/>
  <c r="BY427" i="5"/>
  <c r="BY428" i="5" s="1"/>
  <c r="CE427" i="5"/>
  <c r="CE428" i="5" s="1"/>
  <c r="AU424" i="5"/>
  <c r="BN302" i="5"/>
  <c r="AT426" i="5"/>
  <c r="BM422" i="5"/>
  <c r="BQ422" i="5"/>
  <c r="BW422" i="5"/>
  <c r="CJ422" i="5"/>
  <c r="BE423" i="5"/>
  <c r="BQ423" i="5"/>
  <c r="BW423" i="5"/>
  <c r="CI423" i="5"/>
  <c r="BJ425" i="5"/>
  <c r="BS425" i="5"/>
  <c r="CD425" i="5"/>
  <c r="CE424" i="5"/>
  <c r="BU423" i="5"/>
  <c r="BR423" i="5"/>
  <c r="BD425" i="5"/>
  <c r="BQ425" i="5"/>
  <c r="BT425" i="5"/>
  <c r="CF425" i="5"/>
  <c r="CF424" i="5"/>
  <c r="BH423" i="5"/>
  <c r="BK423" i="5"/>
  <c r="CA423" i="5"/>
  <c r="BK425" i="5"/>
  <c r="CE425" i="5"/>
  <c r="CK425" i="5"/>
  <c r="BU424" i="5"/>
  <c r="BD422" i="5"/>
  <c r="BG422" i="5"/>
  <c r="CF422" i="5"/>
  <c r="CG422" i="5"/>
  <c r="BG423" i="5"/>
  <c r="BS423" i="5"/>
  <c r="CK423" i="5"/>
  <c r="BI425" i="5"/>
  <c r="BM425" i="5"/>
  <c r="CC425" i="5"/>
  <c r="BS424" i="5"/>
  <c r="CK424" i="5"/>
  <c r="BZ422" i="5"/>
  <c r="CA422" i="5"/>
  <c r="BV423" i="5"/>
  <c r="CD423" i="5"/>
  <c r="BG425" i="5"/>
  <c r="BF425" i="5"/>
  <c r="BU425" i="5"/>
  <c r="BY424" i="5"/>
  <c r="BJ423" i="5"/>
  <c r="BY423" i="5"/>
  <c r="CC423" i="5"/>
  <c r="BR425" i="5"/>
  <c r="CA425" i="5"/>
  <c r="BT424" i="5"/>
  <c r="F75" i="22"/>
  <c r="F80" i="22" s="1"/>
  <c r="BD423" i="5"/>
  <c r="BI423" i="5"/>
  <c r="CE423" i="5"/>
  <c r="BE425" i="5"/>
  <c r="BW425" i="5"/>
  <c r="BV425" i="5"/>
  <c r="BJ424" i="5"/>
  <c r="BF422" i="5"/>
  <c r="BK422" i="5"/>
  <c r="CC422" i="5"/>
  <c r="CK422" i="5"/>
  <c r="BF423" i="5"/>
  <c r="BM423" i="5"/>
  <c r="BT423" i="5"/>
  <c r="CF423" i="5"/>
  <c r="BH425" i="5"/>
  <c r="BY425" i="5"/>
  <c r="CI425" i="5"/>
  <c r="BE424" i="5"/>
  <c r="CA419" i="5"/>
  <c r="AS420" i="5"/>
  <c r="F10" i="21" s="1"/>
  <c r="F38" i="21" s="1"/>
  <c r="BJ419" i="5"/>
  <c r="BI419" i="5"/>
  <c r="BB34" i="5"/>
  <c r="BG419" i="5"/>
  <c r="BB51" i="5"/>
  <c r="BZ51" i="5" s="1"/>
  <c r="CB26" i="5"/>
  <c r="BU419" i="5"/>
  <c r="BB262" i="5"/>
  <c r="BZ262" i="5" s="1"/>
  <c r="BO47" i="5"/>
  <c r="BN7" i="5"/>
  <c r="BZ7" i="5" s="1"/>
  <c r="BY419" i="5"/>
  <c r="BV419" i="5"/>
  <c r="CK419" i="5"/>
  <c r="AT420" i="5"/>
  <c r="F12" i="21" s="1"/>
  <c r="CC417" i="5"/>
  <c r="BF417" i="5"/>
  <c r="BJ417" i="5"/>
  <c r="BH419" i="5"/>
  <c r="BW419" i="5"/>
  <c r="CI419" i="5"/>
  <c r="BC284" i="5"/>
  <c r="AV419" i="5"/>
  <c r="BN284" i="5"/>
  <c r="BN419" i="5" s="1"/>
  <c r="AU419" i="5"/>
  <c r="BO358" i="5"/>
  <c r="BP284" i="5"/>
  <c r="BP419" i="5" s="1"/>
  <c r="BA419" i="5"/>
  <c r="CB55" i="5"/>
  <c r="AZ418" i="5"/>
  <c r="AZ417" i="5"/>
  <c r="BQ417" i="5"/>
  <c r="CB19" i="5"/>
  <c r="AY418" i="5"/>
  <c r="BV418" i="5"/>
  <c r="CA418" i="5"/>
  <c r="CI418" i="5"/>
  <c r="CB14" i="5"/>
  <c r="CB350" i="5"/>
  <c r="BV417" i="5"/>
  <c r="CI417" i="5"/>
  <c r="BE418" i="5"/>
  <c r="BI418" i="5"/>
  <c r="CA417" i="5"/>
  <c r="BD418" i="5"/>
  <c r="BS418" i="5"/>
  <c r="CK418" i="5"/>
  <c r="BD417" i="5"/>
  <c r="BU417" i="5"/>
  <c r="BW418" i="5"/>
  <c r="BY417" i="5"/>
  <c r="BM418" i="5"/>
  <c r="BY418" i="5"/>
  <c r="BJ418" i="5"/>
  <c r="BQ418" i="5"/>
  <c r="BR418" i="5"/>
  <c r="CC418" i="5"/>
  <c r="BG418" i="5"/>
  <c r="BU418" i="5"/>
  <c r="BT418" i="5"/>
  <c r="BK418" i="5"/>
  <c r="CF418" i="5"/>
  <c r="CE418" i="5"/>
  <c r="BC271" i="5"/>
  <c r="AV417" i="5"/>
  <c r="AY417" i="5"/>
  <c r="BI417" i="5"/>
  <c r="CK417" i="5"/>
  <c r="AU418" i="5"/>
  <c r="CD418" i="5"/>
  <c r="BF418" i="5"/>
  <c r="BM417" i="5"/>
  <c r="BH418" i="5"/>
  <c r="BG417" i="5"/>
  <c r="BS417" i="5"/>
  <c r="CD417" i="5"/>
  <c r="CE417" i="5"/>
  <c r="BH417" i="5"/>
  <c r="BR417" i="5"/>
  <c r="BP271" i="5"/>
  <c r="BP417" i="5" s="1"/>
  <c r="BA417" i="5"/>
  <c r="BK417" i="5"/>
  <c r="CF417" i="5"/>
  <c r="BA418" i="5"/>
  <c r="AV418" i="5"/>
  <c r="BO278" i="5"/>
  <c r="BC278" i="5"/>
  <c r="BN271" i="5"/>
  <c r="AU417" i="5"/>
  <c r="BE417" i="5"/>
  <c r="BT417" i="5"/>
  <c r="BW417" i="5"/>
  <c r="BP418" i="5"/>
  <c r="F10" i="20"/>
  <c r="D92" i="10"/>
  <c r="F12" i="20"/>
  <c r="F40" i="20" s="1"/>
  <c r="D94" i="10"/>
  <c r="CB42" i="5"/>
  <c r="H93" i="10"/>
  <c r="G39" i="20"/>
  <c r="AB11" i="20"/>
  <c r="AB45" i="20" s="1"/>
  <c r="J11" i="20"/>
  <c r="AA11" i="20"/>
  <c r="F75" i="20"/>
  <c r="F80" i="20" s="1"/>
  <c r="BZ30" i="5"/>
  <c r="BI414" i="5"/>
  <c r="BI415" i="5" s="1"/>
  <c r="BZ310" i="5"/>
  <c r="BF414" i="5"/>
  <c r="BF415" i="5" s="1"/>
  <c r="CD414" i="5"/>
  <c r="CD415" i="5" s="1"/>
  <c r="BL414" i="5"/>
  <c r="BL415" i="5" s="1"/>
  <c r="BL90" i="5"/>
  <c r="BE414" i="5"/>
  <c r="BE415" i="5" s="1"/>
  <c r="CC414" i="5"/>
  <c r="CC415" i="5" s="1"/>
  <c r="BL7" i="5"/>
  <c r="BB122" i="5"/>
  <c r="BZ122" i="5" s="1"/>
  <c r="BT414" i="5"/>
  <c r="BT415" i="5" s="1"/>
  <c r="BX414" i="5"/>
  <c r="BX415" i="5" s="1"/>
  <c r="BJ414" i="5"/>
  <c r="BJ415" i="5" s="1"/>
  <c r="CI414" i="5"/>
  <c r="CI415" i="5" s="1"/>
  <c r="BK414" i="5"/>
  <c r="BK415" i="5" s="1"/>
  <c r="H82" i="10"/>
  <c r="BO114" i="5"/>
  <c r="BH414" i="5"/>
  <c r="BH415" i="5" s="1"/>
  <c r="BV414" i="5"/>
  <c r="BV415" i="5" s="1"/>
  <c r="CJ414" i="5"/>
  <c r="CJ415" i="5" s="1"/>
  <c r="BG414" i="5"/>
  <c r="BG415" i="5" s="1"/>
  <c r="CG414" i="5"/>
  <c r="CG415" i="5" s="1"/>
  <c r="CH414" i="5"/>
  <c r="CH415" i="5" s="1"/>
  <c r="AZ414" i="5"/>
  <c r="AZ415" i="5" s="1"/>
  <c r="BS414" i="5"/>
  <c r="BS415" i="5" s="1"/>
  <c r="CA414" i="5"/>
  <c r="CA415" i="5" s="1"/>
  <c r="CB342" i="5"/>
  <c r="CF414" i="5"/>
  <c r="CF415" i="5" s="1"/>
  <c r="CB15" i="5"/>
  <c r="BD414" i="5"/>
  <c r="BD415" i="5" s="1"/>
  <c r="BZ414" i="5"/>
  <c r="BZ415" i="5" s="1"/>
  <c r="BQ414" i="5"/>
  <c r="BQ415" i="5" s="1"/>
  <c r="BC7" i="5"/>
  <c r="BW414" i="5"/>
  <c r="BW415" i="5" s="1"/>
  <c r="CE414" i="5"/>
  <c r="CE415" i="5" s="1"/>
  <c r="CK414" i="5"/>
  <c r="CK415" i="5" s="1"/>
  <c r="AY414" i="5"/>
  <c r="AY415" i="5" s="1"/>
  <c r="BU414" i="5"/>
  <c r="BU415" i="5" s="1"/>
  <c r="BY414" i="5"/>
  <c r="BY415" i="5" s="1"/>
  <c r="BL86" i="5"/>
  <c r="CB126" i="5"/>
  <c r="BC255" i="5"/>
  <c r="AV412" i="5"/>
  <c r="AV413" i="5" s="1"/>
  <c r="BR414" i="5"/>
  <c r="BR415" i="5" s="1"/>
  <c r="AZ412" i="5"/>
  <c r="AZ413" i="5" s="1"/>
  <c r="BM414" i="5"/>
  <c r="BM415" i="5" s="1"/>
  <c r="BO265" i="5"/>
  <c r="AV414" i="5"/>
  <c r="AV415" i="5" s="1"/>
  <c r="BX318" i="5"/>
  <c r="G39" i="19"/>
  <c r="AB11" i="19"/>
  <c r="AB45" i="19" s="1"/>
  <c r="AA11" i="19"/>
  <c r="J11" i="19"/>
  <c r="BP255" i="5"/>
  <c r="CB255" i="5" s="1"/>
  <c r="BA412" i="5"/>
  <c r="BA413" i="5" s="1"/>
  <c r="BB265" i="5"/>
  <c r="AU414" i="5"/>
  <c r="AU415" i="5" s="1"/>
  <c r="BP265" i="5"/>
  <c r="BP414" i="5" s="1"/>
  <c r="BP415" i="5" s="1"/>
  <c r="BA414" i="5"/>
  <c r="BA415" i="5" s="1"/>
  <c r="BH412" i="5"/>
  <c r="BH413" i="5" s="1"/>
  <c r="BS412" i="5"/>
  <c r="BS413" i="5" s="1"/>
  <c r="BW412" i="5"/>
  <c r="BW413" i="5" s="1"/>
  <c r="F10" i="19"/>
  <c r="D81" i="10"/>
  <c r="AU412" i="5"/>
  <c r="AU413" i="5" s="1"/>
  <c r="AY412" i="5"/>
  <c r="AY413" i="5" s="1"/>
  <c r="F12" i="19"/>
  <c r="F40" i="19" s="1"/>
  <c r="D83" i="10"/>
  <c r="BD412" i="5"/>
  <c r="BD413" i="5" s="1"/>
  <c r="BT412" i="5"/>
  <c r="BT413" i="5" s="1"/>
  <c r="BV412" i="5"/>
  <c r="BV413" i="5" s="1"/>
  <c r="BZ82" i="5"/>
  <c r="CF412" i="5"/>
  <c r="CF413" i="5" s="1"/>
  <c r="BU412" i="5"/>
  <c r="BU413" i="5" s="1"/>
  <c r="CD412" i="5"/>
  <c r="CD413" i="5" s="1"/>
  <c r="CK412" i="5"/>
  <c r="CK413" i="5" s="1"/>
  <c r="BE412" i="5"/>
  <c r="BE413" i="5" s="1"/>
  <c r="BK412" i="5"/>
  <c r="BK413" i="5" s="1"/>
  <c r="CI412" i="5"/>
  <c r="CI413" i="5" s="1"/>
  <c r="BX90" i="5"/>
  <c r="BL14" i="5"/>
  <c r="F75" i="19"/>
  <c r="F80" i="19" s="1"/>
  <c r="BQ412" i="5"/>
  <c r="BQ413" i="5" s="1"/>
  <c r="BY412" i="5"/>
  <c r="BY413" i="5" s="1"/>
  <c r="CA412" i="5"/>
  <c r="CA413" i="5" s="1"/>
  <c r="BG412" i="5"/>
  <c r="BG413" i="5" s="1"/>
  <c r="BJ412" i="5"/>
  <c r="BJ413" i="5" s="1"/>
  <c r="BI412" i="5"/>
  <c r="BI413" i="5" s="1"/>
  <c r="BF412" i="5"/>
  <c r="BF413" i="5" s="1"/>
  <c r="CC412" i="5"/>
  <c r="CC413" i="5" s="1"/>
  <c r="BM412" i="5"/>
  <c r="BM413" i="5" s="1"/>
  <c r="BR412" i="5"/>
  <c r="BR413" i="5" s="1"/>
  <c r="CE412" i="5"/>
  <c r="CE413" i="5" s="1"/>
  <c r="H71" i="10"/>
  <c r="BL55" i="5"/>
  <c r="BL198" i="5"/>
  <c r="BX14" i="5"/>
  <c r="BX55" i="5"/>
  <c r="F10" i="18"/>
  <c r="D70" i="10"/>
  <c r="AB11" i="18"/>
  <c r="AB45" i="18" s="1"/>
  <c r="AA11" i="18"/>
  <c r="G39" i="18"/>
  <c r="J11" i="18"/>
  <c r="F12" i="18"/>
  <c r="F40" i="18" s="1"/>
  <c r="D72" i="10"/>
  <c r="BL51" i="5"/>
  <c r="CB90" i="5"/>
  <c r="H60" i="10"/>
  <c r="BO55" i="5"/>
  <c r="BN27" i="5"/>
  <c r="BZ27" i="5" s="1"/>
  <c r="BL27" i="5"/>
  <c r="BX106" i="5"/>
  <c r="BX126" i="5"/>
  <c r="BL126" i="5"/>
  <c r="BL222" i="5"/>
  <c r="BX222" i="5"/>
  <c r="BL47" i="5"/>
  <c r="BX39" i="5"/>
  <c r="BX30" i="5"/>
  <c r="BL62" i="5"/>
  <c r="CB35" i="5"/>
  <c r="BS409" i="5"/>
  <c r="BS410" i="5" s="1"/>
  <c r="AZ409" i="5"/>
  <c r="AZ410" i="5" s="1"/>
  <c r="CA409" i="5"/>
  <c r="CA410" i="5" s="1"/>
  <c r="BO142" i="5"/>
  <c r="AV409" i="5"/>
  <c r="AV410" i="5" s="1"/>
  <c r="BR409" i="5"/>
  <c r="BR410" i="5" s="1"/>
  <c r="BP142" i="5"/>
  <c r="BP409" i="5" s="1"/>
  <c r="BP410" i="5" s="1"/>
  <c r="BA409" i="5"/>
  <c r="BA410" i="5" s="1"/>
  <c r="CC409" i="5"/>
  <c r="CC410" i="5" s="1"/>
  <c r="BG409" i="5"/>
  <c r="BG410" i="5" s="1"/>
  <c r="BV409" i="5"/>
  <c r="BV410" i="5" s="1"/>
  <c r="CK409" i="5"/>
  <c r="CK410" i="5" s="1"/>
  <c r="BQ409" i="5"/>
  <c r="BQ410" i="5" s="1"/>
  <c r="BB142" i="5"/>
  <c r="AU409" i="5"/>
  <c r="AU410" i="5" s="1"/>
  <c r="CE409" i="5"/>
  <c r="CE410" i="5" s="1"/>
  <c r="BX58" i="5"/>
  <c r="BX54" i="5"/>
  <c r="BL110" i="5"/>
  <c r="BX310" i="5"/>
  <c r="BM409" i="5"/>
  <c r="BM410" i="5" s="1"/>
  <c r="BH409" i="5"/>
  <c r="BH410" i="5" s="1"/>
  <c r="BW409" i="5"/>
  <c r="BW410" i="5" s="1"/>
  <c r="CI409" i="5"/>
  <c r="CI410" i="5" s="1"/>
  <c r="CF409" i="5"/>
  <c r="CF410" i="5" s="1"/>
  <c r="BE409" i="5"/>
  <c r="BE410" i="5" s="1"/>
  <c r="CD409" i="5"/>
  <c r="CD410" i="5" s="1"/>
  <c r="AB11" i="17"/>
  <c r="AB45" i="17" s="1"/>
  <c r="AA11" i="17"/>
  <c r="J11" i="17"/>
  <c r="G39" i="17"/>
  <c r="BD409" i="5"/>
  <c r="BD410" i="5" s="1"/>
  <c r="BT409" i="5"/>
  <c r="BT410" i="5" s="1"/>
  <c r="BI409" i="5"/>
  <c r="BI410" i="5" s="1"/>
  <c r="F10" i="17"/>
  <c r="F38" i="17" s="1"/>
  <c r="D59" i="10"/>
  <c r="BU409" i="5"/>
  <c r="BU410" i="5" s="1"/>
  <c r="BY409" i="5"/>
  <c r="BY410" i="5" s="1"/>
  <c r="AY409" i="5"/>
  <c r="AY410" i="5" s="1"/>
  <c r="F12" i="17"/>
  <c r="D61" i="10"/>
  <c r="BJ409" i="5"/>
  <c r="BJ410" i="5" s="1"/>
  <c r="BK409" i="5"/>
  <c r="BK410" i="5" s="1"/>
  <c r="BF409" i="5"/>
  <c r="BF410" i="5" s="1"/>
  <c r="BL122" i="5"/>
  <c r="BZ198" i="5"/>
  <c r="BZ158" i="5"/>
  <c r="BX122" i="5"/>
  <c r="CB310" i="5"/>
  <c r="CB198" i="5"/>
  <c r="F75" i="17"/>
  <c r="F80" i="17" s="1"/>
  <c r="BG407" i="5"/>
  <c r="BG408" i="5" s="1"/>
  <c r="BW407" i="5"/>
  <c r="BW408" i="5" s="1"/>
  <c r="AY407" i="5"/>
  <c r="AY408" i="5" s="1"/>
  <c r="BR407" i="5"/>
  <c r="BR408" i="5" s="1"/>
  <c r="CE407" i="5"/>
  <c r="CE408" i="5" s="1"/>
  <c r="BK407" i="5"/>
  <c r="BK408" i="5" s="1"/>
  <c r="CD407" i="5"/>
  <c r="CD408" i="5" s="1"/>
  <c r="BP98" i="5"/>
  <c r="BP407" i="5" s="1"/>
  <c r="BP408" i="5" s="1"/>
  <c r="BA407" i="5"/>
  <c r="BA408" i="5" s="1"/>
  <c r="CF407" i="5"/>
  <c r="CF408" i="5" s="1"/>
  <c r="BC98" i="5"/>
  <c r="AV407" i="5"/>
  <c r="AV408" i="5" s="1"/>
  <c r="AZ407" i="5"/>
  <c r="AZ408" i="5" s="1"/>
  <c r="BH407" i="5"/>
  <c r="BH408" i="5" s="1"/>
  <c r="BI407" i="5"/>
  <c r="BI408" i="5" s="1"/>
  <c r="CK407" i="5"/>
  <c r="CK408" i="5" s="1"/>
  <c r="CI407" i="5"/>
  <c r="CI408" i="5" s="1"/>
  <c r="BT407" i="5"/>
  <c r="BT408" i="5" s="1"/>
  <c r="BS407" i="5"/>
  <c r="BS408" i="5" s="1"/>
  <c r="BJ407" i="5"/>
  <c r="BJ408" i="5" s="1"/>
  <c r="CC407" i="5"/>
  <c r="CC408" i="5" s="1"/>
  <c r="BY407" i="5"/>
  <c r="BY408" i="5" s="1"/>
  <c r="BU407" i="5"/>
  <c r="BU408" i="5" s="1"/>
  <c r="BM407" i="5"/>
  <c r="BM408" i="5" s="1"/>
  <c r="BF407" i="5"/>
  <c r="BF408" i="5" s="1"/>
  <c r="BQ407" i="5"/>
  <c r="BQ408" i="5" s="1"/>
  <c r="BD407" i="5"/>
  <c r="BD408" i="5" s="1"/>
  <c r="AU407" i="5"/>
  <c r="AU408" i="5" s="1"/>
  <c r="BZ98" i="5"/>
  <c r="BE407" i="5"/>
  <c r="BE408" i="5" s="1"/>
  <c r="CA407" i="5"/>
  <c r="CA408" i="5" s="1"/>
  <c r="BV407" i="5"/>
  <c r="BV408" i="5" s="1"/>
  <c r="BO67" i="5"/>
  <c r="BB62" i="5"/>
  <c r="BZ62" i="5" s="1"/>
  <c r="BO30" i="5"/>
  <c r="BN110" i="5"/>
  <c r="BZ110" i="5" s="1"/>
  <c r="BO198" i="5"/>
  <c r="BL30" i="5"/>
  <c r="BO374" i="5"/>
  <c r="BN150" i="5"/>
  <c r="BZ150" i="5" s="1"/>
  <c r="BC366" i="5"/>
  <c r="CB30" i="5"/>
  <c r="BX198" i="5"/>
  <c r="BO39" i="5"/>
  <c r="BX51" i="5"/>
  <c r="BX15" i="5"/>
  <c r="CB51" i="5"/>
  <c r="CB62" i="5"/>
  <c r="BC130" i="5"/>
  <c r="BO98" i="5"/>
  <c r="BC34" i="5"/>
  <c r="CB27" i="5"/>
  <c r="CB118" i="5"/>
  <c r="CB190" i="5"/>
  <c r="CB39" i="5"/>
  <c r="CB270" i="5"/>
  <c r="BB22" i="5"/>
  <c r="BO66" i="5"/>
  <c r="BX86" i="5"/>
  <c r="BL310" i="5"/>
  <c r="CB58" i="5"/>
  <c r="BL39" i="5"/>
  <c r="CB377" i="5"/>
  <c r="BC38" i="5"/>
  <c r="BB286" i="5"/>
  <c r="BN10" i="5"/>
  <c r="CB106" i="5"/>
  <c r="BB166" i="5"/>
  <c r="BB223" i="5"/>
  <c r="BX26" i="5"/>
  <c r="BX62" i="5"/>
  <c r="CB110" i="5"/>
  <c r="CB222" i="5"/>
  <c r="CB10" i="5"/>
  <c r="BX130" i="5"/>
  <c r="BN326" i="5"/>
  <c r="BN26" i="5"/>
  <c r="BZ26" i="5" s="1"/>
  <c r="CB358" i="5"/>
  <c r="AT400" i="5"/>
  <c r="D28" i="10" s="1"/>
  <c r="BC118" i="5"/>
  <c r="BB342" i="5"/>
  <c r="BZ342" i="5" s="1"/>
  <c r="BN74" i="5"/>
  <c r="BC310" i="5"/>
  <c r="BB23" i="5"/>
  <c r="BZ23" i="5" s="1"/>
  <c r="CB54" i="5"/>
  <c r="BX23" i="5"/>
  <c r="G27" i="10"/>
  <c r="H27" i="10" s="1"/>
  <c r="CB34" i="5"/>
  <c r="BX110" i="5"/>
  <c r="BL23" i="5"/>
  <c r="BX342" i="5"/>
  <c r="BB47" i="5"/>
  <c r="BZ47" i="5" s="1"/>
  <c r="BC222" i="5"/>
  <c r="H49" i="10"/>
  <c r="BC10" i="5"/>
  <c r="CB130" i="5"/>
  <c r="CB23" i="5"/>
  <c r="BL342" i="5"/>
  <c r="AY405" i="5"/>
  <c r="AY406" i="5" s="1"/>
  <c r="G10" i="16" s="1"/>
  <c r="BN79" i="5"/>
  <c r="AU405" i="5"/>
  <c r="AU406" i="5" s="1"/>
  <c r="AZ405" i="5"/>
  <c r="AZ406" i="5" s="1"/>
  <c r="BC79" i="5"/>
  <c r="AV405" i="5"/>
  <c r="AV406" i="5" s="1"/>
  <c r="J11" i="16"/>
  <c r="I39" i="16"/>
  <c r="AB39" i="16" s="1"/>
  <c r="F10" i="16"/>
  <c r="F38" i="16" s="1"/>
  <c r="D48" i="10"/>
  <c r="BP79" i="5"/>
  <c r="BP405" i="5" s="1"/>
  <c r="BP406" i="5" s="1"/>
  <c r="BA405" i="5"/>
  <c r="BA406" i="5" s="1"/>
  <c r="F12" i="16"/>
  <c r="D50" i="10"/>
  <c r="G39" i="16"/>
  <c r="AB11" i="16"/>
  <c r="AA11" i="16"/>
  <c r="BF405" i="5"/>
  <c r="BF406" i="5" s="1"/>
  <c r="BJ405" i="5"/>
  <c r="BJ406" i="5" s="1"/>
  <c r="BT405" i="5"/>
  <c r="BT406" i="5" s="1"/>
  <c r="CF405" i="5"/>
  <c r="CF406" i="5" s="1"/>
  <c r="F75" i="16"/>
  <c r="F80" i="16" s="1"/>
  <c r="BH405" i="5"/>
  <c r="BH406" i="5" s="1"/>
  <c r="BM405" i="5"/>
  <c r="BM406" i="5" s="1"/>
  <c r="BR405" i="5"/>
  <c r="BR406" i="5" s="1"/>
  <c r="BS405" i="5"/>
  <c r="BS406" i="5" s="1"/>
  <c r="BY405" i="5"/>
  <c r="BY406" i="5" s="1"/>
  <c r="CC405" i="5"/>
  <c r="CC406" i="5" s="1"/>
  <c r="BE405" i="5"/>
  <c r="BE406" i="5" s="1"/>
  <c r="BG405" i="5"/>
  <c r="BG406" i="5" s="1"/>
  <c r="BW405" i="5"/>
  <c r="BW406" i="5" s="1"/>
  <c r="CD405" i="5"/>
  <c r="CD406" i="5" s="1"/>
  <c r="BQ405" i="5"/>
  <c r="BQ406" i="5" s="1"/>
  <c r="BK405" i="5"/>
  <c r="BK406" i="5" s="1"/>
  <c r="BV405" i="5"/>
  <c r="BV406" i="5" s="1"/>
  <c r="CE405" i="5"/>
  <c r="CE406" i="5" s="1"/>
  <c r="BU405" i="5"/>
  <c r="BU406" i="5" s="1"/>
  <c r="CI405" i="5"/>
  <c r="CI406" i="5" s="1"/>
  <c r="BL58" i="5"/>
  <c r="BD405" i="5"/>
  <c r="BD406" i="5" s="1"/>
  <c r="CA405" i="5"/>
  <c r="CA406" i="5" s="1"/>
  <c r="BI405" i="5"/>
  <c r="BI406" i="5" s="1"/>
  <c r="CK405" i="5"/>
  <c r="CK406" i="5" s="1"/>
  <c r="CB122" i="5"/>
  <c r="BC158" i="5"/>
  <c r="G11" i="14"/>
  <c r="G39" i="14" s="1"/>
  <c r="BO27" i="5"/>
  <c r="CB74" i="5"/>
  <c r="CB156" i="5"/>
  <c r="CB262" i="5"/>
  <c r="BX214" i="5"/>
  <c r="BB61" i="5"/>
  <c r="AU402" i="5"/>
  <c r="AU403" i="5" s="1"/>
  <c r="AZ402" i="5"/>
  <c r="AZ403" i="5" s="1"/>
  <c r="F12" i="15"/>
  <c r="F40" i="15" s="1"/>
  <c r="D39" i="10"/>
  <c r="AY402" i="5"/>
  <c r="AY403" i="5" s="1"/>
  <c r="F10" i="15"/>
  <c r="D37" i="10"/>
  <c r="H38" i="10"/>
  <c r="AB11" i="15"/>
  <c r="AB45" i="15" s="1"/>
  <c r="AA11" i="15"/>
  <c r="J11" i="15"/>
  <c r="G39" i="15"/>
  <c r="BP61" i="5"/>
  <c r="BP402" i="5" s="1"/>
  <c r="BP403" i="5" s="1"/>
  <c r="BA402" i="5"/>
  <c r="BA403" i="5" s="1"/>
  <c r="BC61" i="5"/>
  <c r="AV402" i="5"/>
  <c r="AV403" i="5" s="1"/>
  <c r="CB214" i="5"/>
  <c r="BJ402" i="5"/>
  <c r="BJ403" i="5" s="1"/>
  <c r="BV402" i="5"/>
  <c r="BV403" i="5" s="1"/>
  <c r="CB286" i="5"/>
  <c r="BI402" i="5"/>
  <c r="BI403" i="5" s="1"/>
  <c r="BM402" i="5"/>
  <c r="BM403" i="5" s="1"/>
  <c r="CF402" i="5"/>
  <c r="CF403" i="5" s="1"/>
  <c r="BQ402" i="5"/>
  <c r="BQ403" i="5" s="1"/>
  <c r="CE402" i="5"/>
  <c r="CE403" i="5" s="1"/>
  <c r="CI402" i="5"/>
  <c r="CI403" i="5" s="1"/>
  <c r="F75" i="15"/>
  <c r="F80" i="15" s="1"/>
  <c r="BT402" i="5"/>
  <c r="BT403" i="5" s="1"/>
  <c r="CC402" i="5"/>
  <c r="CC403" i="5" s="1"/>
  <c r="CK402" i="5"/>
  <c r="CK403" i="5" s="1"/>
  <c r="CB66" i="5"/>
  <c r="BD402" i="5"/>
  <c r="BD403" i="5" s="1"/>
  <c r="BG402" i="5"/>
  <c r="BG403" i="5" s="1"/>
  <c r="BU402" i="5"/>
  <c r="BU403" i="5" s="1"/>
  <c r="CB6" i="5"/>
  <c r="BE402" i="5"/>
  <c r="BE403" i="5" s="1"/>
  <c r="BR402" i="5"/>
  <c r="BR403" i="5" s="1"/>
  <c r="BW402" i="5"/>
  <c r="BW403" i="5" s="1"/>
  <c r="BF402" i="5"/>
  <c r="BF403" i="5" s="1"/>
  <c r="BS402" i="5"/>
  <c r="BS403" i="5" s="1"/>
  <c r="BY402" i="5"/>
  <c r="BY403" i="5" s="1"/>
  <c r="BK402" i="5"/>
  <c r="BK403" i="5" s="1"/>
  <c r="BH402" i="5"/>
  <c r="BH403" i="5" s="1"/>
  <c r="CA402" i="5"/>
  <c r="CA403" i="5" s="1"/>
  <c r="CD402" i="5"/>
  <c r="CD403" i="5" s="1"/>
  <c r="BN207" i="5"/>
  <c r="BZ207" i="5" s="1"/>
  <c r="BL262" i="5"/>
  <c r="CB67" i="5"/>
  <c r="CB18" i="5"/>
  <c r="CB59" i="5"/>
  <c r="CB82" i="5"/>
  <c r="BC22" i="5"/>
  <c r="BO391" i="5"/>
  <c r="CB321" i="5"/>
  <c r="BL214" i="5"/>
  <c r="H5" i="10"/>
  <c r="BX27" i="5"/>
  <c r="CB50" i="5"/>
  <c r="BC144" i="5"/>
  <c r="BL202" i="5"/>
  <c r="AS400" i="5"/>
  <c r="BC321" i="5"/>
  <c r="BL54" i="5"/>
  <c r="BL106" i="5"/>
  <c r="BL67" i="5"/>
  <c r="BL43" i="5"/>
  <c r="BX158" i="5"/>
  <c r="BO223" i="5"/>
  <c r="BO287" i="5"/>
  <c r="BB204" i="5"/>
  <c r="BZ204" i="5" s="1"/>
  <c r="BL26" i="5"/>
  <c r="BB271" i="5"/>
  <c r="BN210" i="5"/>
  <c r="BZ210" i="5" s="1"/>
  <c r="CB43" i="5"/>
  <c r="BX262" i="5"/>
  <c r="BX82" i="5"/>
  <c r="BL82" i="5"/>
  <c r="BX6" i="5"/>
  <c r="CB256" i="5"/>
  <c r="CB232" i="5"/>
  <c r="BO364" i="5"/>
  <c r="BB59" i="5"/>
  <c r="BZ59" i="5" s="1"/>
  <c r="CB277" i="5"/>
  <c r="BN299" i="5"/>
  <c r="BZ299" i="5" s="1"/>
  <c r="BB128" i="5"/>
  <c r="CB293" i="5"/>
  <c r="BN232" i="5"/>
  <c r="BO370" i="5"/>
  <c r="CB305" i="5"/>
  <c r="CB381" i="5"/>
  <c r="BX59" i="5"/>
  <c r="BO49" i="5"/>
  <c r="BN168" i="5"/>
  <c r="BN151" i="5"/>
  <c r="BO181" i="5"/>
  <c r="BC252" i="5"/>
  <c r="BN252" i="5"/>
  <c r="BC333" i="5"/>
  <c r="BC308" i="5"/>
  <c r="BO298" i="5"/>
  <c r="BN225" i="5"/>
  <c r="BZ225" i="5" s="1"/>
  <c r="BO125" i="5"/>
  <c r="BO155" i="5"/>
  <c r="BN155" i="5"/>
  <c r="BC89" i="5"/>
  <c r="BN280" i="5"/>
  <c r="BZ280" i="5" s="1"/>
  <c r="CB22" i="5"/>
  <c r="CB254" i="5"/>
  <c r="BB186" i="5"/>
  <c r="CB104" i="5"/>
  <c r="BL114" i="5"/>
  <c r="BB357" i="5"/>
  <c r="BO354" i="5"/>
  <c r="CB37" i="5"/>
  <c r="BB81" i="5"/>
  <c r="BZ81" i="5" s="1"/>
  <c r="CB245" i="5"/>
  <c r="BB21" i="5"/>
  <c r="BZ21" i="5" s="1"/>
  <c r="BC352" i="5"/>
  <c r="BC173" i="5"/>
  <c r="BC165" i="5"/>
  <c r="BC184" i="5"/>
  <c r="CB341" i="5"/>
  <c r="BC256" i="5"/>
  <c r="BO347" i="5"/>
  <c r="BN346" i="5"/>
  <c r="BC304" i="5"/>
  <c r="CB158" i="5"/>
  <c r="BX114" i="5"/>
  <c r="BL130" i="5"/>
  <c r="BO105" i="5"/>
  <c r="BC227" i="5"/>
  <c r="BF399" i="5"/>
  <c r="BH399" i="5"/>
  <c r="CC399" i="5"/>
  <c r="CI399" i="5"/>
  <c r="BK398" i="5"/>
  <c r="BI398" i="5"/>
  <c r="CA398" i="5"/>
  <c r="F12" i="13"/>
  <c r="D17" i="10"/>
  <c r="BO305" i="5"/>
  <c r="BB13" i="5"/>
  <c r="BZ13" i="5" s="1"/>
  <c r="BC53" i="5"/>
  <c r="AV399" i="5"/>
  <c r="AZ399" i="5"/>
  <c r="BJ399" i="5"/>
  <c r="BY399" i="5"/>
  <c r="CF399" i="5"/>
  <c r="BB351" i="5"/>
  <c r="BZ351" i="5" s="1"/>
  <c r="BC189" i="5"/>
  <c r="BN154" i="5"/>
  <c r="BZ154" i="5" s="1"/>
  <c r="BN338" i="5"/>
  <c r="BZ338" i="5" s="1"/>
  <c r="BB167" i="5"/>
  <c r="BZ167" i="5" s="1"/>
  <c r="BB103" i="5"/>
  <c r="BZ103" i="5" s="1"/>
  <c r="BO103" i="5"/>
  <c r="CB45" i="5"/>
  <c r="BC20" i="5"/>
  <c r="AV398" i="5"/>
  <c r="BD398" i="5"/>
  <c r="BR398" i="5"/>
  <c r="CC398" i="5"/>
  <c r="CB76" i="5"/>
  <c r="CB285" i="5"/>
  <c r="BL330" i="5"/>
  <c r="BB54" i="5"/>
  <c r="BN54" i="5"/>
  <c r="CB114" i="5"/>
  <c r="BO123" i="5"/>
  <c r="BC178" i="5"/>
  <c r="BO141" i="5"/>
  <c r="BO77" i="5"/>
  <c r="BC137" i="5"/>
  <c r="BN361" i="5"/>
  <c r="AY399" i="5"/>
  <c r="BE399" i="5"/>
  <c r="BV399" i="5"/>
  <c r="CB161" i="5"/>
  <c r="BB317" i="5"/>
  <c r="BZ317" i="5" s="1"/>
  <c r="CB283" i="5"/>
  <c r="BB20" i="5"/>
  <c r="AU398" i="5"/>
  <c r="BQ398" i="5"/>
  <c r="BU398" i="5"/>
  <c r="CF398" i="5"/>
  <c r="BO254" i="5"/>
  <c r="BC270" i="5"/>
  <c r="BO270" i="5"/>
  <c r="BB169" i="5"/>
  <c r="BZ169" i="5" s="1"/>
  <c r="BB53" i="5"/>
  <c r="AU399" i="5"/>
  <c r="BS399" i="5"/>
  <c r="BM399" i="5"/>
  <c r="CA399" i="5"/>
  <c r="CK399" i="5"/>
  <c r="BO273" i="5"/>
  <c r="BP20" i="5"/>
  <c r="BP398" i="5" s="1"/>
  <c r="BA398" i="5"/>
  <c r="BH398" i="5"/>
  <c r="BW398" i="5"/>
  <c r="CE398" i="5"/>
  <c r="BN195" i="5"/>
  <c r="BC115" i="5"/>
  <c r="BP53" i="5"/>
  <c r="BP399" i="5" s="1"/>
  <c r="BA399" i="5"/>
  <c r="BR399" i="5"/>
  <c r="BN33" i="5"/>
  <c r="BB25" i="5"/>
  <c r="BZ25" i="5" s="1"/>
  <c r="AY398" i="5"/>
  <c r="BE398" i="5"/>
  <c r="BY398" i="5"/>
  <c r="CI398" i="5"/>
  <c r="BC82" i="5"/>
  <c r="BB55" i="5"/>
  <c r="BN55" i="5"/>
  <c r="CB249" i="5"/>
  <c r="BO249" i="5"/>
  <c r="BC185" i="5"/>
  <c r="CB201" i="5"/>
  <c r="BC362" i="5"/>
  <c r="BO191" i="5"/>
  <c r="BN325" i="5"/>
  <c r="BZ325" i="5" s="1"/>
  <c r="BD399" i="5"/>
  <c r="BK399" i="5"/>
  <c r="BQ399" i="5"/>
  <c r="CB228" i="5"/>
  <c r="BC348" i="5"/>
  <c r="BC231" i="5"/>
  <c r="AZ398" i="5"/>
  <c r="BJ398" i="5"/>
  <c r="CD398" i="5"/>
  <c r="CK398" i="5"/>
  <c r="BO387" i="5"/>
  <c r="CB266" i="5"/>
  <c r="BB190" i="5"/>
  <c r="BN190" i="5"/>
  <c r="BC54" i="5"/>
  <c r="CB324" i="5"/>
  <c r="BB196" i="5"/>
  <c r="BZ196" i="5" s="1"/>
  <c r="CB68" i="5"/>
  <c r="BB313" i="5"/>
  <c r="BZ313" i="5" s="1"/>
  <c r="BB336" i="5"/>
  <c r="BC341" i="5"/>
  <c r="BN269" i="5"/>
  <c r="BC169" i="5"/>
  <c r="BG399" i="5"/>
  <c r="BT399" i="5"/>
  <c r="CD399" i="5"/>
  <c r="BC300" i="5"/>
  <c r="BN337" i="5"/>
  <c r="BF398" i="5"/>
  <c r="BM398" i="5"/>
  <c r="BV398" i="5"/>
  <c r="BN257" i="5"/>
  <c r="BL59" i="5"/>
  <c r="BX67" i="5"/>
  <c r="BL334" i="5"/>
  <c r="BL150" i="5"/>
  <c r="BL158" i="5"/>
  <c r="BX150" i="5"/>
  <c r="BL326" i="5"/>
  <c r="H16" i="10"/>
  <c r="BB68" i="5"/>
  <c r="BZ68" i="5" s="1"/>
  <c r="BB79" i="5"/>
  <c r="BN242" i="5"/>
  <c r="BN2" i="5"/>
  <c r="BI399" i="5"/>
  <c r="BU399" i="5"/>
  <c r="BW399" i="5"/>
  <c r="CE399" i="5"/>
  <c r="BC293" i="5"/>
  <c r="BB97" i="5"/>
  <c r="CB317" i="5"/>
  <c r="BB368" i="5"/>
  <c r="BB220" i="5"/>
  <c r="BZ220" i="5" s="1"/>
  <c r="BN360" i="5"/>
  <c r="BG398" i="5"/>
  <c r="BS398" i="5"/>
  <c r="BT398" i="5"/>
  <c r="F10" i="13"/>
  <c r="F38" i="13" s="1"/>
  <c r="D15" i="10"/>
  <c r="BN18" i="5"/>
  <c r="BZ18" i="5" s="1"/>
  <c r="G39" i="13"/>
  <c r="J11" i="13"/>
  <c r="AA11" i="13"/>
  <c r="AB11" i="13"/>
  <c r="AB45" i="13" s="1"/>
  <c r="CB319" i="5"/>
  <c r="CB172" i="5"/>
  <c r="CB387" i="5"/>
  <c r="CB150" i="5"/>
  <c r="CB38" i="5"/>
  <c r="CB186" i="5"/>
  <c r="CB149" i="5"/>
  <c r="CB237" i="5"/>
  <c r="CB140" i="5"/>
  <c r="BL6" i="5"/>
  <c r="CB251" i="5"/>
  <c r="CB352" i="5"/>
  <c r="CB153" i="5"/>
  <c r="BL98" i="5"/>
  <c r="F75" i="13"/>
  <c r="F80" i="13" s="1"/>
  <c r="CB187" i="5"/>
  <c r="CB298" i="5"/>
  <c r="BX18" i="5"/>
  <c r="CB334" i="5"/>
  <c r="BX334" i="5"/>
  <c r="BO377" i="5"/>
  <c r="BN57" i="5"/>
  <c r="BZ57" i="5" s="1"/>
  <c r="BB272" i="5"/>
  <c r="BZ272" i="5" s="1"/>
  <c r="CB207" i="5"/>
  <c r="BB115" i="5"/>
  <c r="BO241" i="5"/>
  <c r="BC328" i="5"/>
  <c r="BC13" i="5"/>
  <c r="BO309" i="5"/>
  <c r="BB197" i="5"/>
  <c r="BZ197" i="5" s="1"/>
  <c r="BC236" i="5"/>
  <c r="BC97" i="5"/>
  <c r="CB25" i="5"/>
  <c r="BC176" i="5"/>
  <c r="CB111" i="5"/>
  <c r="CB287" i="5"/>
  <c r="BB28" i="5"/>
  <c r="BO146" i="5"/>
  <c r="CB337" i="5"/>
  <c r="BO167" i="5"/>
  <c r="BC237" i="5"/>
  <c r="BC109" i="5"/>
  <c r="BN340" i="5"/>
  <c r="BZ340" i="5" s="1"/>
  <c r="BO32" i="5"/>
  <c r="BD396" i="5"/>
  <c r="BD397" i="5" s="1"/>
  <c r="BO162" i="5"/>
  <c r="BN343" i="5"/>
  <c r="BZ343" i="5" s="1"/>
  <c r="CB279" i="5"/>
  <c r="CB269" i="5"/>
  <c r="BN52" i="5"/>
  <c r="BZ52" i="5" s="1"/>
  <c r="BC33" i="5"/>
  <c r="BN376" i="5"/>
  <c r="BO100" i="5"/>
  <c r="AY396" i="5"/>
  <c r="AY397" i="5" s="1"/>
  <c r="CA396" i="5"/>
  <c r="CA397" i="5" s="1"/>
  <c r="BB221" i="5"/>
  <c r="BZ221" i="5" s="1"/>
  <c r="BL142" i="5"/>
  <c r="BO68" i="5"/>
  <c r="CB4" i="5"/>
  <c r="BN121" i="5"/>
  <c r="CB124" i="5"/>
  <c r="BC307" i="5"/>
  <c r="BC72" i="5"/>
  <c r="BN8" i="5"/>
  <c r="BB333" i="5"/>
  <c r="BN234" i="5"/>
  <c r="BZ234" i="5" s="1"/>
  <c r="BC383" i="5"/>
  <c r="BN383" i="5"/>
  <c r="BZ383" i="5" s="1"/>
  <c r="BC261" i="5"/>
  <c r="BN293" i="5"/>
  <c r="CB33" i="5"/>
  <c r="BO375" i="5"/>
  <c r="CB89" i="5"/>
  <c r="BT396" i="5"/>
  <c r="BT397" i="5" s="1"/>
  <c r="BO344" i="5"/>
  <c r="BB330" i="5"/>
  <c r="BZ330" i="5" s="1"/>
  <c r="BO382" i="5"/>
  <c r="BC382" i="5"/>
  <c r="BO288" i="5"/>
  <c r="BN288" i="5"/>
  <c r="BN227" i="5"/>
  <c r="BB247" i="5"/>
  <c r="BB111" i="5"/>
  <c r="BZ111" i="5" s="1"/>
  <c r="BC92" i="5"/>
  <c r="BB84" i="5"/>
  <c r="BZ84" i="5" s="1"/>
  <c r="BY396" i="5"/>
  <c r="BY397" i="5" s="1"/>
  <c r="BB202" i="5"/>
  <c r="BZ202" i="5" s="1"/>
  <c r="BX43" i="5"/>
  <c r="CB196" i="5"/>
  <c r="CB200" i="5"/>
  <c r="BC136" i="5"/>
  <c r="BB201" i="5"/>
  <c r="CB177" i="5"/>
  <c r="BB135" i="5"/>
  <c r="BZ135" i="5" s="1"/>
  <c r="CB223" i="5"/>
  <c r="BN116" i="5"/>
  <c r="BZ116" i="5" s="1"/>
  <c r="BB170" i="5"/>
  <c r="BO127" i="5"/>
  <c r="BC325" i="5"/>
  <c r="BC197" i="5"/>
  <c r="CB5" i="5"/>
  <c r="CB99" i="5"/>
  <c r="BO292" i="5"/>
  <c r="BC240" i="5"/>
  <c r="BO316" i="5"/>
  <c r="CB143" i="5"/>
  <c r="BC277" i="5"/>
  <c r="BB178" i="5"/>
  <c r="BZ178" i="5" s="1"/>
  <c r="BC264" i="5"/>
  <c r="BB72" i="5"/>
  <c r="BZ72" i="5" s="1"/>
  <c r="CB234" i="5"/>
  <c r="CB368" i="5"/>
  <c r="BC365" i="5"/>
  <c r="BB76" i="5"/>
  <c r="BF396" i="5"/>
  <c r="BF397" i="5" s="1"/>
  <c r="BB131" i="5"/>
  <c r="BZ131" i="5" s="1"/>
  <c r="BC386" i="5"/>
  <c r="CB221" i="5"/>
  <c r="CB390" i="5"/>
  <c r="BO186" i="5"/>
  <c r="BB377" i="5"/>
  <c r="CB272" i="5"/>
  <c r="BO272" i="5"/>
  <c r="CB16" i="5"/>
  <c r="BO79" i="5"/>
  <c r="BC201" i="5"/>
  <c r="BN179" i="5"/>
  <c r="BZ179" i="5" s="1"/>
  <c r="BB370" i="5"/>
  <c r="CB309" i="5"/>
  <c r="BB160" i="5"/>
  <c r="CB372" i="5"/>
  <c r="BO372" i="5"/>
  <c r="BO192" i="5"/>
  <c r="CB383" i="5"/>
  <c r="BO255" i="5"/>
  <c r="BB172" i="5"/>
  <c r="BZ172" i="5" s="1"/>
  <c r="CB281" i="5"/>
  <c r="BC265" i="5"/>
  <c r="BC275" i="5"/>
  <c r="BC295" i="5"/>
  <c r="BN329" i="5"/>
  <c r="BZ329" i="5" s="1"/>
  <c r="BB140" i="5"/>
  <c r="BZ140" i="5" s="1"/>
  <c r="BB258" i="5"/>
  <c r="BZ258" i="5" s="1"/>
  <c r="CB257" i="5"/>
  <c r="BN65" i="5"/>
  <c r="BZ65" i="5" s="1"/>
  <c r="CB24" i="5"/>
  <c r="BB66" i="5"/>
  <c r="BR396" i="5"/>
  <c r="BR397" i="5" s="1"/>
  <c r="BB379" i="5"/>
  <c r="BZ379" i="5" s="1"/>
  <c r="BN314" i="5"/>
  <c r="BC80" i="5"/>
  <c r="BB245" i="5"/>
  <c r="BZ245" i="5" s="1"/>
  <c r="BN371" i="5"/>
  <c r="BP396" i="5"/>
  <c r="BP397" i="5" s="1"/>
  <c r="BH396" i="5"/>
  <c r="BH397" i="5" s="1"/>
  <c r="BV396" i="5"/>
  <c r="BV397" i="5" s="1"/>
  <c r="CI396" i="5"/>
  <c r="CI397" i="5" s="1"/>
  <c r="BN188" i="5"/>
  <c r="BB188" i="5"/>
  <c r="BB307" i="5"/>
  <c r="BN307" i="5"/>
  <c r="BI396" i="5"/>
  <c r="BI397" i="5" s="1"/>
  <c r="CK396" i="5"/>
  <c r="CK397" i="5" s="1"/>
  <c r="BN149" i="5"/>
  <c r="BB149" i="5"/>
  <c r="CB252" i="5"/>
  <c r="BC135" i="5"/>
  <c r="BO135" i="5"/>
  <c r="BC160" i="5"/>
  <c r="BO160" i="5"/>
  <c r="BQ396" i="5"/>
  <c r="BQ397" i="5" s="1"/>
  <c r="BU396" i="5"/>
  <c r="BU397" i="5" s="1"/>
  <c r="BC378" i="5"/>
  <c r="BN187" i="5"/>
  <c r="BN132" i="5"/>
  <c r="BC251" i="5"/>
  <c r="BO251" i="5"/>
  <c r="BB137" i="5"/>
  <c r="BN137" i="5"/>
  <c r="AZ396" i="5"/>
  <c r="AZ397" i="5" s="1"/>
  <c r="BE396" i="5"/>
  <c r="BE397" i="5" s="1"/>
  <c r="CF396" i="5"/>
  <c r="CF397" i="5" s="1"/>
  <c r="BN144" i="5"/>
  <c r="BB144" i="5"/>
  <c r="BC213" i="5"/>
  <c r="BB352" i="5"/>
  <c r="BN352" i="5"/>
  <c r="BO242" i="5"/>
  <c r="BC242" i="5"/>
  <c r="BO369" i="5"/>
  <c r="BC369" i="5"/>
  <c r="BN199" i="5"/>
  <c r="BB199" i="5"/>
  <c r="BN180" i="5"/>
  <c r="BB180" i="5"/>
  <c r="BG396" i="5"/>
  <c r="BG397" i="5" s="1"/>
  <c r="CE396" i="5"/>
  <c r="CE397" i="5" s="1"/>
  <c r="BJ396" i="5"/>
  <c r="BJ397" i="5" s="1"/>
  <c r="BO336" i="5"/>
  <c r="BC60" i="5"/>
  <c r="BO371" i="5"/>
  <c r="BC371" i="5"/>
  <c r="BO113" i="5"/>
  <c r="BC113" i="5"/>
  <c r="BO200" i="5"/>
  <c r="BC200" i="5"/>
  <c r="BS396" i="5"/>
  <c r="BS397" i="5" s="1"/>
  <c r="BN315" i="5"/>
  <c r="BB315" i="5"/>
  <c r="BO379" i="5"/>
  <c r="BN251" i="5"/>
  <c r="CB378" i="5"/>
  <c r="CB185" i="5"/>
  <c r="CB80" i="5"/>
  <c r="BC21" i="5"/>
  <c r="BO21" i="5"/>
  <c r="BN124" i="5"/>
  <c r="BB124" i="5"/>
  <c r="CB369" i="5"/>
  <c r="BM396" i="5"/>
  <c r="BM397" i="5" s="1"/>
  <c r="BW396" i="5"/>
  <c r="BW397" i="5" s="1"/>
  <c r="BC313" i="5"/>
  <c r="BO313" i="5"/>
  <c r="BO196" i="5"/>
  <c r="BN185" i="5"/>
  <c r="BZ185" i="5" s="1"/>
  <c r="BO143" i="5"/>
  <c r="BB263" i="5"/>
  <c r="BN263" i="5"/>
  <c r="BO101" i="5"/>
  <c r="BC101" i="5"/>
  <c r="BK396" i="5"/>
  <c r="BK397" i="5" s="1"/>
  <c r="CD396" i="5"/>
  <c r="CD397" i="5" s="1"/>
  <c r="CC396" i="5"/>
  <c r="CC397" i="5" s="1"/>
  <c r="BC177" i="5"/>
  <c r="BB49" i="5"/>
  <c r="BZ49" i="5" s="1"/>
  <c r="CB77" i="5"/>
  <c r="CB357" i="5"/>
  <c r="CB244" i="5"/>
  <c r="BO234" i="5"/>
  <c r="BB297" i="5"/>
  <c r="BC233" i="5"/>
  <c r="CB41" i="5"/>
  <c r="BN41" i="5"/>
  <c r="BZ41" i="5" s="1"/>
  <c r="BN192" i="5"/>
  <c r="BO64" i="5"/>
  <c r="BO389" i="5"/>
  <c r="CB133" i="5"/>
  <c r="BO69" i="5"/>
  <c r="BB44" i="5"/>
  <c r="BO291" i="5"/>
  <c r="CB225" i="5"/>
  <c r="BN248" i="5"/>
  <c r="BC311" i="5"/>
  <c r="BB125" i="5"/>
  <c r="BC356" i="5"/>
  <c r="BB36" i="5"/>
  <c r="BO36" i="5"/>
  <c r="CB240" i="5"/>
  <c r="BO239" i="5"/>
  <c r="BN287" i="5"/>
  <c r="BO284" i="5"/>
  <c r="CB28" i="5"/>
  <c r="BO147" i="5"/>
  <c r="BN274" i="5"/>
  <c r="BZ274" i="5" s="1"/>
  <c r="BC145" i="5"/>
  <c r="CB17" i="5"/>
  <c r="BO359" i="5"/>
  <c r="BN212" i="5"/>
  <c r="BZ212" i="5" s="1"/>
  <c r="BN20" i="5"/>
  <c r="CB215" i="5"/>
  <c r="BN87" i="5"/>
  <c r="BZ87" i="5" s="1"/>
  <c r="BL93" i="5"/>
  <c r="BO190" i="5"/>
  <c r="BC190" i="5"/>
  <c r="BC63" i="5"/>
  <c r="CB364" i="5"/>
  <c r="BC108" i="5"/>
  <c r="BN355" i="5"/>
  <c r="BB291" i="5"/>
  <c r="BO163" i="5"/>
  <c r="BL354" i="5"/>
  <c r="BN226" i="5"/>
  <c r="CB312" i="5"/>
  <c r="BC120" i="5"/>
  <c r="BB183" i="5"/>
  <c r="BZ183" i="5" s="1"/>
  <c r="BO119" i="5"/>
  <c r="BC164" i="5"/>
  <c r="BC219" i="5"/>
  <c r="BB91" i="5"/>
  <c r="BZ91" i="5" s="1"/>
  <c r="BN345" i="5"/>
  <c r="BN281" i="5"/>
  <c r="BC25" i="5"/>
  <c r="BO48" i="5"/>
  <c r="CB303" i="5"/>
  <c r="BB175" i="5"/>
  <c r="BZ175" i="5" s="1"/>
  <c r="BB37" i="5"/>
  <c r="BO17" i="5"/>
  <c r="BC168" i="5"/>
  <c r="BC301" i="5"/>
  <c r="BB45" i="5"/>
  <c r="BZ45" i="5" s="1"/>
  <c r="CB212" i="5"/>
  <c r="CB329" i="5"/>
  <c r="CB32" i="5"/>
  <c r="BB322" i="5"/>
  <c r="BO24" i="5"/>
  <c r="BO75" i="5"/>
  <c r="BN138" i="5"/>
  <c r="BN142" i="5"/>
  <c r="BN78" i="5"/>
  <c r="BB117" i="5"/>
  <c r="BO41" i="5"/>
  <c r="CB203" i="5"/>
  <c r="CB226" i="5"/>
  <c r="BO61" i="5"/>
  <c r="BO91" i="5"/>
  <c r="BN282" i="5"/>
  <c r="BO112" i="5"/>
  <c r="BC81" i="5"/>
  <c r="BB109" i="5"/>
  <c r="BZ109" i="5" s="1"/>
  <c r="BB152" i="5"/>
  <c r="BZ152" i="5" s="1"/>
  <c r="BC343" i="5"/>
  <c r="BN235" i="5"/>
  <c r="BN107" i="5"/>
  <c r="BZ107" i="5" s="1"/>
  <c r="BN256" i="5"/>
  <c r="BC161" i="5"/>
  <c r="BB375" i="5"/>
  <c r="BZ375" i="5" s="1"/>
  <c r="BC228" i="5"/>
  <c r="BO211" i="5"/>
  <c r="BN83" i="5"/>
  <c r="BZ83" i="5" s="1"/>
  <c r="CB204" i="5"/>
  <c r="AV396" i="5"/>
  <c r="AV397" i="5" s="1"/>
  <c r="AU396" i="5"/>
  <c r="AU397" i="5" s="1"/>
  <c r="BL18" i="5"/>
  <c r="CB78" i="5"/>
  <c r="BB113" i="5"/>
  <c r="BZ113" i="5" s="1"/>
  <c r="BB205" i="5"/>
  <c r="BZ205" i="5" s="1"/>
  <c r="CB101" i="5"/>
  <c r="CB235" i="5"/>
  <c r="BN233" i="5"/>
  <c r="BZ233" i="5" s="1"/>
  <c r="BC319" i="5"/>
  <c r="CB197" i="5"/>
  <c r="BN5" i="5"/>
  <c r="BZ5" i="5" s="1"/>
  <c r="BO353" i="5"/>
  <c r="BC248" i="5"/>
  <c r="BC283" i="5"/>
  <c r="BB240" i="5"/>
  <c r="BN176" i="5"/>
  <c r="BZ176" i="5" s="1"/>
  <c r="BC339" i="5"/>
  <c r="BN339" i="5"/>
  <c r="BZ339" i="5" s="1"/>
  <c r="CB275" i="5"/>
  <c r="BC210" i="5"/>
  <c r="CB273" i="5"/>
  <c r="BN273" i="5"/>
  <c r="BZ273" i="5" s="1"/>
  <c r="BC209" i="5"/>
  <c r="BN231" i="5"/>
  <c r="BB276" i="5"/>
  <c r="BN321" i="5"/>
  <c r="BL24" i="5"/>
  <c r="CB224" i="5"/>
  <c r="BC106" i="5"/>
  <c r="BO106" i="5"/>
  <c r="BN114" i="5"/>
  <c r="BB114" i="5"/>
  <c r="BN130" i="5"/>
  <c r="BB130" i="5"/>
  <c r="F10" i="12"/>
  <c r="D4" i="10"/>
  <c r="BB391" i="5"/>
  <c r="BC263" i="5"/>
  <c r="BO199" i="5"/>
  <c r="BO116" i="5"/>
  <c r="BB312" i="5"/>
  <c r="BZ312" i="5" s="1"/>
  <c r="CB217" i="5"/>
  <c r="BB217" i="5"/>
  <c r="BC303" i="5"/>
  <c r="BC37" i="5"/>
  <c r="BB156" i="5"/>
  <c r="BB92" i="5"/>
  <c r="BO83" i="5"/>
  <c r="BC274" i="5"/>
  <c r="BO12" i="5"/>
  <c r="BC323" i="5"/>
  <c r="BC385" i="5"/>
  <c r="BN344" i="5"/>
  <c r="BC221" i="5"/>
  <c r="BN106" i="5"/>
  <c r="BB106" i="5"/>
  <c r="BB206" i="5"/>
  <c r="BN206" i="5"/>
  <c r="BO42" i="5"/>
  <c r="BC42" i="5"/>
  <c r="CB21" i="5"/>
  <c r="F12" i="12"/>
  <c r="F40" i="12" s="1"/>
  <c r="D6" i="10"/>
  <c r="BO327" i="5"/>
  <c r="BC52" i="5"/>
  <c r="BN354" i="5"/>
  <c r="BZ354" i="5" s="1"/>
  <c r="BN164" i="5"/>
  <c r="BZ164" i="5" s="1"/>
  <c r="BB96" i="5"/>
  <c r="BN237" i="5"/>
  <c r="BB93" i="5"/>
  <c r="BZ93" i="5" s="1"/>
  <c r="BN266" i="5"/>
  <c r="BO18" i="5"/>
  <c r="BC18" i="5"/>
  <c r="BN334" i="5"/>
  <c r="BB334" i="5"/>
  <c r="BB42" i="5"/>
  <c r="BN42" i="5"/>
  <c r="BC306" i="5"/>
  <c r="BB200" i="5"/>
  <c r="BB363" i="5"/>
  <c r="BO363" i="5"/>
  <c r="BO299" i="5"/>
  <c r="BN171" i="5"/>
  <c r="CB384" i="5"/>
  <c r="CB69" i="5"/>
  <c r="CB73" i="5"/>
  <c r="BO99" i="5"/>
  <c r="BC290" i="5"/>
  <c r="BN353" i="5"/>
  <c r="BZ353" i="5" s="1"/>
  <c r="CB184" i="5"/>
  <c r="CB183" i="5"/>
  <c r="BC253" i="5"/>
  <c r="BB218" i="5"/>
  <c r="CB367" i="5"/>
  <c r="BO111" i="5"/>
  <c r="BC156" i="5"/>
  <c r="BL274" i="5"/>
  <c r="BC337" i="5"/>
  <c r="BO360" i="5"/>
  <c r="BC296" i="5"/>
  <c r="BN173" i="5"/>
  <c r="BC340" i="5"/>
  <c r="BB148" i="5"/>
  <c r="BO332" i="5"/>
  <c r="BC193" i="5"/>
  <c r="BB129" i="5"/>
  <c r="BZ129" i="5" s="1"/>
  <c r="CB152" i="5"/>
  <c r="BA396" i="5"/>
  <c r="BA397" i="5" s="1"/>
  <c r="BO334" i="5"/>
  <c r="BC334" i="5"/>
  <c r="AA11" i="12"/>
  <c r="AB11" i="12"/>
  <c r="AB45" i="12" s="1"/>
  <c r="G39" i="12"/>
  <c r="J11" i="12"/>
  <c r="BB390" i="5"/>
  <c r="BO390" i="5"/>
  <c r="CB132" i="5"/>
  <c r="CB380" i="5"/>
  <c r="CB306" i="5"/>
  <c r="CB205" i="5"/>
  <c r="CB13" i="5"/>
  <c r="CB362" i="5"/>
  <c r="BL351" i="5"/>
  <c r="CB44" i="5"/>
  <c r="BL353" i="5"/>
  <c r="BL311" i="5"/>
  <c r="CB247" i="5"/>
  <c r="CB189" i="5"/>
  <c r="CB292" i="5"/>
  <c r="BL91" i="5"/>
  <c r="CB239" i="5"/>
  <c r="CB274" i="5"/>
  <c r="CB81" i="5"/>
  <c r="CB360" i="5"/>
  <c r="CB109" i="5"/>
  <c r="CB84" i="5"/>
  <c r="BL65" i="5"/>
  <c r="CB159" i="5"/>
  <c r="CB260" i="5"/>
  <c r="CB57" i="5"/>
  <c r="CB208" i="5"/>
  <c r="CB144" i="5"/>
  <c r="CB85" i="5"/>
  <c r="CB373" i="5"/>
  <c r="BL245" i="5"/>
  <c r="CB328" i="5"/>
  <c r="CB263" i="5"/>
  <c r="CB117" i="5"/>
  <c r="CB233" i="5"/>
  <c r="CB169" i="5"/>
  <c r="CB64" i="5"/>
  <c r="CB63" i="5"/>
  <c r="CB389" i="5"/>
  <c r="CB300" i="5"/>
  <c r="CB236" i="5"/>
  <c r="CB290" i="5"/>
  <c r="BL120" i="5"/>
  <c r="CB36" i="5"/>
  <c r="CB347" i="5"/>
  <c r="CB218" i="5"/>
  <c r="CB338" i="5"/>
  <c r="BL81" i="5"/>
  <c r="BX129" i="5"/>
  <c r="CB388" i="5"/>
  <c r="BL21" i="5"/>
  <c r="CB316" i="5"/>
  <c r="CB136" i="5"/>
  <c r="CB227" i="5"/>
  <c r="CB311" i="5"/>
  <c r="CB253" i="5"/>
  <c r="CB125" i="5"/>
  <c r="CB96" i="5"/>
  <c r="CB220" i="5"/>
  <c r="CB209" i="5"/>
  <c r="CB340" i="5"/>
  <c r="CB148" i="5"/>
  <c r="BL165" i="5"/>
  <c r="CB332" i="5"/>
  <c r="CB344" i="5"/>
  <c r="CB335" i="5"/>
  <c r="CB213" i="5"/>
  <c r="CB181" i="5"/>
  <c r="CB308" i="5"/>
  <c r="CB170" i="5"/>
  <c r="CB297" i="5"/>
  <c r="BL233" i="5"/>
  <c r="CB127" i="5"/>
  <c r="BL312" i="5"/>
  <c r="CB375" i="5"/>
  <c r="CB164" i="5"/>
  <c r="CB304" i="5"/>
  <c r="CB348" i="5"/>
  <c r="CB359" i="5"/>
  <c r="BX167" i="5"/>
  <c r="CB167" i="5"/>
  <c r="BL212" i="5"/>
  <c r="CB385" i="5"/>
  <c r="BX385" i="5"/>
  <c r="CB65" i="5"/>
  <c r="CB216" i="5"/>
  <c r="CB88" i="5"/>
  <c r="CB343" i="5"/>
  <c r="CB151" i="5"/>
  <c r="CB9" i="5"/>
  <c r="CB121" i="5"/>
  <c r="BL307" i="5"/>
  <c r="CB370" i="5"/>
  <c r="CB71" i="5"/>
  <c r="BX172" i="5"/>
  <c r="BL176" i="5"/>
  <c r="CB168" i="5"/>
  <c r="BL221" i="5"/>
  <c r="CB202" i="5"/>
  <c r="CB261" i="5"/>
  <c r="CB146" i="5"/>
  <c r="CB173" i="5"/>
  <c r="CB386" i="5"/>
  <c r="CB258" i="5"/>
  <c r="BL385" i="5"/>
  <c r="CB193" i="5"/>
  <c r="BX330" i="5"/>
  <c r="F75" i="12"/>
  <c r="F80" i="12" s="1"/>
  <c r="BL315" i="5"/>
  <c r="BL208" i="5"/>
  <c r="CB199" i="5"/>
  <c r="CB333" i="5"/>
  <c r="CB52" i="5"/>
  <c r="CB191" i="5"/>
  <c r="CB325" i="5"/>
  <c r="CB289" i="5"/>
  <c r="CB248" i="5"/>
  <c r="CB56" i="5"/>
  <c r="CB155" i="5"/>
  <c r="CB176" i="5"/>
  <c r="CB112" i="5"/>
  <c r="CB12" i="5"/>
  <c r="CB135" i="5"/>
  <c r="CB188" i="5"/>
  <c r="CB264" i="5"/>
  <c r="CB327" i="5"/>
  <c r="BL263" i="5"/>
  <c r="CB160" i="5"/>
  <c r="CB331" i="5"/>
  <c r="CB162" i="5"/>
  <c r="CB120" i="5"/>
  <c r="CB346" i="5"/>
  <c r="CB154" i="5"/>
  <c r="CB175" i="5"/>
  <c r="CB92" i="5"/>
  <c r="BL147" i="5"/>
  <c r="CB231" i="5"/>
  <c r="CB103" i="5"/>
  <c r="CB276" i="5"/>
  <c r="CB165" i="5"/>
  <c r="CB268" i="5"/>
  <c r="CB195" i="5"/>
  <c r="CB87" i="5"/>
  <c r="CB250" i="5"/>
  <c r="BX250" i="5"/>
  <c r="CB307" i="5"/>
  <c r="BX307" i="5"/>
  <c r="CB379" i="5"/>
  <c r="BX379" i="5"/>
  <c r="BX57" i="5"/>
  <c r="BX272" i="5"/>
  <c r="BB260" i="5"/>
  <c r="BZ260" i="5" s="1"/>
  <c r="BO260" i="5"/>
  <c r="BB4" i="5"/>
  <c r="BB394" i="5" s="1"/>
  <c r="BB395" i="5" s="1"/>
  <c r="BO314" i="5"/>
  <c r="BC250" i="5"/>
  <c r="BO57" i="5"/>
  <c r="BL144" i="5"/>
  <c r="BN80" i="5"/>
  <c r="BZ80" i="5" s="1"/>
  <c r="BB16" i="5"/>
  <c r="BZ16" i="5" s="1"/>
  <c r="BO16" i="5"/>
  <c r="BX16" i="5"/>
  <c r="BO335" i="5"/>
  <c r="BN341" i="5"/>
  <c r="BN277" i="5"/>
  <c r="BB213" i="5"/>
  <c r="BZ213" i="5" s="1"/>
  <c r="BC149" i="5"/>
  <c r="BX245" i="5"/>
  <c r="BB380" i="5"/>
  <c r="BO380" i="5"/>
  <c r="BB60" i="5"/>
  <c r="BX178" i="5"/>
  <c r="BN241" i="5"/>
  <c r="BZ241" i="5" s="1"/>
  <c r="CB113" i="5"/>
  <c r="BX113" i="5"/>
  <c r="BG394" i="5"/>
  <c r="BG395" i="5" s="1"/>
  <c r="BT394" i="5"/>
  <c r="BT395" i="5" s="1"/>
  <c r="CI394" i="5"/>
  <c r="CI395" i="5" s="1"/>
  <c r="BL101" i="5"/>
  <c r="BB308" i="5"/>
  <c r="CB355" i="5"/>
  <c r="BO225" i="5"/>
  <c r="BC225" i="5"/>
  <c r="BO312" i="5"/>
  <c r="BC312" i="5"/>
  <c r="CB83" i="5"/>
  <c r="BX83" i="5"/>
  <c r="BC388" i="5"/>
  <c r="BC324" i="5"/>
  <c r="BL260" i="5"/>
  <c r="BC4" i="5"/>
  <c r="CB315" i="5"/>
  <c r="BX315" i="5"/>
  <c r="BN123" i="5"/>
  <c r="BZ123" i="5" s="1"/>
  <c r="BL378" i="5"/>
  <c r="BB250" i="5"/>
  <c r="BZ250" i="5" s="1"/>
  <c r="BL249" i="5"/>
  <c r="BX185" i="5"/>
  <c r="BO121" i="5"/>
  <c r="BB208" i="5"/>
  <c r="BZ208" i="5" s="1"/>
  <c r="BL80" i="5"/>
  <c r="BB335" i="5"/>
  <c r="BZ335" i="5" s="1"/>
  <c r="BX335" i="5"/>
  <c r="BL143" i="5"/>
  <c r="BO373" i="5"/>
  <c r="BO245" i="5"/>
  <c r="BL352" i="5"/>
  <c r="BB316" i="5"/>
  <c r="BZ316" i="5" s="1"/>
  <c r="BC188" i="5"/>
  <c r="BX188" i="5"/>
  <c r="BO179" i="5"/>
  <c r="CB242" i="5"/>
  <c r="BB369" i="5"/>
  <c r="BL113" i="5"/>
  <c r="BA394" i="5"/>
  <c r="BA395" i="5" s="1"/>
  <c r="BP2" i="5"/>
  <c r="BX2" i="5" s="1"/>
  <c r="BH394" i="5"/>
  <c r="BH395" i="5" s="1"/>
  <c r="CD394" i="5"/>
  <c r="CD395" i="5" s="1"/>
  <c r="BB328" i="5"/>
  <c r="BZ328" i="5" s="1"/>
  <c r="BX328" i="5"/>
  <c r="BB264" i="5"/>
  <c r="BB327" i="5"/>
  <c r="BZ327" i="5" s="1"/>
  <c r="BL327" i="5"/>
  <c r="BL199" i="5"/>
  <c r="BX135" i="5"/>
  <c r="BO269" i="5"/>
  <c r="BO205" i="5"/>
  <c r="BX141" i="5"/>
  <c r="BX13" i="5"/>
  <c r="BO117" i="5"/>
  <c r="BX244" i="5"/>
  <c r="BL116" i="5"/>
  <c r="BL261" i="5"/>
  <c r="CB163" i="5"/>
  <c r="BX163" i="5"/>
  <c r="CB353" i="5"/>
  <c r="BX353" i="5"/>
  <c r="CB147" i="5"/>
  <c r="BX147" i="5"/>
  <c r="CB139" i="5"/>
  <c r="BX139" i="5"/>
  <c r="BX196" i="5"/>
  <c r="BL250" i="5"/>
  <c r="BX144" i="5"/>
  <c r="BL335" i="5"/>
  <c r="BX143" i="5"/>
  <c r="BB373" i="5"/>
  <c r="BL181" i="5"/>
  <c r="BO124" i="5"/>
  <c r="CB243" i="5"/>
  <c r="BX243" i="5"/>
  <c r="CB115" i="5"/>
  <c r="AV394" i="5"/>
  <c r="AV395" i="5" s="1"/>
  <c r="BC2" i="5"/>
  <c r="BL2" i="5"/>
  <c r="BI394" i="5"/>
  <c r="BI395" i="5" s="1"/>
  <c r="BS394" i="5"/>
  <c r="BS395" i="5" s="1"/>
  <c r="CB391" i="5"/>
  <c r="BX327" i="5"/>
  <c r="BN71" i="5"/>
  <c r="BZ71" i="5" s="1"/>
  <c r="BL180" i="5"/>
  <c r="BC171" i="5"/>
  <c r="BO171" i="5"/>
  <c r="BB298" i="5"/>
  <c r="BN298" i="5"/>
  <c r="BN384" i="5"/>
  <c r="BB384" i="5"/>
  <c r="BB191" i="5"/>
  <c r="BN191" i="5"/>
  <c r="BB69" i="5"/>
  <c r="BN69" i="5"/>
  <c r="BN108" i="5"/>
  <c r="BB108" i="5"/>
  <c r="CB91" i="5"/>
  <c r="BX91" i="5"/>
  <c r="CB339" i="5"/>
  <c r="BX339" i="5"/>
  <c r="CB259" i="5"/>
  <c r="BX259" i="5"/>
  <c r="BC207" i="5"/>
  <c r="AZ394" i="5"/>
  <c r="AZ395" i="5" s="1"/>
  <c r="BK394" i="5"/>
  <c r="BK395" i="5" s="1"/>
  <c r="BX136" i="5"/>
  <c r="CB72" i="5"/>
  <c r="BL135" i="5"/>
  <c r="BC244" i="5"/>
  <c r="BO244" i="5"/>
  <c r="BO180" i="5"/>
  <c r="BC180" i="5"/>
  <c r="CB107" i="5"/>
  <c r="BX107" i="5"/>
  <c r="BC203" i="5"/>
  <c r="BO203" i="5"/>
  <c r="BC376" i="5"/>
  <c r="BO376" i="5"/>
  <c r="BX208" i="5"/>
  <c r="BO271" i="5"/>
  <c r="BX207" i="5"/>
  <c r="BB85" i="5"/>
  <c r="BO85" i="5"/>
  <c r="BN181" i="5"/>
  <c r="BZ181" i="5" s="1"/>
  <c r="BX352" i="5"/>
  <c r="BL124" i="5"/>
  <c r="CB371" i="5"/>
  <c r="BL243" i="5"/>
  <c r="BB306" i="5"/>
  <c r="CB178" i="5"/>
  <c r="BX241" i="5"/>
  <c r="BL49" i="5"/>
  <c r="AY394" i="5"/>
  <c r="AY395" i="5" s="1"/>
  <c r="BV394" i="5"/>
  <c r="BV395" i="5" s="1"/>
  <c r="CC394" i="5"/>
  <c r="CC395" i="5" s="1"/>
  <c r="BB136" i="5"/>
  <c r="BZ136" i="5" s="1"/>
  <c r="BC8" i="5"/>
  <c r="BB309" i="5"/>
  <c r="BX101" i="5"/>
  <c r="BL372" i="5"/>
  <c r="CB116" i="5"/>
  <c r="CB171" i="5"/>
  <c r="BL320" i="5"/>
  <c r="BB63" i="5"/>
  <c r="BN63" i="5"/>
  <c r="BB162" i="5"/>
  <c r="BN162" i="5"/>
  <c r="BX312" i="5"/>
  <c r="CB131" i="5"/>
  <c r="BX131" i="5"/>
  <c r="BN388" i="5"/>
  <c r="BN324" i="5"/>
  <c r="CB123" i="5"/>
  <c r="BX123" i="5"/>
  <c r="BX313" i="5"/>
  <c r="BL185" i="5"/>
  <c r="BL196" i="5"/>
  <c r="BX68" i="5"/>
  <c r="BL379" i="5"/>
  <c r="BC187" i="5"/>
  <c r="BB378" i="5"/>
  <c r="BZ378" i="5" s="1"/>
  <c r="BX378" i="5"/>
  <c r="BN249" i="5"/>
  <c r="BZ249" i="5" s="1"/>
  <c r="BL16" i="5"/>
  <c r="BL207" i="5"/>
  <c r="BN143" i="5"/>
  <c r="BZ143" i="5" s="1"/>
  <c r="BL213" i="5"/>
  <c r="BL316" i="5"/>
  <c r="BX124" i="5"/>
  <c r="BC243" i="5"/>
  <c r="BL179" i="5"/>
  <c r="CB179" i="5"/>
  <c r="BX179" i="5"/>
  <c r="BR394" i="5"/>
  <c r="BR395" i="5" s="1"/>
  <c r="BO2" i="5"/>
  <c r="CE394" i="5"/>
  <c r="CE395" i="5" s="1"/>
  <c r="CB8" i="5"/>
  <c r="BC71" i="5"/>
  <c r="BX71" i="5"/>
  <c r="CB137" i="5"/>
  <c r="BN372" i="5"/>
  <c r="BZ372" i="5" s="1"/>
  <c r="BX116" i="5"/>
  <c r="BC235" i="5"/>
  <c r="BO235" i="5"/>
  <c r="BN362" i="5"/>
  <c r="BB362" i="5"/>
  <c r="BB255" i="5"/>
  <c r="BN255" i="5"/>
  <c r="BC331" i="5"/>
  <c r="BC289" i="5"/>
  <c r="BO289" i="5"/>
  <c r="BX375" i="5"/>
  <c r="CB323" i="5"/>
  <c r="BX323" i="5"/>
  <c r="BO208" i="5"/>
  <c r="BX213" i="5"/>
  <c r="BX181" i="5"/>
  <c r="BL188" i="5"/>
  <c r="CB60" i="5"/>
  <c r="BN305" i="5"/>
  <c r="CB241" i="5"/>
  <c r="BB177" i="5"/>
  <c r="BN177" i="5"/>
  <c r="BM394" i="5"/>
  <c r="BM395" i="5" s="1"/>
  <c r="BX72" i="5"/>
  <c r="BL137" i="5"/>
  <c r="BN101" i="5"/>
  <c r="BB101" i="5"/>
  <c r="BX52" i="5"/>
  <c r="BC107" i="5"/>
  <c r="BO107" i="5"/>
  <c r="BN320" i="5"/>
  <c r="BB320" i="5"/>
  <c r="BB73" i="5"/>
  <c r="BN73" i="5"/>
  <c r="CB354" i="5"/>
  <c r="BC315" i="5"/>
  <c r="BL123" i="5"/>
  <c r="CB314" i="5"/>
  <c r="CB313" i="5"/>
  <c r="BL313" i="5"/>
  <c r="BX260" i="5"/>
  <c r="BC132" i="5"/>
  <c r="BL68" i="5"/>
  <c r="BX249" i="5"/>
  <c r="BL57" i="5"/>
  <c r="CB336" i="5"/>
  <c r="BL272" i="5"/>
  <c r="BX80" i="5"/>
  <c r="BX21" i="5"/>
  <c r="BX316" i="5"/>
  <c r="BB243" i="5"/>
  <c r="BZ243" i="5" s="1"/>
  <c r="BL178" i="5"/>
  <c r="BX49" i="5"/>
  <c r="BF394" i="5"/>
  <c r="BF395" i="5" s="1"/>
  <c r="BU394" i="5"/>
  <c r="BU395" i="5" s="1"/>
  <c r="CF394" i="5"/>
  <c r="CF395" i="5" s="1"/>
  <c r="BL141" i="5"/>
  <c r="BN141" i="5"/>
  <c r="BZ141" i="5" s="1"/>
  <c r="BB77" i="5"/>
  <c r="BB244" i="5"/>
  <c r="BZ244" i="5" s="1"/>
  <c r="CB299" i="5"/>
  <c r="BX299" i="5"/>
  <c r="BB105" i="5"/>
  <c r="BN105" i="5"/>
  <c r="BB319" i="5"/>
  <c r="BN319" i="5"/>
  <c r="BN127" i="5"/>
  <c r="BB127" i="5"/>
  <c r="BL133" i="5"/>
  <c r="BL300" i="5"/>
  <c r="BN290" i="5"/>
  <c r="BO247" i="5"/>
  <c r="BC247" i="5"/>
  <c r="CB219" i="5"/>
  <c r="BX219" i="5"/>
  <c r="CB75" i="5"/>
  <c r="BX75" i="5"/>
  <c r="BL234" i="5"/>
  <c r="CB320" i="5"/>
  <c r="BN64" i="5"/>
  <c r="BZ64" i="5" s="1"/>
  <c r="BN261" i="5"/>
  <c r="BZ261" i="5" s="1"/>
  <c r="BB133" i="5"/>
  <c r="BZ133" i="5" s="1"/>
  <c r="BL69" i="5"/>
  <c r="BL5" i="5"/>
  <c r="BB203" i="5"/>
  <c r="BX351" i="5"/>
  <c r="BB364" i="5"/>
  <c r="BO172" i="5"/>
  <c r="BL108" i="5"/>
  <c r="BO355" i="5"/>
  <c r="BN163" i="5"/>
  <c r="BZ163" i="5" s="1"/>
  <c r="BO226" i="5"/>
  <c r="BB289" i="5"/>
  <c r="BL225" i="5"/>
  <c r="BB184" i="5"/>
  <c r="BC56" i="5"/>
  <c r="BC183" i="5"/>
  <c r="BN119" i="5"/>
  <c r="BZ119" i="5" s="1"/>
  <c r="BO381" i="5"/>
  <c r="BC317" i="5"/>
  <c r="BL189" i="5"/>
  <c r="BB100" i="5"/>
  <c r="BZ100" i="5" s="1"/>
  <c r="BB347" i="5"/>
  <c r="BB283" i="5"/>
  <c r="BC346" i="5"/>
  <c r="BC218" i="5"/>
  <c r="BN153" i="5"/>
  <c r="BZ153" i="5" s="1"/>
  <c r="BX89" i="5"/>
  <c r="BC368" i="5"/>
  <c r="BB304" i="5"/>
  <c r="BB112" i="5"/>
  <c r="BB303" i="5"/>
  <c r="BB239" i="5"/>
  <c r="BZ239" i="5" s="1"/>
  <c r="BL111" i="5"/>
  <c r="BN265" i="5"/>
  <c r="BO229" i="5"/>
  <c r="BC28" i="5"/>
  <c r="BB296" i="5"/>
  <c r="BB104" i="5"/>
  <c r="BZ104" i="5" s="1"/>
  <c r="BO20" i="5"/>
  <c r="BC95" i="5"/>
  <c r="BN95" i="5"/>
  <c r="BZ95" i="5" s="1"/>
  <c r="BN165" i="5"/>
  <c r="BZ165" i="5" s="1"/>
  <c r="BN268" i="5"/>
  <c r="BO195" i="5"/>
  <c r="BC322" i="5"/>
  <c r="CB194" i="5"/>
  <c r="CB129" i="5"/>
  <c r="BX280" i="5"/>
  <c r="BC216" i="5"/>
  <c r="BB88" i="5"/>
  <c r="BZ88" i="5" s="1"/>
  <c r="BO88" i="5"/>
  <c r="BX88" i="5"/>
  <c r="BX343" i="5"/>
  <c r="BC279" i="5"/>
  <c r="BC215" i="5"/>
  <c r="BO151" i="5"/>
  <c r="BO285" i="5"/>
  <c r="BO157" i="5"/>
  <c r="BO93" i="5"/>
  <c r="BB75" i="5"/>
  <c r="BZ75" i="5" s="1"/>
  <c r="BC202" i="5"/>
  <c r="BN9" i="5"/>
  <c r="BX159" i="5"/>
  <c r="BL299" i="5"/>
  <c r="BC170" i="5"/>
  <c r="BX233" i="5"/>
  <c r="CB105" i="5"/>
  <c r="BX41" i="5"/>
  <c r="BO384" i="5"/>
  <c r="BC320" i="5"/>
  <c r="BX320" i="5"/>
  <c r="BX383" i="5"/>
  <c r="BL325" i="5"/>
  <c r="BX261" i="5"/>
  <c r="BL197" i="5"/>
  <c r="BO133" i="5"/>
  <c r="BX69" i="5"/>
  <c r="BX5" i="5"/>
  <c r="BN53" i="5"/>
  <c r="BB331" i="5"/>
  <c r="BL172" i="5"/>
  <c r="BO44" i="5"/>
  <c r="CB97" i="5"/>
  <c r="BL375" i="5"/>
  <c r="BX311" i="5"/>
  <c r="BX119" i="5"/>
  <c r="BX253" i="5"/>
  <c r="BN61" i="5"/>
  <c r="BL164" i="5"/>
  <c r="CB100" i="5"/>
  <c r="BN219" i="5"/>
  <c r="BZ219" i="5" s="1"/>
  <c r="BO154" i="5"/>
  <c r="BX154" i="5"/>
  <c r="BL153" i="5"/>
  <c r="BN89" i="5"/>
  <c r="BZ89" i="5" s="1"/>
  <c r="BN367" i="5"/>
  <c r="BO220" i="5"/>
  <c r="CB210" i="5"/>
  <c r="BX210" i="5"/>
  <c r="BX273" i="5"/>
  <c r="BL145" i="5"/>
  <c r="BX104" i="5"/>
  <c r="BC40" i="5"/>
  <c r="BL40" i="5"/>
  <c r="CB40" i="5"/>
  <c r="BN295" i="5"/>
  <c r="BL301" i="5"/>
  <c r="BL84" i="5"/>
  <c r="BC140" i="5"/>
  <c r="BX140" i="5"/>
  <c r="BC76" i="5"/>
  <c r="BB12" i="5"/>
  <c r="BZ12" i="5" s="1"/>
  <c r="BL323" i="5"/>
  <c r="BB385" i="5"/>
  <c r="BZ385" i="5" s="1"/>
  <c r="BL280" i="5"/>
  <c r="BL418" i="5" s="1"/>
  <c r="BN216" i="5"/>
  <c r="BZ216" i="5" s="1"/>
  <c r="BX87" i="5"/>
  <c r="BX93" i="5"/>
  <c r="BC139" i="5"/>
  <c r="BC266" i="5"/>
  <c r="BE394" i="5"/>
  <c r="BE395" i="5" s="1"/>
  <c r="BW394" i="5"/>
  <c r="BW395" i="5" s="1"/>
  <c r="BL328" i="5"/>
  <c r="BX263" i="5"/>
  <c r="BL205" i="5"/>
  <c r="BX137" i="5"/>
  <c r="BO357" i="5"/>
  <c r="BX372" i="5"/>
  <c r="BL169" i="5"/>
  <c r="BX169" i="5"/>
  <c r="BC5" i="5"/>
  <c r="BC351" i="5"/>
  <c r="BB236" i="5"/>
  <c r="BZ236" i="5" s="1"/>
  <c r="BL236" i="5"/>
  <c r="BX236" i="5"/>
  <c r="BL161" i="5"/>
  <c r="BB120" i="5"/>
  <c r="BZ120" i="5" s="1"/>
  <c r="BN56" i="5"/>
  <c r="BZ56" i="5" s="1"/>
  <c r="BX381" i="5"/>
  <c r="BB253" i="5"/>
  <c r="BZ253" i="5" s="1"/>
  <c r="BX189" i="5"/>
  <c r="BB356" i="5"/>
  <c r="CB356" i="5"/>
  <c r="BN292" i="5"/>
  <c r="BN228" i="5"/>
  <c r="BZ228" i="5" s="1"/>
  <c r="BC282" i="5"/>
  <c r="BC345" i="5"/>
  <c r="BC281" i="5"/>
  <c r="BC217" i="5"/>
  <c r="BC153" i="5"/>
  <c r="BB48" i="5"/>
  <c r="BC367" i="5"/>
  <c r="BL239" i="5"/>
  <c r="BC175" i="5"/>
  <c r="BB284" i="5"/>
  <c r="BN147" i="5"/>
  <c r="BZ147" i="5" s="1"/>
  <c r="BL83" i="5"/>
  <c r="BX81" i="5"/>
  <c r="BB17" i="5"/>
  <c r="BZ17" i="5" s="1"/>
  <c r="BB40" i="5"/>
  <c r="BZ40" i="5" s="1"/>
  <c r="BX40" i="5"/>
  <c r="BN359" i="5"/>
  <c r="BL103" i="5"/>
  <c r="BN301" i="5"/>
  <c r="BZ301" i="5" s="1"/>
  <c r="BX45" i="5"/>
  <c r="BX340" i="5"/>
  <c r="BO212" i="5"/>
  <c r="BC329" i="5"/>
  <c r="BL95" i="5"/>
  <c r="BX165" i="5"/>
  <c r="BX332" i="5"/>
  <c r="BO268" i="5"/>
  <c r="BC259" i="5"/>
  <c r="BC258" i="5"/>
  <c r="BL258" i="5"/>
  <c r="BX258" i="5"/>
  <c r="BO257" i="5"/>
  <c r="BL193" i="5"/>
  <c r="BC65" i="5"/>
  <c r="BO152" i="5"/>
  <c r="BL88" i="5"/>
  <c r="BX215" i="5"/>
  <c r="BC87" i="5"/>
  <c r="BL87" i="5"/>
  <c r="BO349" i="5"/>
  <c r="BX285" i="5"/>
  <c r="BB157" i="5"/>
  <c r="BL29" i="5"/>
  <c r="BO29" i="5"/>
  <c r="BC267" i="5"/>
  <c r="CB267" i="5"/>
  <c r="BL139" i="5"/>
  <c r="BC9" i="5"/>
  <c r="BB224" i="5"/>
  <c r="BZ224" i="5" s="1"/>
  <c r="BC159" i="5"/>
  <c r="BL241" i="5"/>
  <c r="BD394" i="5"/>
  <c r="BD395" i="5" s="1"/>
  <c r="CK394" i="5"/>
  <c r="CK395" i="5" s="1"/>
  <c r="BL72" i="5"/>
  <c r="BL71" i="5"/>
  <c r="BX205" i="5"/>
  <c r="CB141" i="5"/>
  <c r="BL13" i="5"/>
  <c r="BL244" i="5"/>
  <c r="BL52" i="5"/>
  <c r="BL107" i="5"/>
  <c r="BX234" i="5"/>
  <c r="CB361" i="5"/>
  <c r="BX133" i="5"/>
  <c r="BO53" i="5"/>
  <c r="BC73" i="5"/>
  <c r="BL73" i="5"/>
  <c r="CB108" i="5"/>
  <c r="BX108" i="5"/>
  <c r="BB99" i="5"/>
  <c r="BN161" i="5"/>
  <c r="BZ161" i="5" s="1"/>
  <c r="BL56" i="5"/>
  <c r="BX56" i="5"/>
  <c r="BN311" i="5"/>
  <c r="BZ311" i="5" s="1"/>
  <c r="BX183" i="5"/>
  <c r="BL119" i="5"/>
  <c r="BN381" i="5"/>
  <c r="BZ381" i="5" s="1"/>
  <c r="BL317" i="5"/>
  <c r="BL253" i="5"/>
  <c r="BX100" i="5"/>
  <c r="CB345" i="5"/>
  <c r="BX111" i="5"/>
  <c r="BN229" i="5"/>
  <c r="CB229" i="5"/>
  <c r="BB348" i="5"/>
  <c r="BN275" i="5"/>
  <c r="BN211" i="5"/>
  <c r="BL338" i="5"/>
  <c r="BX145" i="5"/>
  <c r="BX103" i="5"/>
  <c r="CB365" i="5"/>
  <c r="CB301" i="5"/>
  <c r="BX301" i="5"/>
  <c r="BL45" i="5"/>
  <c r="BO45" i="5"/>
  <c r="BC276" i="5"/>
  <c r="BL329" i="5"/>
  <c r="BN32" i="5"/>
  <c r="BB332" i="5"/>
  <c r="BZ332" i="5" s="1"/>
  <c r="BL332" i="5"/>
  <c r="BC204" i="5"/>
  <c r="BL140" i="5"/>
  <c r="BL259" i="5"/>
  <c r="BO129" i="5"/>
  <c r="BX24" i="5"/>
  <c r="BB349" i="5"/>
  <c r="BB285" i="5"/>
  <c r="BZ285" i="5" s="1"/>
  <c r="BX29" i="5"/>
  <c r="CB138" i="5"/>
  <c r="BO224" i="5"/>
  <c r="BN159" i="5"/>
  <c r="BZ159" i="5" s="1"/>
  <c r="CB363" i="5"/>
  <c r="BL105" i="5"/>
  <c r="CB192" i="5"/>
  <c r="BC128" i="5"/>
  <c r="CB128" i="5"/>
  <c r="BX64" i="5"/>
  <c r="BN300" i="5"/>
  <c r="BZ300" i="5" s="1"/>
  <c r="BL163" i="5"/>
  <c r="CB376" i="5"/>
  <c r="CB119" i="5"/>
  <c r="BX317" i="5"/>
  <c r="BB189" i="5"/>
  <c r="BZ189" i="5" s="1"/>
  <c r="BL100" i="5"/>
  <c r="CB282" i="5"/>
  <c r="BL89" i="5"/>
  <c r="BX25" i="5"/>
  <c r="CB48" i="5"/>
  <c r="BX175" i="5"/>
  <c r="BC96" i="5"/>
  <c r="BN146" i="5"/>
  <c r="BL273" i="5"/>
  <c r="BN209" i="5"/>
  <c r="CB145" i="5"/>
  <c r="BX17" i="5"/>
  <c r="BO104" i="5"/>
  <c r="BL340" i="5"/>
  <c r="BL20" i="5"/>
  <c r="BX204" i="5"/>
  <c r="BB387" i="5"/>
  <c r="BC131" i="5"/>
  <c r="BL131" i="5"/>
  <c r="BB194" i="5"/>
  <c r="BZ194" i="5" s="1"/>
  <c r="BL194" i="5"/>
  <c r="CB280" i="5"/>
  <c r="BL216" i="5"/>
  <c r="BX216" i="5"/>
  <c r="BB24" i="5"/>
  <c r="BZ24" i="5" s="1"/>
  <c r="CB157" i="5"/>
  <c r="CB93" i="5"/>
  <c r="BB29" i="5"/>
  <c r="BZ29" i="5" s="1"/>
  <c r="BB267" i="5"/>
  <c r="BB139" i="5"/>
  <c r="BZ139" i="5" s="1"/>
  <c r="BC330" i="5"/>
  <c r="CB330" i="5"/>
  <c r="BC138" i="5"/>
  <c r="BL159" i="5"/>
  <c r="BL228" i="5"/>
  <c r="BL154" i="5"/>
  <c r="BL175" i="5"/>
  <c r="BL220" i="5"/>
  <c r="BX220" i="5"/>
  <c r="BL339" i="5"/>
  <c r="BC338" i="5"/>
  <c r="BX338" i="5"/>
  <c r="BB145" i="5"/>
  <c r="BZ145" i="5" s="1"/>
  <c r="BL17" i="5"/>
  <c r="CB296" i="5"/>
  <c r="BL104" i="5"/>
  <c r="BL295" i="5"/>
  <c r="BX212" i="5"/>
  <c r="BO148" i="5"/>
  <c r="BC84" i="5"/>
  <c r="BX95" i="5"/>
  <c r="BL12" i="5"/>
  <c r="BX12" i="5"/>
  <c r="BB323" i="5"/>
  <c r="BZ323" i="5" s="1"/>
  <c r="BN386" i="5"/>
  <c r="BC194" i="5"/>
  <c r="BN193" i="5"/>
  <c r="BZ193" i="5" s="1"/>
  <c r="BL129" i="5"/>
  <c r="BX65" i="5"/>
  <c r="BO280" i="5"/>
  <c r="BL343" i="5"/>
  <c r="BB215" i="5"/>
  <c r="BZ215" i="5" s="1"/>
  <c r="CB349" i="5"/>
  <c r="BL285" i="5"/>
  <c r="BX221" i="5"/>
  <c r="CB29" i="5"/>
  <c r="BL75" i="5"/>
  <c r="CB49" i="5"/>
  <c r="AU394" i="5"/>
  <c r="AU395" i="5" s="1"/>
  <c r="BJ394" i="5"/>
  <c r="BJ395" i="5" s="1"/>
  <c r="BQ394" i="5"/>
  <c r="BQ395" i="5" s="1"/>
  <c r="BY394" i="5"/>
  <c r="BY395" i="5" s="1"/>
  <c r="CA394" i="5"/>
  <c r="CA395" i="5" s="1"/>
  <c r="BL136" i="5"/>
  <c r="BX199" i="5"/>
  <c r="BC361" i="5"/>
  <c r="BC297" i="5"/>
  <c r="BX105" i="5"/>
  <c r="BL383" i="5"/>
  <c r="BB389" i="5"/>
  <c r="BX325" i="5"/>
  <c r="BX300" i="5"/>
  <c r="BX225" i="5"/>
  <c r="BL381" i="5"/>
  <c r="BX228" i="5"/>
  <c r="BL219" i="5"/>
  <c r="BX176" i="5"/>
  <c r="BX239" i="5"/>
  <c r="BL284" i="5"/>
  <c r="CB211" i="5"/>
  <c r="BC232" i="5"/>
  <c r="BL167" i="5"/>
  <c r="BB365" i="5"/>
  <c r="BL109" i="5"/>
  <c r="BX109" i="5"/>
  <c r="BX84" i="5"/>
  <c r="CB95" i="5"/>
  <c r="BL204" i="5"/>
  <c r="BB259" i="5"/>
  <c r="BZ259" i="5" s="1"/>
  <c r="BL322" i="5"/>
  <c r="BX194" i="5"/>
  <c r="BL152" i="5"/>
  <c r="BX152" i="5"/>
  <c r="BB279" i="5"/>
  <c r="BX202" i="5"/>
  <c r="BL224" i="5"/>
  <c r="CB180" i="5"/>
  <c r="BX180" i="5"/>
  <c r="BL41" i="5"/>
  <c r="BL64" i="5"/>
  <c r="BX197" i="5"/>
  <c r="BX73" i="5"/>
  <c r="CB351" i="5"/>
  <c r="CB291" i="5"/>
  <c r="BX354" i="5"/>
  <c r="BX161" i="5"/>
  <c r="BX120" i="5"/>
  <c r="BL183" i="5"/>
  <c r="BX164" i="5"/>
  <c r="BX153" i="5"/>
  <c r="BL25" i="5"/>
  <c r="BX274" i="5"/>
  <c r="BL210" i="5"/>
  <c r="BX329" i="5"/>
  <c r="BX193" i="5"/>
  <c r="BL215" i="5"/>
  <c r="BX224" i="5"/>
  <c r="AB10" i="9"/>
  <c r="BO394" i="5" l="1"/>
  <c r="BO395" i="5" s="1"/>
  <c r="BX322" i="5"/>
  <c r="CB295" i="5"/>
  <c r="AV452" i="5"/>
  <c r="AV456" i="5"/>
  <c r="AV447" i="5"/>
  <c r="AY456" i="5"/>
  <c r="AW451" i="5"/>
  <c r="AW457" i="5"/>
  <c r="AW455" i="5"/>
  <c r="AW446" i="5"/>
  <c r="AW459" i="5"/>
  <c r="AW442" i="5"/>
  <c r="AW458" i="5"/>
  <c r="AW438" i="5"/>
  <c r="AW439" i="5" s="1"/>
  <c r="AY441" i="5"/>
  <c r="AW448" i="5"/>
  <c r="AW443" i="5"/>
  <c r="AW453" i="5"/>
  <c r="AW440" i="5"/>
  <c r="AV441" i="5"/>
  <c r="AY447" i="5"/>
  <c r="AY444" i="5"/>
  <c r="AV454" i="5"/>
  <c r="AY452" i="5"/>
  <c r="AY460" i="5"/>
  <c r="AW449" i="5"/>
  <c r="AV444" i="5"/>
  <c r="AW450" i="5"/>
  <c r="AX448" i="5"/>
  <c r="AX459" i="5"/>
  <c r="AX455" i="5"/>
  <c r="AX438" i="5"/>
  <c r="AX439" i="5" s="1"/>
  <c r="AX453" i="5"/>
  <c r="AX446" i="5"/>
  <c r="AX450" i="5"/>
  <c r="AX440" i="5"/>
  <c r="AX451" i="5"/>
  <c r="AX442" i="5"/>
  <c r="AX449" i="5"/>
  <c r="AX445" i="5"/>
  <c r="AX458" i="5"/>
  <c r="AX443" i="5"/>
  <c r="AX457" i="5"/>
  <c r="BZ2" i="5"/>
  <c r="BZ394" i="5" s="1"/>
  <c r="BZ395" i="5" s="1"/>
  <c r="L10" i="12" s="1"/>
  <c r="AZ443" i="5"/>
  <c r="AZ446" i="5"/>
  <c r="AZ438" i="5"/>
  <c r="AZ439" i="5" s="1"/>
  <c r="AZ458" i="5"/>
  <c r="AZ453" i="5"/>
  <c r="AZ451" i="5"/>
  <c r="AZ450" i="5"/>
  <c r="AZ442" i="5"/>
  <c r="AZ440" i="5"/>
  <c r="AZ457" i="5"/>
  <c r="AZ459" i="5"/>
  <c r="AZ455" i="5"/>
  <c r="AZ449" i="5"/>
  <c r="AZ445" i="5"/>
  <c r="AZ448" i="5"/>
  <c r="AV460" i="5"/>
  <c r="AY454" i="5"/>
  <c r="AW445" i="5"/>
  <c r="BC419" i="5"/>
  <c r="BX295" i="5"/>
  <c r="BX423" i="5" s="1"/>
  <c r="BP425" i="5"/>
  <c r="BP426" i="5" s="1"/>
  <c r="BR420" i="5"/>
  <c r="D139" i="10"/>
  <c r="D142" i="10" s="1"/>
  <c r="J138" i="10"/>
  <c r="L12" i="24"/>
  <c r="J39" i="24"/>
  <c r="AA39" i="24"/>
  <c r="I12" i="24"/>
  <c r="I40" i="24" s="1"/>
  <c r="G138" i="10"/>
  <c r="F38" i="24"/>
  <c r="F41" i="24" s="1"/>
  <c r="F13" i="24"/>
  <c r="F16" i="24" s="1"/>
  <c r="K138" i="10"/>
  <c r="M12" i="24"/>
  <c r="M40" i="24" s="1"/>
  <c r="G10" i="24"/>
  <c r="E136" i="10"/>
  <c r="BL429" i="5"/>
  <c r="BL430" i="5" s="1"/>
  <c r="G12" i="24"/>
  <c r="E138" i="10"/>
  <c r="I136" i="10"/>
  <c r="K10" i="24"/>
  <c r="BX429" i="5"/>
  <c r="BX430" i="5" s="1"/>
  <c r="BX418" i="5"/>
  <c r="BZ429" i="5"/>
  <c r="BZ430" i="5" s="1"/>
  <c r="D128" i="10"/>
  <c r="D131" i="10" s="1"/>
  <c r="BN429" i="5"/>
  <c r="BN430" i="5" s="1"/>
  <c r="BB429" i="5"/>
  <c r="BB430" i="5" s="1"/>
  <c r="CB429" i="5"/>
  <c r="CB430" i="5" s="1"/>
  <c r="BO429" i="5"/>
  <c r="BO430" i="5" s="1"/>
  <c r="BC429" i="5"/>
  <c r="BC430" i="5" s="1"/>
  <c r="K10" i="23"/>
  <c r="I125" i="10"/>
  <c r="F13" i="23"/>
  <c r="F16" i="23" s="1"/>
  <c r="F38" i="23"/>
  <c r="F41" i="23" s="1"/>
  <c r="L12" i="23"/>
  <c r="J127" i="10"/>
  <c r="AA39" i="23"/>
  <c r="J39" i="23"/>
  <c r="G12" i="23"/>
  <c r="E127" i="10"/>
  <c r="I12" i="23"/>
  <c r="I40" i="23" s="1"/>
  <c r="G127" i="10"/>
  <c r="G10" i="23"/>
  <c r="E125" i="10"/>
  <c r="M12" i="23"/>
  <c r="M40" i="23" s="1"/>
  <c r="K127" i="10"/>
  <c r="CB288" i="5"/>
  <c r="CB422" i="5" s="1"/>
  <c r="CB271" i="5"/>
  <c r="CB417" i="5" s="1"/>
  <c r="J11" i="21"/>
  <c r="CB284" i="5"/>
  <c r="CB419" i="5" s="1"/>
  <c r="AY420" i="5"/>
  <c r="E103" i="10" s="1"/>
  <c r="CC420" i="5"/>
  <c r="D103" i="10"/>
  <c r="BW420" i="5"/>
  <c r="BE420" i="5"/>
  <c r="BN425" i="5"/>
  <c r="BF420" i="5"/>
  <c r="BK426" i="5"/>
  <c r="CD426" i="5"/>
  <c r="BE426" i="5"/>
  <c r="BI426" i="5"/>
  <c r="BX284" i="5"/>
  <c r="BX419" i="5" s="1"/>
  <c r="BX326" i="5"/>
  <c r="BX427" i="5" s="1"/>
  <c r="BX428" i="5" s="1"/>
  <c r="BP412" i="5"/>
  <c r="BP413" i="5" s="1"/>
  <c r="BT420" i="5"/>
  <c r="CB326" i="5"/>
  <c r="CB427" i="5" s="1"/>
  <c r="CB428" i="5" s="1"/>
  <c r="CI426" i="5"/>
  <c r="BT426" i="5"/>
  <c r="BB424" i="5"/>
  <c r="BJ426" i="5"/>
  <c r="BY426" i="5"/>
  <c r="BL425" i="5"/>
  <c r="AB11" i="21"/>
  <c r="AB45" i="21" s="1"/>
  <c r="BV426" i="5"/>
  <c r="BL423" i="5"/>
  <c r="BB423" i="5"/>
  <c r="AA11" i="21"/>
  <c r="CE426" i="5"/>
  <c r="BO427" i="5"/>
  <c r="BO428" i="5" s="1"/>
  <c r="CA420" i="5"/>
  <c r="L12" i="21" s="1"/>
  <c r="BF426" i="5"/>
  <c r="AY426" i="5"/>
  <c r="G10" i="22" s="1"/>
  <c r="BC427" i="5"/>
  <c r="BC428" i="5" s="1"/>
  <c r="AZ426" i="5"/>
  <c r="E116" i="10" s="1"/>
  <c r="BB422" i="5"/>
  <c r="BX424" i="5"/>
  <c r="CB424" i="5"/>
  <c r="BL427" i="5"/>
  <c r="BL428" i="5" s="1"/>
  <c r="BO423" i="5"/>
  <c r="BZ326" i="5"/>
  <c r="BN427" i="5"/>
  <c r="BN428" i="5" s="1"/>
  <c r="CE420" i="5"/>
  <c r="CC426" i="5"/>
  <c r="AA39" i="22"/>
  <c r="J39" i="22"/>
  <c r="BL424" i="5"/>
  <c r="BS426" i="5"/>
  <c r="BQ426" i="5"/>
  <c r="D116" i="10"/>
  <c r="F12" i="22"/>
  <c r="F40" i="22" s="1"/>
  <c r="BX425" i="5"/>
  <c r="BN424" i="5"/>
  <c r="AU426" i="5"/>
  <c r="BU426" i="5"/>
  <c r="F10" i="22"/>
  <c r="D114" i="10"/>
  <c r="BB427" i="5"/>
  <c r="BB428" i="5" s="1"/>
  <c r="BC422" i="5"/>
  <c r="BR426" i="5"/>
  <c r="BC424" i="5"/>
  <c r="BH426" i="5"/>
  <c r="AV426" i="5"/>
  <c r="BA426" i="5"/>
  <c r="BO424" i="5"/>
  <c r="BZ295" i="5"/>
  <c r="BZ423" i="5" s="1"/>
  <c r="BN423" i="5"/>
  <c r="CB425" i="5"/>
  <c r="CF426" i="5"/>
  <c r="BC423" i="5"/>
  <c r="BN422" i="5"/>
  <c r="BC425" i="5"/>
  <c r="BO422" i="5"/>
  <c r="CK426" i="5"/>
  <c r="BG426" i="5"/>
  <c r="BZ322" i="5"/>
  <c r="BZ425" i="5" s="1"/>
  <c r="BB425" i="5"/>
  <c r="BJ420" i="5"/>
  <c r="BD426" i="5"/>
  <c r="CB265" i="5"/>
  <c r="CB414" i="5" s="1"/>
  <c r="CB415" i="5" s="1"/>
  <c r="CB423" i="5"/>
  <c r="CA426" i="5"/>
  <c r="BW426" i="5"/>
  <c r="BI420" i="5"/>
  <c r="BM426" i="5"/>
  <c r="BS420" i="5"/>
  <c r="CK420" i="5"/>
  <c r="M12" i="21" s="1"/>
  <c r="M40" i="21" s="1"/>
  <c r="BG420" i="5"/>
  <c r="AU420" i="5"/>
  <c r="D105" i="10"/>
  <c r="BM420" i="5"/>
  <c r="I12" i="21" s="1"/>
  <c r="AV420" i="5"/>
  <c r="BV420" i="5"/>
  <c r="BH420" i="5"/>
  <c r="BQ420" i="5"/>
  <c r="BO419" i="5"/>
  <c r="BK420" i="5"/>
  <c r="BB418" i="5"/>
  <c r="CI420" i="5"/>
  <c r="BD420" i="5"/>
  <c r="BO417" i="5"/>
  <c r="AA39" i="21"/>
  <c r="J39" i="21"/>
  <c r="BY420" i="5"/>
  <c r="AZ420" i="5"/>
  <c r="BA420" i="5"/>
  <c r="F13" i="21"/>
  <c r="F16" i="21" s="1"/>
  <c r="F40" i="21"/>
  <c r="F41" i="21" s="1"/>
  <c r="BL417" i="5"/>
  <c r="BZ284" i="5"/>
  <c r="BZ419" i="5" s="1"/>
  <c r="BB419" i="5"/>
  <c r="CD420" i="5"/>
  <c r="CF420" i="5"/>
  <c r="BL419" i="5"/>
  <c r="BX417" i="5"/>
  <c r="BU420" i="5"/>
  <c r="CB418" i="5"/>
  <c r="BP420" i="5"/>
  <c r="BZ417" i="5"/>
  <c r="BZ418" i="5"/>
  <c r="BB417" i="5"/>
  <c r="BX98" i="5"/>
  <c r="BX407" i="5" s="1"/>
  <c r="BX408" i="5" s="1"/>
  <c r="BN417" i="5"/>
  <c r="BC417" i="5"/>
  <c r="BC418" i="5"/>
  <c r="BO418" i="5"/>
  <c r="BN418" i="5"/>
  <c r="I92" i="10"/>
  <c r="K10" i="20"/>
  <c r="L12" i="20"/>
  <c r="J94" i="10"/>
  <c r="AA39" i="20"/>
  <c r="AC39" i="20" s="1"/>
  <c r="J39" i="20"/>
  <c r="E94" i="10"/>
  <c r="G12" i="20"/>
  <c r="L10" i="20"/>
  <c r="J92" i="10"/>
  <c r="D95" i="10"/>
  <c r="D98" i="10" s="1"/>
  <c r="I12" i="20"/>
  <c r="I40" i="20" s="1"/>
  <c r="G94" i="10"/>
  <c r="G10" i="20"/>
  <c r="E92" i="10"/>
  <c r="G92" i="10"/>
  <c r="I10" i="20"/>
  <c r="M12" i="20"/>
  <c r="M40" i="20" s="1"/>
  <c r="K94" i="10"/>
  <c r="M10" i="20"/>
  <c r="K92" i="10"/>
  <c r="F38" i="20"/>
  <c r="F41" i="20" s="1"/>
  <c r="F13" i="20"/>
  <c r="F16" i="20" s="1"/>
  <c r="BS400" i="5"/>
  <c r="D62" i="10"/>
  <c r="D65" i="10" s="1"/>
  <c r="CB98" i="5"/>
  <c r="CB407" i="5" s="1"/>
  <c r="CB408" i="5" s="1"/>
  <c r="CB79" i="5"/>
  <c r="CB405" i="5" s="1"/>
  <c r="CB406" i="5" s="1"/>
  <c r="BB414" i="5"/>
  <c r="BB415" i="5" s="1"/>
  <c r="BX412" i="5"/>
  <c r="BX413" i="5" s="1"/>
  <c r="F13" i="19"/>
  <c r="F16" i="19" s="1"/>
  <c r="F38" i="19"/>
  <c r="F41" i="19" s="1"/>
  <c r="I81" i="10"/>
  <c r="K10" i="19"/>
  <c r="BO414" i="5"/>
  <c r="BO415" i="5" s="1"/>
  <c r="BC414" i="5"/>
  <c r="BC415" i="5" s="1"/>
  <c r="BN414" i="5"/>
  <c r="BN415" i="5" s="1"/>
  <c r="BL412" i="5"/>
  <c r="BL413" i="5" s="1"/>
  <c r="BC412" i="5"/>
  <c r="BC413" i="5" s="1"/>
  <c r="I12" i="19"/>
  <c r="I40" i="19" s="1"/>
  <c r="G83" i="10"/>
  <c r="E83" i="10"/>
  <c r="G12" i="19"/>
  <c r="G40" i="19" s="1"/>
  <c r="L12" i="19"/>
  <c r="L40" i="19" s="1"/>
  <c r="J83" i="10"/>
  <c r="D84" i="10"/>
  <c r="D87" i="10" s="1"/>
  <c r="M12" i="19"/>
  <c r="K83" i="10"/>
  <c r="BN412" i="5"/>
  <c r="BN413" i="5" s="1"/>
  <c r="G10" i="19"/>
  <c r="E81" i="10"/>
  <c r="J39" i="19"/>
  <c r="AA39" i="19"/>
  <c r="CB412" i="5"/>
  <c r="CB413" i="5" s="1"/>
  <c r="BB412" i="5"/>
  <c r="BB413" i="5" s="1"/>
  <c r="BO412" i="5"/>
  <c r="BO413" i="5" s="1"/>
  <c r="D73" i="10"/>
  <c r="D76" i="10" s="1"/>
  <c r="G10" i="18"/>
  <c r="E70" i="10"/>
  <c r="BX142" i="5"/>
  <c r="BX409" i="5" s="1"/>
  <c r="BX410" i="5" s="1"/>
  <c r="I12" i="18"/>
  <c r="I40" i="18" s="1"/>
  <c r="G72" i="10"/>
  <c r="AA39" i="18"/>
  <c r="J39" i="18"/>
  <c r="M12" i="18"/>
  <c r="M40" i="18" s="1"/>
  <c r="K72" i="10"/>
  <c r="CB142" i="5"/>
  <c r="CB409" i="5" s="1"/>
  <c r="CB410" i="5" s="1"/>
  <c r="L12" i="18"/>
  <c r="J72" i="10"/>
  <c r="E72" i="10"/>
  <c r="G12" i="18"/>
  <c r="F13" i="18"/>
  <c r="F16" i="18" s="1"/>
  <c r="F38" i="18"/>
  <c r="F41" i="18" s="1"/>
  <c r="I70" i="10"/>
  <c r="K10" i="18"/>
  <c r="BC409" i="5"/>
  <c r="BC410" i="5" s="1"/>
  <c r="AA39" i="17"/>
  <c r="J39" i="17"/>
  <c r="BL409" i="5"/>
  <c r="BL410" i="5" s="1"/>
  <c r="G10" i="17"/>
  <c r="E59" i="10"/>
  <c r="BB409" i="5"/>
  <c r="BB410" i="5" s="1"/>
  <c r="I59" i="10"/>
  <c r="K10" i="17"/>
  <c r="BZ142" i="5"/>
  <c r="BN409" i="5"/>
  <c r="BN410" i="5" s="1"/>
  <c r="I12" i="17"/>
  <c r="G61" i="10"/>
  <c r="M12" i="17"/>
  <c r="M40" i="17" s="1"/>
  <c r="K61" i="10"/>
  <c r="BO409" i="5"/>
  <c r="BO410" i="5" s="1"/>
  <c r="L12" i="17"/>
  <c r="J61" i="10"/>
  <c r="G12" i="17"/>
  <c r="E61" i="10"/>
  <c r="F13" i="17"/>
  <c r="F16" i="17" s="1"/>
  <c r="F40" i="17"/>
  <c r="F41" i="17" s="1"/>
  <c r="BN407" i="5"/>
  <c r="BN408" i="5" s="1"/>
  <c r="BB407" i="5"/>
  <c r="BB408" i="5" s="1"/>
  <c r="BO407" i="5"/>
  <c r="BO408" i="5" s="1"/>
  <c r="BC407" i="5"/>
  <c r="BC408" i="5" s="1"/>
  <c r="BL407" i="5"/>
  <c r="BL408" i="5" s="1"/>
  <c r="F12" i="14"/>
  <c r="F40" i="14" s="1"/>
  <c r="J11" i="14"/>
  <c r="AZ400" i="5"/>
  <c r="G12" i="14" s="1"/>
  <c r="AA11" i="14"/>
  <c r="AB11" i="14"/>
  <c r="AB45" i="14" s="1"/>
  <c r="BX20" i="5"/>
  <c r="BX398" i="5" s="1"/>
  <c r="BN396" i="5"/>
  <c r="BN397" i="5" s="1"/>
  <c r="CB53" i="5"/>
  <c r="CB399" i="5" s="1"/>
  <c r="BY400" i="5"/>
  <c r="BZ307" i="5"/>
  <c r="BG400" i="5"/>
  <c r="BH400" i="5"/>
  <c r="CB61" i="5"/>
  <c r="CB402" i="5" s="1"/>
  <c r="CB403" i="5" s="1"/>
  <c r="CK400" i="5"/>
  <c r="M12" i="14" s="1"/>
  <c r="M40" i="14" s="1"/>
  <c r="E48" i="10"/>
  <c r="BZ405" i="5"/>
  <c r="BZ406" i="5" s="1"/>
  <c r="L10" i="16" s="1"/>
  <c r="CI400" i="5"/>
  <c r="BE400" i="5"/>
  <c r="BL405" i="5"/>
  <c r="BL406" i="5" s="1"/>
  <c r="AA39" i="16"/>
  <c r="J39" i="16"/>
  <c r="BC405" i="5"/>
  <c r="BC406" i="5" s="1"/>
  <c r="I12" i="16"/>
  <c r="G50" i="10"/>
  <c r="F13" i="16"/>
  <c r="F16" i="16" s="1"/>
  <c r="F40" i="16"/>
  <c r="F41" i="16" s="1"/>
  <c r="I48" i="10"/>
  <c r="K10" i="16"/>
  <c r="E50" i="10"/>
  <c r="G12" i="16"/>
  <c r="G13" i="16" s="1"/>
  <c r="BX405" i="5"/>
  <c r="BX406" i="5" s="1"/>
  <c r="M12" i="16"/>
  <c r="K50" i="10"/>
  <c r="D51" i="10"/>
  <c r="D54" i="10" s="1"/>
  <c r="AA10" i="16"/>
  <c r="G38" i="16"/>
  <c r="L12" i="16"/>
  <c r="J50" i="10"/>
  <c r="AB45" i="16"/>
  <c r="BO405" i="5"/>
  <c r="BO406" i="5" s="1"/>
  <c r="BB405" i="5"/>
  <c r="BB406" i="5" s="1"/>
  <c r="BN405" i="5"/>
  <c r="BN406" i="5" s="1"/>
  <c r="BJ400" i="5"/>
  <c r="BL402" i="5"/>
  <c r="BL403" i="5" s="1"/>
  <c r="G37" i="10" s="1"/>
  <c r="BB402" i="5"/>
  <c r="BB403" i="5" s="1"/>
  <c r="M12" i="15"/>
  <c r="M40" i="15" s="1"/>
  <c r="K39" i="10"/>
  <c r="I37" i="10"/>
  <c r="K10" i="15"/>
  <c r="F13" i="15"/>
  <c r="F16" i="15" s="1"/>
  <c r="F38" i="15"/>
  <c r="F41" i="15" s="1"/>
  <c r="I12" i="15"/>
  <c r="I40" i="15" s="1"/>
  <c r="G39" i="10"/>
  <c r="G10" i="15"/>
  <c r="E37" i="10"/>
  <c r="L12" i="15"/>
  <c r="J39" i="10"/>
  <c r="J39" i="15"/>
  <c r="AA39" i="15"/>
  <c r="D40" i="10"/>
  <c r="D43" i="10" s="1"/>
  <c r="AY400" i="5"/>
  <c r="G10" i="14" s="1"/>
  <c r="BO402" i="5"/>
  <c r="BO403" i="5" s="1"/>
  <c r="E39" i="10"/>
  <c r="G12" i="15"/>
  <c r="BC402" i="5"/>
  <c r="BC403" i="5" s="1"/>
  <c r="BX402" i="5"/>
  <c r="BX403" i="5" s="1"/>
  <c r="BC396" i="5"/>
  <c r="BC397" i="5" s="1"/>
  <c r="H12" i="13" s="1"/>
  <c r="H40" i="13" s="1"/>
  <c r="BZ54" i="5"/>
  <c r="BN402" i="5"/>
  <c r="BN403" i="5" s="1"/>
  <c r="BT400" i="5"/>
  <c r="BZ20" i="5"/>
  <c r="BZ398" i="5" s="1"/>
  <c r="BF400" i="5"/>
  <c r="CF400" i="5"/>
  <c r="AV400" i="5"/>
  <c r="CB20" i="5"/>
  <c r="CB398" i="5" s="1"/>
  <c r="BA400" i="5"/>
  <c r="I26" i="10" s="1"/>
  <c r="BP400" i="5"/>
  <c r="CC400" i="5"/>
  <c r="CE400" i="5"/>
  <c r="BR400" i="5"/>
  <c r="BK400" i="5"/>
  <c r="AU400" i="5"/>
  <c r="F10" i="14"/>
  <c r="D26" i="10"/>
  <c r="D29" i="10" s="1"/>
  <c r="D32" i="10" s="1"/>
  <c r="BX396" i="5"/>
  <c r="BX397" i="5" s="1"/>
  <c r="AA39" i="14"/>
  <c r="J39" i="14"/>
  <c r="BW400" i="5"/>
  <c r="BU400" i="5"/>
  <c r="BD400" i="5"/>
  <c r="CD400" i="5"/>
  <c r="BQ400" i="5"/>
  <c r="BV400" i="5"/>
  <c r="BM400" i="5"/>
  <c r="CA400" i="5"/>
  <c r="BI400" i="5"/>
  <c r="BN399" i="5"/>
  <c r="BO398" i="5"/>
  <c r="BO399" i="5"/>
  <c r="BX399" i="5"/>
  <c r="CB396" i="5"/>
  <c r="CB397" i="5" s="1"/>
  <c r="BL399" i="5"/>
  <c r="F13" i="13"/>
  <c r="F16" i="13" s="1"/>
  <c r="F40" i="13"/>
  <c r="F41" i="13" s="1"/>
  <c r="BN398" i="5"/>
  <c r="G10" i="13"/>
  <c r="E15" i="10"/>
  <c r="AA39" i="13"/>
  <c r="J39" i="13"/>
  <c r="BZ55" i="5"/>
  <c r="L12" i="13"/>
  <c r="J17" i="10"/>
  <c r="I15" i="10"/>
  <c r="K10" i="13"/>
  <c r="BB399" i="5"/>
  <c r="BC399" i="5"/>
  <c r="I12" i="13"/>
  <c r="G17" i="10"/>
  <c r="BB398" i="5"/>
  <c r="E17" i="10"/>
  <c r="G12" i="13"/>
  <c r="G40" i="13" s="1"/>
  <c r="BC398" i="5"/>
  <c r="BL398" i="5"/>
  <c r="BZ69" i="5"/>
  <c r="M12" i="13"/>
  <c r="M40" i="13" s="1"/>
  <c r="K17" i="10"/>
  <c r="D18" i="10"/>
  <c r="D21" i="10" s="1"/>
  <c r="BN394" i="5"/>
  <c r="BN395" i="5" s="1"/>
  <c r="BZ106" i="5"/>
  <c r="BZ108" i="5"/>
  <c r="BZ180" i="5"/>
  <c r="BZ352" i="5"/>
  <c r="BZ124" i="5"/>
  <c r="BL396" i="5"/>
  <c r="BL397" i="5" s="1"/>
  <c r="BZ263" i="5"/>
  <c r="BZ412" i="5" s="1"/>
  <c r="BZ413" i="5" s="1"/>
  <c r="BZ73" i="5"/>
  <c r="I4" i="10"/>
  <c r="K10" i="12"/>
  <c r="BZ114" i="5"/>
  <c r="BZ144" i="5"/>
  <c r="BB396" i="5"/>
  <c r="BB397" i="5" s="1"/>
  <c r="J6" i="10"/>
  <c r="L12" i="12"/>
  <c r="BO396" i="5"/>
  <c r="BO397" i="5" s="1"/>
  <c r="BZ188" i="5"/>
  <c r="K6" i="10"/>
  <c r="M12" i="12"/>
  <c r="M40" i="12" s="1"/>
  <c r="I12" i="12"/>
  <c r="I40" i="12" s="1"/>
  <c r="G6" i="10"/>
  <c r="D7" i="10"/>
  <c r="D10" i="10" s="1"/>
  <c r="BZ396" i="5"/>
  <c r="BZ397" i="5" s="1"/>
  <c r="F4" i="10"/>
  <c r="H10" i="12"/>
  <c r="G12" i="12"/>
  <c r="E6" i="10"/>
  <c r="AA39" i="12"/>
  <c r="J39" i="12"/>
  <c r="F13" i="12"/>
  <c r="F16" i="12" s="1"/>
  <c r="F38" i="12"/>
  <c r="F41" i="12" s="1"/>
  <c r="BZ137" i="5"/>
  <c r="G10" i="12"/>
  <c r="E4" i="10"/>
  <c r="BZ334" i="5"/>
  <c r="BZ130" i="5"/>
  <c r="BZ315" i="5"/>
  <c r="BX394" i="5"/>
  <c r="BX395" i="5" s="1"/>
  <c r="BZ199" i="5"/>
  <c r="BZ105" i="5"/>
  <c r="BZ101" i="5"/>
  <c r="BL394" i="5"/>
  <c r="BL395" i="5" s="1"/>
  <c r="BP394" i="5"/>
  <c r="BP395" i="5" s="1"/>
  <c r="CB2" i="5"/>
  <c r="CB394" i="5" s="1"/>
  <c r="CB395" i="5" s="1"/>
  <c r="BC394" i="5"/>
  <c r="BC395" i="5" s="1"/>
  <c r="BZ320" i="5"/>
  <c r="AA11" i="9"/>
  <c r="AC11" i="9"/>
  <c r="AA10" i="9"/>
  <c r="AX444" i="5" l="1"/>
  <c r="G10" i="21"/>
  <c r="AZ444" i="5"/>
  <c r="AZ454" i="5"/>
  <c r="AX456" i="5"/>
  <c r="AX454" i="5"/>
  <c r="BA455" i="5"/>
  <c r="BA450" i="5"/>
  <c r="BA453" i="5"/>
  <c r="BA458" i="5"/>
  <c r="AW441" i="5"/>
  <c r="BA440" i="5"/>
  <c r="BA459" i="5"/>
  <c r="BA446" i="5"/>
  <c r="AW454" i="5"/>
  <c r="AZ452" i="5"/>
  <c r="AX441" i="5"/>
  <c r="AX447" i="5"/>
  <c r="BA438" i="5"/>
  <c r="BA439" i="5" s="1"/>
  <c r="AW447" i="5"/>
  <c r="AZ447" i="5"/>
  <c r="AX452" i="5"/>
  <c r="AW452" i="5"/>
  <c r="AW456" i="5"/>
  <c r="AW444" i="5"/>
  <c r="BA442" i="5"/>
  <c r="BA448" i="5"/>
  <c r="BA445" i="5"/>
  <c r="BA457" i="5"/>
  <c r="BA451" i="5"/>
  <c r="AW460" i="5"/>
  <c r="AZ456" i="5"/>
  <c r="AZ441" i="5"/>
  <c r="AZ460" i="5"/>
  <c r="AX460" i="5"/>
  <c r="BA449" i="5"/>
  <c r="BA443" i="5"/>
  <c r="BX426" i="5"/>
  <c r="F43" i="24"/>
  <c r="F44" i="24"/>
  <c r="F45" i="24"/>
  <c r="H10" i="24"/>
  <c r="F136" i="10"/>
  <c r="G40" i="24"/>
  <c r="I10" i="24"/>
  <c r="G136" i="10"/>
  <c r="G139" i="10" s="1"/>
  <c r="E139" i="10"/>
  <c r="AC39" i="24"/>
  <c r="AA45" i="24"/>
  <c r="AC45" i="24" s="1"/>
  <c r="J136" i="10"/>
  <c r="L10" i="24"/>
  <c r="AA10" i="24"/>
  <c r="G13" i="24"/>
  <c r="G38" i="24"/>
  <c r="L40" i="24"/>
  <c r="N40" i="24" s="1"/>
  <c r="N12" i="24"/>
  <c r="H12" i="24"/>
  <c r="H40" i="24" s="1"/>
  <c r="F138" i="10"/>
  <c r="L138" i="10"/>
  <c r="L127" i="10"/>
  <c r="F127" i="10"/>
  <c r="H12" i="23"/>
  <c r="H40" i="23" s="1"/>
  <c r="E128" i="10"/>
  <c r="G38" i="23"/>
  <c r="G13" i="23"/>
  <c r="AA10" i="23"/>
  <c r="N12" i="23"/>
  <c r="L40" i="23"/>
  <c r="N40" i="23" s="1"/>
  <c r="F125" i="10"/>
  <c r="H10" i="23"/>
  <c r="F43" i="23"/>
  <c r="F44" i="23"/>
  <c r="F45" i="23"/>
  <c r="G125" i="10"/>
  <c r="G128" i="10" s="1"/>
  <c r="I10" i="23"/>
  <c r="AC39" i="23"/>
  <c r="AA45" i="23"/>
  <c r="AC45" i="23" s="1"/>
  <c r="G40" i="23"/>
  <c r="D106" i="10"/>
  <c r="D109" i="10" s="1"/>
  <c r="J105" i="10"/>
  <c r="BL426" i="5"/>
  <c r="I10" i="22" s="1"/>
  <c r="E114" i="10"/>
  <c r="E117" i="10" s="1"/>
  <c r="BX420" i="5"/>
  <c r="BB420" i="5"/>
  <c r="H10" i="21" s="1"/>
  <c r="G12" i="22"/>
  <c r="G13" i="22" s="1"/>
  <c r="BB426" i="5"/>
  <c r="H10" i="22" s="1"/>
  <c r="J116" i="10"/>
  <c r="L12" i="22"/>
  <c r="G38" i="22"/>
  <c r="AA10" i="22"/>
  <c r="K116" i="10"/>
  <c r="M12" i="22"/>
  <c r="AA45" i="22"/>
  <c r="AC45" i="22" s="1"/>
  <c r="AC39" i="22"/>
  <c r="BO426" i="5"/>
  <c r="I114" i="10"/>
  <c r="K10" i="22"/>
  <c r="D117" i="10"/>
  <c r="D120" i="10" s="1"/>
  <c r="G116" i="10"/>
  <c r="I12" i="22"/>
  <c r="I40" i="22" s="1"/>
  <c r="BN426" i="5"/>
  <c r="F13" i="22"/>
  <c r="F16" i="22" s="1"/>
  <c r="F38" i="22"/>
  <c r="F41" i="22" s="1"/>
  <c r="G105" i="10"/>
  <c r="CB426" i="5"/>
  <c r="BC426" i="5"/>
  <c r="BZ427" i="5"/>
  <c r="BZ428" i="5" s="1"/>
  <c r="BZ424" i="5"/>
  <c r="BZ426" i="5" s="1"/>
  <c r="K105" i="10"/>
  <c r="BL420" i="5"/>
  <c r="G103" i="10" s="1"/>
  <c r="BN420" i="5"/>
  <c r="BO420" i="5"/>
  <c r="I40" i="21"/>
  <c r="G12" i="21"/>
  <c r="G40" i="21" s="1"/>
  <c r="E105" i="10"/>
  <c r="E106" i="10" s="1"/>
  <c r="AA45" i="20"/>
  <c r="AC45" i="20" s="1"/>
  <c r="L40" i="21"/>
  <c r="N40" i="21" s="1"/>
  <c r="N12" i="21"/>
  <c r="AA10" i="21"/>
  <c r="G38" i="21"/>
  <c r="F43" i="21"/>
  <c r="F44" i="21"/>
  <c r="F45" i="21"/>
  <c r="K10" i="21"/>
  <c r="I103" i="10"/>
  <c r="BC420" i="5"/>
  <c r="CB420" i="5"/>
  <c r="AC39" i="21"/>
  <c r="AA45" i="21"/>
  <c r="AC45" i="21" s="1"/>
  <c r="BZ420" i="5"/>
  <c r="G95" i="10"/>
  <c r="G40" i="20"/>
  <c r="F43" i="20"/>
  <c r="F44" i="20"/>
  <c r="F45" i="20"/>
  <c r="E95" i="10"/>
  <c r="AA10" i="20"/>
  <c r="G13" i="20"/>
  <c r="G38" i="20"/>
  <c r="M13" i="20"/>
  <c r="M38" i="20"/>
  <c r="M41" i="20" s="1"/>
  <c r="K95" i="10"/>
  <c r="L94" i="10"/>
  <c r="L40" i="20"/>
  <c r="N40" i="20" s="1"/>
  <c r="N12" i="20"/>
  <c r="F92" i="10"/>
  <c r="H92" i="10" s="1"/>
  <c r="H10" i="20"/>
  <c r="J10" i="20" s="1"/>
  <c r="J95" i="10"/>
  <c r="L92" i="10"/>
  <c r="H12" i="20"/>
  <c r="H40" i="20" s="1"/>
  <c r="F94" i="10"/>
  <c r="I38" i="20"/>
  <c r="AB10" i="20"/>
  <c r="I13" i="20"/>
  <c r="L13" i="20"/>
  <c r="L38" i="20"/>
  <c r="N10" i="20"/>
  <c r="E28" i="10"/>
  <c r="E84" i="10"/>
  <c r="G13" i="19"/>
  <c r="G38" i="19"/>
  <c r="AA10" i="19"/>
  <c r="L10" i="19"/>
  <c r="J81" i="10"/>
  <c r="L83" i="10"/>
  <c r="F43" i="19"/>
  <c r="F44" i="19"/>
  <c r="F45" i="19"/>
  <c r="N12" i="19"/>
  <c r="M40" i="19"/>
  <c r="N40" i="19" s="1"/>
  <c r="H12" i="19"/>
  <c r="F83" i="10"/>
  <c r="F81" i="10"/>
  <c r="H10" i="19"/>
  <c r="AC39" i="19"/>
  <c r="AA45" i="19"/>
  <c r="AC45" i="19" s="1"/>
  <c r="G81" i="10"/>
  <c r="G84" i="10" s="1"/>
  <c r="I10" i="19"/>
  <c r="G40" i="18"/>
  <c r="AC39" i="18"/>
  <c r="AA45" i="18"/>
  <c r="AC45" i="18" s="1"/>
  <c r="E73" i="10"/>
  <c r="F70" i="10"/>
  <c r="H10" i="18"/>
  <c r="G70" i="10"/>
  <c r="G73" i="10" s="1"/>
  <c r="I10" i="18"/>
  <c r="L72" i="10"/>
  <c r="N12" i="18"/>
  <c r="L40" i="18"/>
  <c r="N40" i="18" s="1"/>
  <c r="F43" i="18"/>
  <c r="F44" i="18"/>
  <c r="F45" i="18"/>
  <c r="H12" i="18"/>
  <c r="H40" i="18" s="1"/>
  <c r="F72" i="10"/>
  <c r="H72" i="10" s="1"/>
  <c r="G13" i="18"/>
  <c r="G38" i="18"/>
  <c r="AA10" i="18"/>
  <c r="F43" i="17"/>
  <c r="F44" i="17"/>
  <c r="F45" i="17"/>
  <c r="F61" i="10"/>
  <c r="H61" i="10" s="1"/>
  <c r="H12" i="17"/>
  <c r="H40" i="17" s="1"/>
  <c r="L61" i="10"/>
  <c r="I40" i="17"/>
  <c r="AA10" i="17"/>
  <c r="G38" i="17"/>
  <c r="G13" i="17"/>
  <c r="F59" i="10"/>
  <c r="H10" i="17"/>
  <c r="L40" i="17"/>
  <c r="N40" i="17" s="1"/>
  <c r="N12" i="17"/>
  <c r="G40" i="17"/>
  <c r="E62" i="10"/>
  <c r="BZ409" i="5"/>
  <c r="BZ410" i="5" s="1"/>
  <c r="AA45" i="17"/>
  <c r="AC45" i="17" s="1"/>
  <c r="AC39" i="17"/>
  <c r="G59" i="10"/>
  <c r="I10" i="17"/>
  <c r="I38" i="17" s="1"/>
  <c r="BZ407" i="5"/>
  <c r="BZ408" i="5" s="1"/>
  <c r="E51" i="10"/>
  <c r="K28" i="10"/>
  <c r="BX400" i="5"/>
  <c r="L50" i="10"/>
  <c r="J48" i="10"/>
  <c r="J51" i="10" s="1"/>
  <c r="L40" i="16"/>
  <c r="N12" i="16"/>
  <c r="F43" i="16"/>
  <c r="F44" i="16"/>
  <c r="F45" i="16"/>
  <c r="AA38" i="16"/>
  <c r="L13" i="16"/>
  <c r="L38" i="16"/>
  <c r="I40" i="16"/>
  <c r="G40" i="16"/>
  <c r="F50" i="10"/>
  <c r="H50" i="10" s="1"/>
  <c r="H12" i="16"/>
  <c r="H40" i="16" s="1"/>
  <c r="F48" i="10"/>
  <c r="H10" i="16"/>
  <c r="M40" i="16"/>
  <c r="AC39" i="16"/>
  <c r="AA45" i="16"/>
  <c r="AC45" i="16" s="1"/>
  <c r="G48" i="10"/>
  <c r="G51" i="10" s="1"/>
  <c r="I10" i="16"/>
  <c r="I13" i="16" s="1"/>
  <c r="I10" i="15"/>
  <c r="I38" i="15" s="1"/>
  <c r="I41" i="15" s="1"/>
  <c r="F17" i="10"/>
  <c r="H17" i="10" s="1"/>
  <c r="H12" i="15"/>
  <c r="H40" i="15" s="1"/>
  <c r="F39" i="10"/>
  <c r="H39" i="10" s="1"/>
  <c r="AC39" i="15"/>
  <c r="AA45" i="15"/>
  <c r="AC45" i="15" s="1"/>
  <c r="F43" i="15"/>
  <c r="F44" i="15"/>
  <c r="F45" i="15"/>
  <c r="E26" i="10"/>
  <c r="BZ402" i="5"/>
  <c r="BZ403" i="5" s="1"/>
  <c r="G40" i="10"/>
  <c r="L39" i="10"/>
  <c r="BZ399" i="5"/>
  <c r="BZ400" i="5" s="1"/>
  <c r="L10" i="14" s="1"/>
  <c r="G13" i="15"/>
  <c r="G40" i="15"/>
  <c r="N12" i="15"/>
  <c r="L40" i="15"/>
  <c r="E40" i="10"/>
  <c r="AA10" i="15"/>
  <c r="G38" i="15"/>
  <c r="F37" i="10"/>
  <c r="H37" i="10" s="1"/>
  <c r="H10" i="15"/>
  <c r="BB400" i="5"/>
  <c r="F26" i="10" s="1"/>
  <c r="K10" i="14"/>
  <c r="BN400" i="5"/>
  <c r="BL400" i="5"/>
  <c r="G26" i="10" s="1"/>
  <c r="BC400" i="5"/>
  <c r="H12" i="14" s="1"/>
  <c r="H40" i="14" s="1"/>
  <c r="AA45" i="14"/>
  <c r="AC45" i="14" s="1"/>
  <c r="AC39" i="14"/>
  <c r="J28" i="10"/>
  <c r="L12" i="14"/>
  <c r="F38" i="14"/>
  <c r="F41" i="14" s="1"/>
  <c r="F13" i="14"/>
  <c r="F16" i="14" s="1"/>
  <c r="G28" i="10"/>
  <c r="I12" i="14"/>
  <c r="I40" i="14" s="1"/>
  <c r="G40" i="14"/>
  <c r="BO400" i="5"/>
  <c r="AA10" i="14"/>
  <c r="G13" i="14"/>
  <c r="G38" i="14"/>
  <c r="CB400" i="5"/>
  <c r="J4" i="10"/>
  <c r="J7" i="10" s="1"/>
  <c r="L6" i="10"/>
  <c r="F15" i="10"/>
  <c r="H10" i="13"/>
  <c r="AC39" i="13"/>
  <c r="AA45" i="13"/>
  <c r="AC45" i="13" s="1"/>
  <c r="L10" i="13"/>
  <c r="J15" i="10"/>
  <c r="L17" i="10"/>
  <c r="E18" i="10"/>
  <c r="J12" i="13"/>
  <c r="I40" i="13"/>
  <c r="L40" i="13"/>
  <c r="N40" i="13" s="1"/>
  <c r="N12" i="13"/>
  <c r="AA10" i="13"/>
  <c r="G13" i="13"/>
  <c r="G38" i="13"/>
  <c r="F43" i="13"/>
  <c r="F44" i="13"/>
  <c r="F45" i="13"/>
  <c r="G15" i="10"/>
  <c r="G18" i="10" s="1"/>
  <c r="I10" i="13"/>
  <c r="L38" i="12"/>
  <c r="L13" i="12"/>
  <c r="N12" i="12"/>
  <c r="L40" i="12"/>
  <c r="N40" i="12" s="1"/>
  <c r="F43" i="12"/>
  <c r="F44" i="12"/>
  <c r="F45" i="12"/>
  <c r="AA45" i="12"/>
  <c r="AC45" i="12" s="1"/>
  <c r="AC39" i="12"/>
  <c r="E7" i="10"/>
  <c r="G13" i="12"/>
  <c r="G40" i="12"/>
  <c r="F6" i="10"/>
  <c r="F7" i="10" s="1"/>
  <c r="H12" i="12"/>
  <c r="H40" i="12" s="1"/>
  <c r="G38" i="12"/>
  <c r="AA10" i="12"/>
  <c r="H38" i="12"/>
  <c r="G4" i="10"/>
  <c r="G7" i="10" s="1"/>
  <c r="I10" i="12"/>
  <c r="AC10" i="9"/>
  <c r="BA447" i="5" l="1"/>
  <c r="BA460" i="5"/>
  <c r="BA456" i="5"/>
  <c r="BA454" i="5"/>
  <c r="BA452" i="5"/>
  <c r="BA444" i="5"/>
  <c r="BA441" i="5"/>
  <c r="J40" i="23"/>
  <c r="H136" i="10"/>
  <c r="F139" i="10"/>
  <c r="L13" i="24"/>
  <c r="L38" i="24"/>
  <c r="J12" i="24"/>
  <c r="J139" i="10"/>
  <c r="J40" i="24"/>
  <c r="H13" i="24"/>
  <c r="H38" i="24"/>
  <c r="H41" i="24" s="1"/>
  <c r="J10" i="24"/>
  <c r="G41" i="24"/>
  <c r="AA38" i="24"/>
  <c r="I13" i="24"/>
  <c r="I38" i="24"/>
  <c r="H138" i="10"/>
  <c r="J12" i="23"/>
  <c r="F128" i="10"/>
  <c r="H128" i="10" s="1"/>
  <c r="E130" i="10" s="1"/>
  <c r="AA38" i="23"/>
  <c r="G41" i="23"/>
  <c r="H127" i="10"/>
  <c r="H13" i="23"/>
  <c r="H38" i="23"/>
  <c r="H41" i="23" s="1"/>
  <c r="H125" i="10"/>
  <c r="I38" i="23"/>
  <c r="I13" i="23"/>
  <c r="L10" i="23"/>
  <c r="J125" i="10"/>
  <c r="J10" i="23"/>
  <c r="L105" i="10"/>
  <c r="G114" i="10"/>
  <c r="G117" i="10" s="1"/>
  <c r="G40" i="22"/>
  <c r="G41" i="22" s="1"/>
  <c r="I10" i="21"/>
  <c r="I13" i="21" s="1"/>
  <c r="F103" i="10"/>
  <c r="H103" i="10" s="1"/>
  <c r="F114" i="10"/>
  <c r="J114" i="10"/>
  <c r="L10" i="22"/>
  <c r="F43" i="22"/>
  <c r="F44" i="22"/>
  <c r="F45" i="22"/>
  <c r="N12" i="22"/>
  <c r="L40" i="22"/>
  <c r="L116" i="10"/>
  <c r="F116" i="10"/>
  <c r="H12" i="22"/>
  <c r="H13" i="22" s="1"/>
  <c r="M40" i="22"/>
  <c r="H38" i="22"/>
  <c r="AA38" i="22"/>
  <c r="J10" i="22"/>
  <c r="I38" i="22"/>
  <c r="I13" i="22"/>
  <c r="G106" i="10"/>
  <c r="N13" i="20"/>
  <c r="G13" i="21"/>
  <c r="F105" i="10"/>
  <c r="H12" i="21"/>
  <c r="H40" i="21" s="1"/>
  <c r="J40" i="21" s="1"/>
  <c r="H38" i="21"/>
  <c r="L10" i="21"/>
  <c r="J103" i="10"/>
  <c r="AA38" i="21"/>
  <c r="G41" i="21"/>
  <c r="L95" i="10"/>
  <c r="F95" i="10"/>
  <c r="H95" i="10" s="1"/>
  <c r="E97" i="10" s="1"/>
  <c r="H94" i="10"/>
  <c r="L41" i="20"/>
  <c r="N41" i="20" s="1"/>
  <c r="N38" i="20"/>
  <c r="H13" i="20"/>
  <c r="J13" i="20" s="1"/>
  <c r="H38" i="20"/>
  <c r="H41" i="20" s="1"/>
  <c r="AA38" i="20"/>
  <c r="G41" i="20"/>
  <c r="J12" i="20"/>
  <c r="AB38" i="20"/>
  <c r="AB44" i="20" s="1"/>
  <c r="I41" i="20"/>
  <c r="AC10" i="20"/>
  <c r="J40" i="20"/>
  <c r="E29" i="10"/>
  <c r="J10" i="19"/>
  <c r="F84" i="10"/>
  <c r="H84" i="10" s="1"/>
  <c r="H81" i="10"/>
  <c r="J84" i="10"/>
  <c r="J12" i="19"/>
  <c r="H40" i="19"/>
  <c r="J40" i="19" s="1"/>
  <c r="L13" i="19"/>
  <c r="L38" i="19"/>
  <c r="I13" i="19"/>
  <c r="I38" i="19"/>
  <c r="H83" i="10"/>
  <c r="H38" i="19"/>
  <c r="H13" i="19"/>
  <c r="G41" i="19"/>
  <c r="AA38" i="19"/>
  <c r="H70" i="10"/>
  <c r="J12" i="17"/>
  <c r="H38" i="18"/>
  <c r="H41" i="18" s="1"/>
  <c r="H13" i="18"/>
  <c r="AA38" i="18"/>
  <c r="G41" i="18"/>
  <c r="L10" i="18"/>
  <c r="J70" i="10"/>
  <c r="F73" i="10"/>
  <c r="H73" i="10" s="1"/>
  <c r="E75" i="10" s="1"/>
  <c r="J10" i="18"/>
  <c r="I13" i="18"/>
  <c r="I38" i="18"/>
  <c r="J40" i="18"/>
  <c r="J12" i="18"/>
  <c r="H59" i="10"/>
  <c r="I13" i="17"/>
  <c r="G62" i="10"/>
  <c r="J40" i="17"/>
  <c r="J10" i="17"/>
  <c r="H38" i="17"/>
  <c r="H41" i="17" s="1"/>
  <c r="H13" i="17"/>
  <c r="F62" i="10"/>
  <c r="L10" i="17"/>
  <c r="J59" i="10"/>
  <c r="G41" i="17"/>
  <c r="AA38" i="17"/>
  <c r="I41" i="17"/>
  <c r="L28" i="10"/>
  <c r="J40" i="15"/>
  <c r="J40" i="16"/>
  <c r="N40" i="16"/>
  <c r="J12" i="16"/>
  <c r="AA44" i="16"/>
  <c r="J10" i="16"/>
  <c r="H38" i="16"/>
  <c r="H13" i="16"/>
  <c r="L41" i="16"/>
  <c r="G41" i="16"/>
  <c r="F51" i="10"/>
  <c r="H48" i="10"/>
  <c r="I38" i="16"/>
  <c r="I13" i="15"/>
  <c r="F18" i="10"/>
  <c r="H18" i="10" s="1"/>
  <c r="E20" i="10" s="1"/>
  <c r="H10" i="14"/>
  <c r="H38" i="14" s="1"/>
  <c r="H41" i="14" s="1"/>
  <c r="J12" i="15"/>
  <c r="N40" i="15"/>
  <c r="H38" i="15"/>
  <c r="H41" i="15" s="1"/>
  <c r="H13" i="15"/>
  <c r="L10" i="15"/>
  <c r="J37" i="10"/>
  <c r="J10" i="15"/>
  <c r="F40" i="10"/>
  <c r="H40" i="10" s="1"/>
  <c r="E42" i="10" s="1"/>
  <c r="AA38" i="15"/>
  <c r="G41" i="15"/>
  <c r="F28" i="10"/>
  <c r="I10" i="14"/>
  <c r="H26" i="10"/>
  <c r="J26" i="10"/>
  <c r="J29" i="10" s="1"/>
  <c r="J12" i="14"/>
  <c r="F43" i="14"/>
  <c r="F44" i="14"/>
  <c r="F45" i="14"/>
  <c r="L13" i="14"/>
  <c r="L38" i="14"/>
  <c r="N12" i="14"/>
  <c r="L40" i="14"/>
  <c r="N40" i="14" s="1"/>
  <c r="J10" i="13"/>
  <c r="AA38" i="14"/>
  <c r="G41" i="14"/>
  <c r="J40" i="14"/>
  <c r="G29" i="10"/>
  <c r="L41" i="12"/>
  <c r="H15" i="10"/>
  <c r="I38" i="13"/>
  <c r="I13" i="13"/>
  <c r="J18" i="10"/>
  <c r="L13" i="13"/>
  <c r="L38" i="13"/>
  <c r="J40" i="13"/>
  <c r="G41" i="13"/>
  <c r="AA38" i="13"/>
  <c r="H13" i="13"/>
  <c r="H38" i="13"/>
  <c r="H41" i="13" s="1"/>
  <c r="H13" i="12"/>
  <c r="H4" i="10"/>
  <c r="J40" i="12"/>
  <c r="H6" i="10"/>
  <c r="G41" i="12"/>
  <c r="AA38" i="12"/>
  <c r="I38" i="12"/>
  <c r="J38" i="12" s="1"/>
  <c r="I13" i="12"/>
  <c r="J12" i="12"/>
  <c r="J10" i="12"/>
  <c r="H41" i="12"/>
  <c r="H7" i="10"/>
  <c r="E9" i="10" s="1"/>
  <c r="E73" i="9"/>
  <c r="E72" i="9"/>
  <c r="J13" i="24" l="1"/>
  <c r="G15" i="24" s="1"/>
  <c r="H139" i="10"/>
  <c r="E141" i="10" s="1"/>
  <c r="E142" i="10" s="1"/>
  <c r="J38" i="24"/>
  <c r="J41" i="24" s="1"/>
  <c r="H51" i="24" s="1"/>
  <c r="H43" i="24" s="1"/>
  <c r="AA44" i="24"/>
  <c r="I41" i="24"/>
  <c r="L41" i="24"/>
  <c r="J38" i="23"/>
  <c r="J41" i="23" s="1"/>
  <c r="H51" i="23" s="1"/>
  <c r="F130" i="10"/>
  <c r="F131" i="10" s="1"/>
  <c r="L38" i="23"/>
  <c r="L13" i="23"/>
  <c r="I41" i="23"/>
  <c r="J13" i="23"/>
  <c r="G15" i="23" s="1"/>
  <c r="AA44" i="23"/>
  <c r="G130" i="10"/>
  <c r="G131" i="10" s="1"/>
  <c r="E131" i="10"/>
  <c r="J128" i="10"/>
  <c r="I38" i="21"/>
  <c r="I41" i="21" s="1"/>
  <c r="F106" i="10"/>
  <c r="H106" i="10" s="1"/>
  <c r="E108" i="10" s="1"/>
  <c r="H114" i="10"/>
  <c r="J10" i="21"/>
  <c r="J38" i="22"/>
  <c r="J13" i="22"/>
  <c r="G15" i="22" s="1"/>
  <c r="I15" i="22" s="1"/>
  <c r="I16" i="22" s="1"/>
  <c r="N40" i="22"/>
  <c r="H40" i="22"/>
  <c r="J40" i="22" s="1"/>
  <c r="J12" i="22"/>
  <c r="L38" i="22"/>
  <c r="L13" i="22"/>
  <c r="I41" i="22"/>
  <c r="AA44" i="22"/>
  <c r="F117" i="10"/>
  <c r="H116" i="10"/>
  <c r="J117" i="10"/>
  <c r="H41" i="21"/>
  <c r="H13" i="21"/>
  <c r="L38" i="21"/>
  <c r="L13" i="21"/>
  <c r="AA44" i="21"/>
  <c r="J12" i="21"/>
  <c r="H105" i="10"/>
  <c r="J106" i="10"/>
  <c r="H15" i="20"/>
  <c r="H16" i="20" s="1"/>
  <c r="G15" i="20"/>
  <c r="G97" i="10"/>
  <c r="G98" i="10" s="1"/>
  <c r="E98" i="10"/>
  <c r="H97" i="10"/>
  <c r="H98" i="10" s="1"/>
  <c r="J38" i="20"/>
  <c r="J41" i="20" s="1"/>
  <c r="I51" i="20" s="1"/>
  <c r="AA44" i="20"/>
  <c r="AC44" i="20" s="1"/>
  <c r="AC38" i="20"/>
  <c r="F97" i="10"/>
  <c r="F98" i="10" s="1"/>
  <c r="H41" i="19"/>
  <c r="E86" i="10"/>
  <c r="G86" i="10" s="1"/>
  <c r="G87" i="10" s="1"/>
  <c r="F86" i="10"/>
  <c r="F87" i="10" s="1"/>
  <c r="J38" i="19"/>
  <c r="J41" i="19" s="1"/>
  <c r="G51" i="19" s="1"/>
  <c r="AA44" i="19"/>
  <c r="L41" i="19"/>
  <c r="J13" i="19"/>
  <c r="G15" i="19" s="1"/>
  <c r="I41" i="19"/>
  <c r="E76" i="10"/>
  <c r="G75" i="10"/>
  <c r="G76" i="10" s="1"/>
  <c r="I41" i="18"/>
  <c r="J73" i="10"/>
  <c r="L38" i="18"/>
  <c r="L41" i="18" s="1"/>
  <c r="L13" i="18"/>
  <c r="J38" i="18"/>
  <c r="J41" i="18" s="1"/>
  <c r="J13" i="18"/>
  <c r="F75" i="10"/>
  <c r="F76" i="10" s="1"/>
  <c r="AA44" i="18"/>
  <c r="J13" i="17"/>
  <c r="H15" i="17" s="1"/>
  <c r="H16" i="17" s="1"/>
  <c r="H62" i="10"/>
  <c r="E64" i="10" s="1"/>
  <c r="G64" i="10" s="1"/>
  <c r="G65" i="10" s="1"/>
  <c r="J38" i="17"/>
  <c r="J41" i="17" s="1"/>
  <c r="H51" i="17" s="1"/>
  <c r="H43" i="17" s="1"/>
  <c r="AA44" i="17"/>
  <c r="J62" i="10"/>
  <c r="L38" i="17"/>
  <c r="L13" i="17"/>
  <c r="H13" i="14"/>
  <c r="I41" i="16"/>
  <c r="H51" i="10"/>
  <c r="E53" i="10" s="1"/>
  <c r="J10" i="14"/>
  <c r="J13" i="16"/>
  <c r="G15" i="16" s="1"/>
  <c r="H41" i="16"/>
  <c r="J38" i="16"/>
  <c r="J41" i="16" s="1"/>
  <c r="G51" i="16" s="1"/>
  <c r="J13" i="15"/>
  <c r="G42" i="10"/>
  <c r="G43" i="10" s="1"/>
  <c r="E43" i="10"/>
  <c r="AA44" i="15"/>
  <c r="J38" i="15"/>
  <c r="J41" i="15" s="1"/>
  <c r="G51" i="15" s="1"/>
  <c r="F42" i="10"/>
  <c r="F43" i="10" s="1"/>
  <c r="J41" i="12"/>
  <c r="H51" i="12" s="1"/>
  <c r="H43" i="12" s="1"/>
  <c r="J40" i="10"/>
  <c r="L38" i="15"/>
  <c r="L13" i="15"/>
  <c r="I13" i="14"/>
  <c r="F29" i="10"/>
  <c r="H29" i="10" s="1"/>
  <c r="E31" i="10" s="1"/>
  <c r="H28" i="10"/>
  <c r="I38" i="14"/>
  <c r="I41" i="14" s="1"/>
  <c r="F20" i="10"/>
  <c r="F21" i="10" s="1"/>
  <c r="F9" i="10"/>
  <c r="F10" i="10" s="1"/>
  <c r="AA44" i="14"/>
  <c r="L41" i="14"/>
  <c r="E21" i="10"/>
  <c r="G20" i="10"/>
  <c r="G21" i="10" s="1"/>
  <c r="L41" i="13"/>
  <c r="AA44" i="13"/>
  <c r="J38" i="13"/>
  <c r="J41" i="13" s="1"/>
  <c r="G51" i="13" s="1"/>
  <c r="J13" i="13"/>
  <c r="I41" i="13"/>
  <c r="J13" i="12"/>
  <c r="H15" i="12" s="1"/>
  <c r="H16" i="12" s="1"/>
  <c r="E10" i="10"/>
  <c r="G9" i="10"/>
  <c r="G10" i="10" s="1"/>
  <c r="AA44" i="12"/>
  <c r="I41" i="12"/>
  <c r="J79" i="9"/>
  <c r="J78" i="9"/>
  <c r="J77" i="9"/>
  <c r="G141" i="10" l="1"/>
  <c r="G142" i="10" s="1"/>
  <c r="H15" i="24"/>
  <c r="H16" i="24" s="1"/>
  <c r="I51" i="24"/>
  <c r="I52" i="24" s="1"/>
  <c r="I56" i="24" s="1"/>
  <c r="I60" i="24" s="1"/>
  <c r="G51" i="24"/>
  <c r="G43" i="24" s="1"/>
  <c r="H52" i="24"/>
  <c r="H56" i="24" s="1"/>
  <c r="H60" i="24" s="1"/>
  <c r="H67" i="24" s="1"/>
  <c r="H45" i="24" s="1"/>
  <c r="F141" i="10"/>
  <c r="F142" i="10" s="1"/>
  <c r="G16" i="24"/>
  <c r="I15" i="24"/>
  <c r="G51" i="23"/>
  <c r="G43" i="23" s="1"/>
  <c r="I51" i="23"/>
  <c r="H130" i="10"/>
  <c r="H131" i="10" s="1"/>
  <c r="L41" i="23"/>
  <c r="H43" i="23"/>
  <c r="H52" i="23"/>
  <c r="H56" i="23" s="1"/>
  <c r="H60" i="23" s="1"/>
  <c r="H15" i="23"/>
  <c r="H16" i="23" s="1"/>
  <c r="G16" i="23"/>
  <c r="I15" i="23"/>
  <c r="I16" i="23" s="1"/>
  <c r="J38" i="21"/>
  <c r="J41" i="21" s="1"/>
  <c r="G51" i="21" s="1"/>
  <c r="G16" i="22"/>
  <c r="H15" i="22"/>
  <c r="H16" i="22" s="1"/>
  <c r="J41" i="22"/>
  <c r="G51" i="22" s="1"/>
  <c r="H41" i="22"/>
  <c r="H117" i="10"/>
  <c r="E119" i="10" s="1"/>
  <c r="L41" i="22"/>
  <c r="J13" i="21"/>
  <c r="G15" i="21" s="1"/>
  <c r="G16" i="21" s="1"/>
  <c r="G108" i="10"/>
  <c r="G109" i="10" s="1"/>
  <c r="E109" i="10"/>
  <c r="F108" i="10"/>
  <c r="F109" i="10" s="1"/>
  <c r="L41" i="21"/>
  <c r="H51" i="20"/>
  <c r="H43" i="20" s="1"/>
  <c r="I43" i="20"/>
  <c r="I52" i="20"/>
  <c r="I56" i="20" s="1"/>
  <c r="I60" i="20" s="1"/>
  <c r="I15" i="20"/>
  <c r="I16" i="20" s="1"/>
  <c r="J15" i="20"/>
  <c r="J16" i="20" s="1"/>
  <c r="G16" i="20"/>
  <c r="G51" i="20"/>
  <c r="E87" i="10"/>
  <c r="H86" i="10"/>
  <c r="H87" i="10" s="1"/>
  <c r="H51" i="19"/>
  <c r="H43" i="19" s="1"/>
  <c r="G52" i="19"/>
  <c r="G56" i="19" s="1"/>
  <c r="G60" i="19" s="1"/>
  <c r="G43" i="19"/>
  <c r="H15" i="19"/>
  <c r="H16" i="19" s="1"/>
  <c r="I51" i="19"/>
  <c r="G16" i="19"/>
  <c r="I15" i="19"/>
  <c r="I16" i="19" s="1"/>
  <c r="I51" i="18"/>
  <c r="I52" i="18" s="1"/>
  <c r="I56" i="18" s="1"/>
  <c r="I60" i="18" s="1"/>
  <c r="H51" i="18"/>
  <c r="H52" i="18" s="1"/>
  <c r="H56" i="18" s="1"/>
  <c r="H60" i="18" s="1"/>
  <c r="H15" i="18"/>
  <c r="H16" i="18" s="1"/>
  <c r="G15" i="18"/>
  <c r="G51" i="18"/>
  <c r="H75" i="10"/>
  <c r="H76" i="10" s="1"/>
  <c r="E65" i="10"/>
  <c r="G15" i="17"/>
  <c r="I15" i="17" s="1"/>
  <c r="I16" i="17" s="1"/>
  <c r="F64" i="10"/>
  <c r="F65" i="10" s="1"/>
  <c r="H52" i="17"/>
  <c r="H56" i="17" s="1"/>
  <c r="H60" i="17" s="1"/>
  <c r="H44" i="17" s="1"/>
  <c r="G51" i="17"/>
  <c r="G52" i="17" s="1"/>
  <c r="G56" i="17" s="1"/>
  <c r="G60" i="17" s="1"/>
  <c r="I51" i="17"/>
  <c r="L41" i="17"/>
  <c r="J13" i="14"/>
  <c r="G15" i="14" s="1"/>
  <c r="I15" i="14" s="1"/>
  <c r="I16" i="14" s="1"/>
  <c r="H15" i="16"/>
  <c r="H16" i="16" s="1"/>
  <c r="F53" i="10"/>
  <c r="F54" i="10" s="1"/>
  <c r="I51" i="16"/>
  <c r="I52" i="16" s="1"/>
  <c r="I56" i="16" s="1"/>
  <c r="I60" i="16" s="1"/>
  <c r="I15" i="16"/>
  <c r="I16" i="16" s="1"/>
  <c r="G16" i="16"/>
  <c r="G43" i="16"/>
  <c r="G52" i="16"/>
  <c r="G56" i="16" s="1"/>
  <c r="G60" i="16" s="1"/>
  <c r="H51" i="16"/>
  <c r="E54" i="10"/>
  <c r="G53" i="10"/>
  <c r="G54" i="10" s="1"/>
  <c r="H15" i="15"/>
  <c r="H16" i="15" s="1"/>
  <c r="G15" i="15"/>
  <c r="I51" i="12"/>
  <c r="I52" i="12" s="1"/>
  <c r="I56" i="12" s="1"/>
  <c r="I60" i="12" s="1"/>
  <c r="G51" i="12"/>
  <c r="G43" i="12" s="1"/>
  <c r="H42" i="10"/>
  <c r="H43" i="10" s="1"/>
  <c r="L41" i="15"/>
  <c r="H51" i="15"/>
  <c r="I51" i="15"/>
  <c r="G43" i="15"/>
  <c r="G52" i="15"/>
  <c r="G56" i="15" s="1"/>
  <c r="G60" i="15" s="1"/>
  <c r="J38" i="14"/>
  <c r="J41" i="14" s="1"/>
  <c r="F31" i="10"/>
  <c r="F32" i="10" s="1"/>
  <c r="H51" i="13"/>
  <c r="H43" i="13" s="1"/>
  <c r="G15" i="12"/>
  <c r="I15" i="12" s="1"/>
  <c r="I16" i="12" s="1"/>
  <c r="E32" i="10"/>
  <c r="G31" i="10"/>
  <c r="G32" i="10" s="1"/>
  <c r="H9" i="10"/>
  <c r="H10" i="10" s="1"/>
  <c r="H20" i="10"/>
  <c r="H21" i="10" s="1"/>
  <c r="H15" i="13"/>
  <c r="H16" i="13" s="1"/>
  <c r="G15" i="13"/>
  <c r="G43" i="13"/>
  <c r="G52" i="13"/>
  <c r="G56" i="13" s="1"/>
  <c r="G60" i="13" s="1"/>
  <c r="I51" i="13"/>
  <c r="H52" i="12"/>
  <c r="H56" i="12" s="1"/>
  <c r="H60" i="12" s="1"/>
  <c r="H67" i="12" s="1"/>
  <c r="H63" i="9"/>
  <c r="I43" i="24" l="1"/>
  <c r="J43" i="24" s="1"/>
  <c r="J51" i="24"/>
  <c r="J52" i="24" s="1"/>
  <c r="J56" i="24" s="1"/>
  <c r="J60" i="24" s="1"/>
  <c r="J67" i="24" s="1"/>
  <c r="G73" i="24" s="1"/>
  <c r="I73" i="24" s="1"/>
  <c r="J73" i="24" s="1"/>
  <c r="G52" i="24"/>
  <c r="G56" i="24" s="1"/>
  <c r="G60" i="24" s="1"/>
  <c r="G44" i="24" s="1"/>
  <c r="H44" i="24"/>
  <c r="H141" i="10"/>
  <c r="H142" i="10" s="1"/>
  <c r="J51" i="23"/>
  <c r="J52" i="23" s="1"/>
  <c r="J56" i="23" s="1"/>
  <c r="J60" i="23" s="1"/>
  <c r="J67" i="23" s="1"/>
  <c r="G73" i="23" s="1"/>
  <c r="I73" i="23" s="1"/>
  <c r="J73" i="23" s="1"/>
  <c r="I67" i="24"/>
  <c r="I44" i="24"/>
  <c r="J15" i="24"/>
  <c r="J16" i="24" s="1"/>
  <c r="I16" i="24"/>
  <c r="I43" i="23"/>
  <c r="J43" i="23" s="1"/>
  <c r="I52" i="23"/>
  <c r="I56" i="23" s="1"/>
  <c r="I60" i="23" s="1"/>
  <c r="I67" i="23" s="1"/>
  <c r="G52" i="23"/>
  <c r="G56" i="23" s="1"/>
  <c r="G60" i="23" s="1"/>
  <c r="G44" i="23" s="1"/>
  <c r="J15" i="23"/>
  <c r="J16" i="23" s="1"/>
  <c r="H44" i="23"/>
  <c r="H67" i="23"/>
  <c r="H51" i="21"/>
  <c r="H43" i="21" s="1"/>
  <c r="I51" i="21"/>
  <c r="I52" i="21" s="1"/>
  <c r="I56" i="21" s="1"/>
  <c r="I60" i="21" s="1"/>
  <c r="I67" i="21" s="1"/>
  <c r="I51" i="22"/>
  <c r="I43" i="22" s="1"/>
  <c r="H51" i="22"/>
  <c r="H52" i="22" s="1"/>
  <c r="H56" i="22" s="1"/>
  <c r="H60" i="22" s="1"/>
  <c r="I15" i="21"/>
  <c r="I16" i="21" s="1"/>
  <c r="J15" i="22"/>
  <c r="J16" i="22" s="1"/>
  <c r="L16" i="22" s="1"/>
  <c r="E120" i="10"/>
  <c r="G119" i="10"/>
  <c r="G120" i="10" s="1"/>
  <c r="F119" i="10"/>
  <c r="F120" i="10" s="1"/>
  <c r="G52" i="22"/>
  <c r="G56" i="22" s="1"/>
  <c r="G60" i="22" s="1"/>
  <c r="G43" i="22"/>
  <c r="H15" i="21"/>
  <c r="H16" i="21" s="1"/>
  <c r="H108" i="10"/>
  <c r="H109" i="10" s="1"/>
  <c r="H52" i="20"/>
  <c r="H56" i="20" s="1"/>
  <c r="H60" i="20" s="1"/>
  <c r="H44" i="20" s="1"/>
  <c r="G52" i="21"/>
  <c r="G56" i="21" s="1"/>
  <c r="G60" i="21" s="1"/>
  <c r="G43" i="21"/>
  <c r="I44" i="20"/>
  <c r="I67" i="20"/>
  <c r="I45" i="20" s="1"/>
  <c r="G52" i="20"/>
  <c r="G56" i="20" s="1"/>
  <c r="G60" i="20" s="1"/>
  <c r="G43" i="20"/>
  <c r="J43" i="20" s="1"/>
  <c r="J51" i="20"/>
  <c r="J52" i="20" s="1"/>
  <c r="J56" i="20" s="1"/>
  <c r="J60" i="20" s="1"/>
  <c r="J67" i="20" s="1"/>
  <c r="L16" i="20"/>
  <c r="J98" i="10"/>
  <c r="J51" i="19"/>
  <c r="J52" i="19" s="1"/>
  <c r="J56" i="19" s="1"/>
  <c r="J60" i="19" s="1"/>
  <c r="J67" i="19" s="1"/>
  <c r="G73" i="19" s="1"/>
  <c r="I73" i="19" s="1"/>
  <c r="J73" i="19" s="1"/>
  <c r="H52" i="19"/>
  <c r="H56" i="19" s="1"/>
  <c r="H60" i="19" s="1"/>
  <c r="H44" i="19" s="1"/>
  <c r="J15" i="19"/>
  <c r="J16" i="19" s="1"/>
  <c r="G44" i="19"/>
  <c r="G67" i="19"/>
  <c r="I52" i="19"/>
  <c r="I56" i="19" s="1"/>
  <c r="I60" i="19" s="1"/>
  <c r="I43" i="19"/>
  <c r="J43" i="19" s="1"/>
  <c r="I43" i="18"/>
  <c r="H43" i="18"/>
  <c r="G43" i="17"/>
  <c r="H44" i="18"/>
  <c r="H67" i="18"/>
  <c r="H67" i="17"/>
  <c r="H45" i="17" s="1"/>
  <c r="G43" i="18"/>
  <c r="J51" i="18"/>
  <c r="J52" i="18" s="1"/>
  <c r="J56" i="18" s="1"/>
  <c r="J60" i="18" s="1"/>
  <c r="J67" i="18" s="1"/>
  <c r="G52" i="18"/>
  <c r="G56" i="18" s="1"/>
  <c r="G60" i="18" s="1"/>
  <c r="H64" i="10"/>
  <c r="H65" i="10" s="1"/>
  <c r="G16" i="18"/>
  <c r="I15" i="18"/>
  <c r="I16" i="18" s="1"/>
  <c r="I44" i="18"/>
  <c r="I67" i="18"/>
  <c r="G16" i="17"/>
  <c r="J51" i="17"/>
  <c r="J52" i="17" s="1"/>
  <c r="J56" i="17" s="1"/>
  <c r="J60" i="17" s="1"/>
  <c r="J67" i="17" s="1"/>
  <c r="H68" i="17" s="1"/>
  <c r="J68" i="17" s="1"/>
  <c r="I52" i="17"/>
  <c r="I56" i="17" s="1"/>
  <c r="I60" i="17" s="1"/>
  <c r="I43" i="17"/>
  <c r="G44" i="17"/>
  <c r="G67" i="17"/>
  <c r="J15" i="17"/>
  <c r="J16" i="17" s="1"/>
  <c r="G52" i="12"/>
  <c r="G56" i="12" s="1"/>
  <c r="G60" i="12" s="1"/>
  <c r="G44" i="12" s="1"/>
  <c r="H15" i="14"/>
  <c r="H16" i="14" s="1"/>
  <c r="G16" i="14"/>
  <c r="I43" i="16"/>
  <c r="J15" i="16"/>
  <c r="J16" i="16" s="1"/>
  <c r="L16" i="16" s="1"/>
  <c r="J51" i="15"/>
  <c r="J52" i="15" s="1"/>
  <c r="J56" i="15" s="1"/>
  <c r="J60" i="15" s="1"/>
  <c r="J67" i="15" s="1"/>
  <c r="O72" i="15" s="1"/>
  <c r="H43" i="16"/>
  <c r="H52" i="16"/>
  <c r="H56" i="16" s="1"/>
  <c r="H60" i="16" s="1"/>
  <c r="J51" i="16"/>
  <c r="J52" i="16" s="1"/>
  <c r="J56" i="16" s="1"/>
  <c r="J60" i="16" s="1"/>
  <c r="J67" i="16" s="1"/>
  <c r="G44" i="16"/>
  <c r="G67" i="16"/>
  <c r="H53" i="10"/>
  <c r="H54" i="10" s="1"/>
  <c r="I67" i="16"/>
  <c r="I44" i="16"/>
  <c r="G16" i="15"/>
  <c r="I15" i="15"/>
  <c r="I16" i="15" s="1"/>
  <c r="I43" i="12"/>
  <c r="J43" i="12" s="1"/>
  <c r="J51" i="12"/>
  <c r="J52" i="12" s="1"/>
  <c r="J56" i="12" s="1"/>
  <c r="J60" i="12" s="1"/>
  <c r="J67" i="12" s="1"/>
  <c r="G72" i="12" s="1"/>
  <c r="H52" i="13"/>
  <c r="H56" i="13" s="1"/>
  <c r="H60" i="13" s="1"/>
  <c r="H67" i="13" s="1"/>
  <c r="I52" i="15"/>
  <c r="I56" i="15" s="1"/>
  <c r="I60" i="15" s="1"/>
  <c r="I43" i="15"/>
  <c r="H43" i="15"/>
  <c r="H52" i="15"/>
  <c r="H56" i="15" s="1"/>
  <c r="H60" i="15" s="1"/>
  <c r="G44" i="15"/>
  <c r="G67" i="15"/>
  <c r="H51" i="14"/>
  <c r="I51" i="14"/>
  <c r="G51" i="14"/>
  <c r="G43" i="14" s="1"/>
  <c r="G16" i="12"/>
  <c r="H31" i="10"/>
  <c r="H32" i="10" s="1"/>
  <c r="I43" i="13"/>
  <c r="J43" i="13" s="1"/>
  <c r="I52" i="13"/>
  <c r="I56" i="13" s="1"/>
  <c r="I60" i="13" s="1"/>
  <c r="G16" i="13"/>
  <c r="I15" i="13"/>
  <c r="I16" i="13" s="1"/>
  <c r="H44" i="12"/>
  <c r="J51" i="13"/>
  <c r="J52" i="13" s="1"/>
  <c r="J56" i="13" s="1"/>
  <c r="J60" i="13" s="1"/>
  <c r="J67" i="13" s="1"/>
  <c r="G44" i="13"/>
  <c r="G67" i="13"/>
  <c r="H45" i="12"/>
  <c r="I67" i="12"/>
  <c r="I45" i="12" s="1"/>
  <c r="I44" i="12"/>
  <c r="J15" i="12"/>
  <c r="J16" i="12" s="1"/>
  <c r="K8" i="9"/>
  <c r="K43" i="24" l="1"/>
  <c r="G72" i="23"/>
  <c r="I72" i="23" s="1"/>
  <c r="J72" i="23" s="1"/>
  <c r="M72" i="24"/>
  <c r="H68" i="24"/>
  <c r="H75" i="24" s="1"/>
  <c r="H80" i="24" s="1"/>
  <c r="G72" i="24"/>
  <c r="I72" i="24" s="1"/>
  <c r="J72" i="24" s="1"/>
  <c r="K43" i="23"/>
  <c r="G67" i="24"/>
  <c r="G45" i="24" s="1"/>
  <c r="H68" i="23"/>
  <c r="J68" i="23" s="1"/>
  <c r="M72" i="23"/>
  <c r="O72" i="24"/>
  <c r="J44" i="24"/>
  <c r="K44" i="24" s="1"/>
  <c r="G67" i="23"/>
  <c r="G45" i="23" s="1"/>
  <c r="L16" i="24"/>
  <c r="J142" i="10"/>
  <c r="I44" i="23"/>
  <c r="J44" i="23" s="1"/>
  <c r="K44" i="23" s="1"/>
  <c r="O72" i="23"/>
  <c r="I45" i="24"/>
  <c r="I45" i="23"/>
  <c r="H45" i="23"/>
  <c r="L16" i="23"/>
  <c r="J131" i="10"/>
  <c r="I43" i="21"/>
  <c r="J43" i="21" s="1"/>
  <c r="I44" i="21"/>
  <c r="H43" i="22"/>
  <c r="J43" i="22" s="1"/>
  <c r="H52" i="21"/>
  <c r="H56" i="21" s="1"/>
  <c r="H60" i="21" s="1"/>
  <c r="H67" i="21" s="1"/>
  <c r="H45" i="21" s="1"/>
  <c r="J51" i="21"/>
  <c r="J52" i="21" s="1"/>
  <c r="J56" i="21" s="1"/>
  <c r="J60" i="21" s="1"/>
  <c r="J67" i="21" s="1"/>
  <c r="H68" i="21" s="1"/>
  <c r="J68" i="21" s="1"/>
  <c r="I52" i="22"/>
  <c r="I56" i="22" s="1"/>
  <c r="I60" i="22" s="1"/>
  <c r="I67" i="22" s="1"/>
  <c r="J51" i="22"/>
  <c r="J52" i="22" s="1"/>
  <c r="J56" i="22" s="1"/>
  <c r="J60" i="22" s="1"/>
  <c r="J67" i="22" s="1"/>
  <c r="G73" i="22" s="1"/>
  <c r="I73" i="22" s="1"/>
  <c r="J73" i="22" s="1"/>
  <c r="J120" i="10"/>
  <c r="H119" i="10"/>
  <c r="H120" i="10" s="1"/>
  <c r="G44" i="22"/>
  <c r="G67" i="22"/>
  <c r="J15" i="21"/>
  <c r="J16" i="21" s="1"/>
  <c r="L16" i="21" s="1"/>
  <c r="H67" i="22"/>
  <c r="H44" i="22"/>
  <c r="H67" i="20"/>
  <c r="H45" i="20" s="1"/>
  <c r="I45" i="21"/>
  <c r="G44" i="21"/>
  <c r="G67" i="21"/>
  <c r="K43" i="20"/>
  <c r="G44" i="20"/>
  <c r="J44" i="20" s="1"/>
  <c r="K44" i="20" s="1"/>
  <c r="G67" i="20"/>
  <c r="G73" i="20"/>
  <c r="I73" i="20" s="1"/>
  <c r="J73" i="20" s="1"/>
  <c r="M72" i="20"/>
  <c r="G72" i="20"/>
  <c r="H68" i="20"/>
  <c r="J68" i="20" s="1"/>
  <c r="O72" i="20"/>
  <c r="K45" i="20"/>
  <c r="I69" i="20"/>
  <c r="J69" i="20" s="1"/>
  <c r="K43" i="19"/>
  <c r="G72" i="19"/>
  <c r="G75" i="19" s="1"/>
  <c r="G80" i="19" s="1"/>
  <c r="O72" i="19"/>
  <c r="H68" i="19"/>
  <c r="J68" i="19" s="1"/>
  <c r="H67" i="19"/>
  <c r="H45" i="19" s="1"/>
  <c r="M72" i="19"/>
  <c r="I67" i="19"/>
  <c r="I44" i="19"/>
  <c r="J44" i="19" s="1"/>
  <c r="K44" i="19" s="1"/>
  <c r="G45" i="19"/>
  <c r="L16" i="19"/>
  <c r="J87" i="10"/>
  <c r="J43" i="17"/>
  <c r="K43" i="17" s="1"/>
  <c r="J43" i="18"/>
  <c r="K43" i="18" s="1"/>
  <c r="G72" i="17"/>
  <c r="G44" i="18"/>
  <c r="J44" i="18" s="1"/>
  <c r="K44" i="18" s="1"/>
  <c r="G67" i="18"/>
  <c r="M72" i="18"/>
  <c r="G72" i="18"/>
  <c r="I72" i="18" s="1"/>
  <c r="J72" i="18" s="1"/>
  <c r="H68" i="18"/>
  <c r="J68" i="18" s="1"/>
  <c r="O72" i="18"/>
  <c r="G73" i="18"/>
  <c r="I73" i="18" s="1"/>
  <c r="J73" i="18" s="1"/>
  <c r="M72" i="17"/>
  <c r="O72" i="17"/>
  <c r="I45" i="18"/>
  <c r="G73" i="17"/>
  <c r="I73" i="17" s="1"/>
  <c r="J73" i="17" s="1"/>
  <c r="J15" i="18"/>
  <c r="J16" i="18" s="1"/>
  <c r="H45" i="18"/>
  <c r="I44" i="17"/>
  <c r="J44" i="17" s="1"/>
  <c r="K44" i="17" s="1"/>
  <c r="I67" i="17"/>
  <c r="I45" i="17" s="1"/>
  <c r="L16" i="17"/>
  <c r="J65" i="10"/>
  <c r="H75" i="17"/>
  <c r="H80" i="17" s="1"/>
  <c r="G45" i="17"/>
  <c r="J15" i="14"/>
  <c r="J16" i="14" s="1"/>
  <c r="L16" i="14" s="1"/>
  <c r="G67" i="12"/>
  <c r="G45" i="12" s="1"/>
  <c r="J45" i="12" s="1"/>
  <c r="G73" i="15"/>
  <c r="I73" i="15" s="1"/>
  <c r="J73" i="15" s="1"/>
  <c r="H68" i="15"/>
  <c r="J68" i="15" s="1"/>
  <c r="M72" i="15"/>
  <c r="J54" i="10"/>
  <c r="G72" i="15"/>
  <c r="I72" i="15" s="1"/>
  <c r="J72" i="15" s="1"/>
  <c r="J43" i="16"/>
  <c r="K43" i="16" s="1"/>
  <c r="G73" i="12"/>
  <c r="I73" i="12" s="1"/>
  <c r="J73" i="12" s="1"/>
  <c r="G45" i="16"/>
  <c r="I45" i="16"/>
  <c r="M72" i="16"/>
  <c r="G72" i="16"/>
  <c r="O72" i="16"/>
  <c r="G73" i="16"/>
  <c r="I73" i="16" s="1"/>
  <c r="J73" i="16" s="1"/>
  <c r="H68" i="16"/>
  <c r="J68" i="16" s="1"/>
  <c r="J15" i="15"/>
  <c r="J16" i="15" s="1"/>
  <c r="L16" i="15" s="1"/>
  <c r="H44" i="16"/>
  <c r="J44" i="16" s="1"/>
  <c r="K44" i="16" s="1"/>
  <c r="H67" i="16"/>
  <c r="H44" i="13"/>
  <c r="K43" i="12"/>
  <c r="J43" i="15"/>
  <c r="K43" i="15" s="1"/>
  <c r="O72" i="12"/>
  <c r="H68" i="12"/>
  <c r="J68" i="12" s="1"/>
  <c r="M72" i="12"/>
  <c r="G45" i="15"/>
  <c r="G52" i="14"/>
  <c r="G56" i="14" s="1"/>
  <c r="G60" i="14" s="1"/>
  <c r="G67" i="14" s="1"/>
  <c r="H44" i="15"/>
  <c r="H67" i="15"/>
  <c r="I44" i="15"/>
  <c r="I67" i="15"/>
  <c r="I52" i="14"/>
  <c r="I56" i="14" s="1"/>
  <c r="I60" i="14" s="1"/>
  <c r="I43" i="14"/>
  <c r="H43" i="14"/>
  <c r="H52" i="14"/>
  <c r="H56" i="14" s="1"/>
  <c r="H60" i="14" s="1"/>
  <c r="J51" i="14"/>
  <c r="J52" i="14" s="1"/>
  <c r="J56" i="14" s="1"/>
  <c r="J60" i="14" s="1"/>
  <c r="J67" i="14" s="1"/>
  <c r="H68" i="14" s="1"/>
  <c r="J68" i="14" s="1"/>
  <c r="J15" i="13"/>
  <c r="J16" i="13" s="1"/>
  <c r="L16" i="13" s="1"/>
  <c r="K43" i="13"/>
  <c r="G45" i="13"/>
  <c r="I67" i="13"/>
  <c r="I44" i="13"/>
  <c r="G72" i="13"/>
  <c r="O72" i="13"/>
  <c r="M72" i="13"/>
  <c r="G73" i="13"/>
  <c r="I73" i="13" s="1"/>
  <c r="J73" i="13" s="1"/>
  <c r="H68" i="13"/>
  <c r="J68" i="13" s="1"/>
  <c r="H45" i="13"/>
  <c r="J44" i="12"/>
  <c r="K44" i="12" s="1"/>
  <c r="I72" i="12"/>
  <c r="L16" i="12"/>
  <c r="J10" i="10"/>
  <c r="I35" i="9"/>
  <c r="G63" i="9"/>
  <c r="I63" i="9" s="1"/>
  <c r="J68" i="24" l="1"/>
  <c r="G75" i="24"/>
  <c r="G80" i="24" s="1"/>
  <c r="H75" i="23"/>
  <c r="H80" i="23" s="1"/>
  <c r="J45" i="24"/>
  <c r="K45" i="24" s="1"/>
  <c r="G75" i="23"/>
  <c r="G80" i="23" s="1"/>
  <c r="J45" i="23"/>
  <c r="M72" i="21"/>
  <c r="G73" i="21"/>
  <c r="I73" i="21" s="1"/>
  <c r="J73" i="21" s="1"/>
  <c r="K43" i="21"/>
  <c r="G72" i="21"/>
  <c r="O72" i="21"/>
  <c r="H44" i="21"/>
  <c r="J44" i="21" s="1"/>
  <c r="K44" i="21" s="1"/>
  <c r="I44" i="22"/>
  <c r="J44" i="22" s="1"/>
  <c r="K44" i="22" s="1"/>
  <c r="M72" i="22"/>
  <c r="H68" i="22"/>
  <c r="J68" i="22" s="1"/>
  <c r="O72" i="22"/>
  <c r="J109" i="10"/>
  <c r="G72" i="22"/>
  <c r="I72" i="22" s="1"/>
  <c r="J72" i="22" s="1"/>
  <c r="K43" i="22"/>
  <c r="I45" i="22"/>
  <c r="H45" i="22"/>
  <c r="G45" i="22"/>
  <c r="H75" i="20"/>
  <c r="H80" i="20" s="1"/>
  <c r="G45" i="21"/>
  <c r="J45" i="21" s="1"/>
  <c r="H75" i="21"/>
  <c r="H80" i="21" s="1"/>
  <c r="I72" i="20"/>
  <c r="I75" i="20" s="1"/>
  <c r="I80" i="20" s="1"/>
  <c r="J72" i="20"/>
  <c r="J75" i="20" s="1"/>
  <c r="J80" i="20" s="1"/>
  <c r="G45" i="20"/>
  <c r="J45" i="20" s="1"/>
  <c r="K46" i="20" s="1"/>
  <c r="G75" i="20"/>
  <c r="G80" i="20" s="1"/>
  <c r="I72" i="19"/>
  <c r="J72" i="19" s="1"/>
  <c r="H75" i="19"/>
  <c r="H80" i="19" s="1"/>
  <c r="I45" i="19"/>
  <c r="J45" i="19" s="1"/>
  <c r="H75" i="18"/>
  <c r="H80" i="18" s="1"/>
  <c r="G75" i="17"/>
  <c r="G80" i="17" s="1"/>
  <c r="I72" i="17"/>
  <c r="J72" i="17" s="1"/>
  <c r="G45" i="18"/>
  <c r="J45" i="18" s="1"/>
  <c r="G75" i="18"/>
  <c r="G80" i="18" s="1"/>
  <c r="L16" i="18"/>
  <c r="J76" i="10"/>
  <c r="J45" i="17"/>
  <c r="K46" i="17" s="1"/>
  <c r="J32" i="10"/>
  <c r="G75" i="12"/>
  <c r="G80" i="12" s="1"/>
  <c r="J44" i="13"/>
  <c r="K44" i="13" s="1"/>
  <c r="G75" i="15"/>
  <c r="G80" i="15" s="1"/>
  <c r="G75" i="16"/>
  <c r="G80" i="16" s="1"/>
  <c r="J43" i="10"/>
  <c r="I72" i="16"/>
  <c r="J72" i="16" s="1"/>
  <c r="H45" i="16"/>
  <c r="J45" i="16" s="1"/>
  <c r="H75" i="16"/>
  <c r="H80" i="16" s="1"/>
  <c r="H75" i="12"/>
  <c r="H80" i="12" s="1"/>
  <c r="J44" i="15"/>
  <c r="K44" i="15" s="1"/>
  <c r="G44" i="14"/>
  <c r="I45" i="15"/>
  <c r="H45" i="15"/>
  <c r="H75" i="15"/>
  <c r="H80" i="15" s="1"/>
  <c r="G72" i="14"/>
  <c r="I72" i="14" s="1"/>
  <c r="J72" i="14" s="1"/>
  <c r="G73" i="14"/>
  <c r="I73" i="14" s="1"/>
  <c r="J73" i="14" s="1"/>
  <c r="J43" i="14"/>
  <c r="K43" i="14" s="1"/>
  <c r="O72" i="14"/>
  <c r="H67" i="14"/>
  <c r="H45" i="14" s="1"/>
  <c r="H44" i="14"/>
  <c r="M72" i="14"/>
  <c r="I44" i="14"/>
  <c r="I67" i="14"/>
  <c r="I45" i="14" s="1"/>
  <c r="J21" i="10"/>
  <c r="G45" i="14"/>
  <c r="I72" i="13"/>
  <c r="J72" i="13" s="1"/>
  <c r="H75" i="13"/>
  <c r="H80" i="13" s="1"/>
  <c r="I45" i="13"/>
  <c r="J45" i="13" s="1"/>
  <c r="G75" i="13"/>
  <c r="G80" i="13" s="1"/>
  <c r="J72" i="12"/>
  <c r="K46" i="12"/>
  <c r="K45" i="12"/>
  <c r="K50" i="9"/>
  <c r="H75" i="22" l="1"/>
  <c r="H80" i="22" s="1"/>
  <c r="K46" i="24"/>
  <c r="K46" i="23"/>
  <c r="K45" i="23"/>
  <c r="G75" i="21"/>
  <c r="G80" i="21" s="1"/>
  <c r="I72" i="21"/>
  <c r="J72" i="21" s="1"/>
  <c r="G75" i="22"/>
  <c r="G80" i="22" s="1"/>
  <c r="J45" i="22"/>
  <c r="K45" i="22" s="1"/>
  <c r="K45" i="21"/>
  <c r="K46" i="21"/>
  <c r="K46" i="19"/>
  <c r="K45" i="19"/>
  <c r="K46" i="18"/>
  <c r="K45" i="18"/>
  <c r="K45" i="17"/>
  <c r="K46" i="16"/>
  <c r="K45" i="16"/>
  <c r="J45" i="15"/>
  <c r="K46" i="15" s="1"/>
  <c r="G75" i="14"/>
  <c r="G80" i="14" s="1"/>
  <c r="J44" i="14"/>
  <c r="K44" i="14" s="1"/>
  <c r="J45" i="14"/>
  <c r="K46" i="14" s="1"/>
  <c r="H75" i="14"/>
  <c r="H80" i="14" s="1"/>
  <c r="K46" i="13"/>
  <c r="K45" i="13"/>
  <c r="G8" i="9"/>
  <c r="H8" i="9"/>
  <c r="M20" i="9"/>
  <c r="K46" i="22" l="1"/>
  <c r="K45" i="15"/>
  <c r="K45" i="14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7" i="5" l="1"/>
  <c r="CH25" i="5"/>
  <c r="CH41" i="5"/>
  <c r="CH49" i="5"/>
  <c r="CH57" i="5"/>
  <c r="CH65" i="5"/>
  <c r="CH73" i="5"/>
  <c r="CJ73" i="5" s="1"/>
  <c r="CH81" i="5"/>
  <c r="CH89" i="5"/>
  <c r="CH105" i="5"/>
  <c r="CH113" i="5"/>
  <c r="CH129" i="5"/>
  <c r="CH137" i="5"/>
  <c r="CH145" i="5"/>
  <c r="CH153" i="5"/>
  <c r="CH161" i="5"/>
  <c r="CH169" i="5"/>
  <c r="CJ169" i="5" s="1"/>
  <c r="CH185" i="5"/>
  <c r="CH193" i="5"/>
  <c r="CH225" i="5"/>
  <c r="CH233" i="5"/>
  <c r="CH241" i="5"/>
  <c r="CH249" i="5"/>
  <c r="CH273" i="5"/>
  <c r="CH313" i="5"/>
  <c r="CH329" i="5"/>
  <c r="CH353" i="5"/>
  <c r="CH385" i="5"/>
  <c r="CH18" i="5"/>
  <c r="CH26" i="5"/>
  <c r="CJ26" i="5" s="1"/>
  <c r="CH58" i="5"/>
  <c r="CH82" i="5"/>
  <c r="CJ82" i="5" s="1"/>
  <c r="CH90" i="5"/>
  <c r="CH98" i="5"/>
  <c r="CH106" i="5"/>
  <c r="CH114" i="5"/>
  <c r="CH122" i="5"/>
  <c r="CH130" i="5"/>
  <c r="CH154" i="5"/>
  <c r="CH178" i="5"/>
  <c r="CH194" i="5"/>
  <c r="CH202" i="5"/>
  <c r="CH210" i="5"/>
  <c r="CH234" i="5"/>
  <c r="CH250" i="5"/>
  <c r="CH258" i="5"/>
  <c r="CH274" i="5"/>
  <c r="CH322" i="5"/>
  <c r="CH330" i="5"/>
  <c r="CH338" i="5"/>
  <c r="CH354" i="5"/>
  <c r="CH378" i="5"/>
  <c r="CH3" i="5"/>
  <c r="CH27" i="5"/>
  <c r="CH43" i="5"/>
  <c r="CH51" i="5"/>
  <c r="CH59" i="5"/>
  <c r="CH67" i="5"/>
  <c r="CH75" i="5"/>
  <c r="CH83" i="5"/>
  <c r="CH91" i="5"/>
  <c r="CH107" i="5"/>
  <c r="CH123" i="5"/>
  <c r="CH131" i="5"/>
  <c r="CH139" i="5"/>
  <c r="CH147" i="5"/>
  <c r="CH163" i="5"/>
  <c r="CH179" i="5"/>
  <c r="CH219" i="5"/>
  <c r="CH243" i="5"/>
  <c r="CH259" i="5"/>
  <c r="CH299" i="5"/>
  <c r="CH307" i="5"/>
  <c r="CH315" i="5"/>
  <c r="CH323" i="5"/>
  <c r="CH339" i="5"/>
  <c r="CH379" i="5"/>
  <c r="CH12" i="5"/>
  <c r="CH20" i="5"/>
  <c r="CH52" i="5"/>
  <c r="CH68" i="5"/>
  <c r="CH84" i="5"/>
  <c r="CH100" i="5"/>
  <c r="CH108" i="5"/>
  <c r="CH116" i="5"/>
  <c r="CH124" i="5"/>
  <c r="CH140" i="5"/>
  <c r="CH164" i="5"/>
  <c r="CH172" i="5"/>
  <c r="CH180" i="5"/>
  <c r="CH188" i="5"/>
  <c r="CH196" i="5"/>
  <c r="CH204" i="5"/>
  <c r="CH212" i="5"/>
  <c r="CH220" i="5"/>
  <c r="CH228" i="5"/>
  <c r="CH236" i="5"/>
  <c r="CH244" i="5"/>
  <c r="CH260" i="5"/>
  <c r="CH284" i="5"/>
  <c r="CH300" i="5"/>
  <c r="CH316" i="5"/>
  <c r="CH332" i="5"/>
  <c r="CH340" i="5"/>
  <c r="CH372" i="5"/>
  <c r="CH5" i="5"/>
  <c r="CH13" i="5"/>
  <c r="CH21" i="5"/>
  <c r="CH29" i="5"/>
  <c r="CH45" i="5"/>
  <c r="CJ45" i="5" s="1"/>
  <c r="CH69" i="5"/>
  <c r="CH93" i="5"/>
  <c r="CH101" i="5"/>
  <c r="CH109" i="5"/>
  <c r="CH133" i="5"/>
  <c r="CH141" i="5"/>
  <c r="CH165" i="5"/>
  <c r="CH181" i="5"/>
  <c r="CH189" i="5"/>
  <c r="CH197" i="5"/>
  <c r="CH205" i="5"/>
  <c r="CH213" i="5"/>
  <c r="CH221" i="5"/>
  <c r="CH245" i="5"/>
  <c r="CH253" i="5"/>
  <c r="CH261" i="5"/>
  <c r="CH285" i="5"/>
  <c r="CH301" i="5"/>
  <c r="CH317" i="5"/>
  <c r="CH325" i="5"/>
  <c r="CH381" i="5"/>
  <c r="CH6" i="5"/>
  <c r="CH14" i="5"/>
  <c r="CH30" i="5"/>
  <c r="CH46" i="5"/>
  <c r="CH54" i="5"/>
  <c r="CH62" i="5"/>
  <c r="CH86" i="5"/>
  <c r="CH110" i="5"/>
  <c r="CH126" i="5"/>
  <c r="CH142" i="5"/>
  <c r="CH150" i="5"/>
  <c r="CH158" i="5"/>
  <c r="CH198" i="5"/>
  <c r="CH214" i="5"/>
  <c r="CH222" i="5"/>
  <c r="CH230" i="5"/>
  <c r="CH246" i="5"/>
  <c r="CH262" i="5"/>
  <c r="CH278" i="5"/>
  <c r="CH418" i="5" s="1"/>
  <c r="CH310" i="5"/>
  <c r="CH318" i="5"/>
  <c r="CH326" i="5"/>
  <c r="CH334" i="5"/>
  <c r="CH342" i="5"/>
  <c r="CH7" i="5"/>
  <c r="CH15" i="5"/>
  <c r="CH23" i="5"/>
  <c r="CH39" i="5"/>
  <c r="CH47" i="5"/>
  <c r="CH55" i="5"/>
  <c r="CH71" i="5"/>
  <c r="CH87" i="5"/>
  <c r="CH95" i="5"/>
  <c r="CH103" i="5"/>
  <c r="CH111" i="5"/>
  <c r="CH119" i="5"/>
  <c r="CH135" i="5"/>
  <c r="CH143" i="5"/>
  <c r="CH159" i="5"/>
  <c r="CH167" i="5"/>
  <c r="CH175" i="5"/>
  <c r="CH183" i="5"/>
  <c r="CH199" i="5"/>
  <c r="CH207" i="5"/>
  <c r="CH215" i="5"/>
  <c r="CH239" i="5"/>
  <c r="CH263" i="5"/>
  <c r="CH295" i="5"/>
  <c r="CH311" i="5"/>
  <c r="CH327" i="5"/>
  <c r="CH335" i="5"/>
  <c r="CH343" i="5"/>
  <c r="CH351" i="5"/>
  <c r="CH375" i="5"/>
  <c r="CH383" i="5"/>
  <c r="CH16" i="5"/>
  <c r="CH24" i="5"/>
  <c r="CJ24" i="5" s="1"/>
  <c r="CH40" i="5"/>
  <c r="CH56" i="5"/>
  <c r="CH64" i="5"/>
  <c r="CH72" i="5"/>
  <c r="CH80" i="5"/>
  <c r="CH88" i="5"/>
  <c r="CH104" i="5"/>
  <c r="CH120" i="5"/>
  <c r="CH136" i="5"/>
  <c r="CH144" i="5"/>
  <c r="CH152" i="5"/>
  <c r="CH176" i="5"/>
  <c r="CH208" i="5"/>
  <c r="CH216" i="5"/>
  <c r="CH224" i="5"/>
  <c r="CH272" i="5"/>
  <c r="CH417" i="5" s="1"/>
  <c r="CH280" i="5"/>
  <c r="CH312" i="5"/>
  <c r="CH320" i="5"/>
  <c r="CH328" i="5"/>
  <c r="CH352" i="5"/>
  <c r="CH2" i="5"/>
  <c r="CG17" i="5"/>
  <c r="CG25" i="5"/>
  <c r="CG41" i="5"/>
  <c r="CG49" i="5"/>
  <c r="CG57" i="5"/>
  <c r="CG65" i="5"/>
  <c r="CG81" i="5"/>
  <c r="CG89" i="5"/>
  <c r="CG105" i="5"/>
  <c r="CG113" i="5"/>
  <c r="CG129" i="5"/>
  <c r="CG137" i="5"/>
  <c r="CG145" i="5"/>
  <c r="CG153" i="5"/>
  <c r="CG161" i="5"/>
  <c r="CG185" i="5"/>
  <c r="CJ185" i="5" s="1"/>
  <c r="CG193" i="5"/>
  <c r="CJ193" i="5" s="1"/>
  <c r="CG225" i="5"/>
  <c r="CJ225" i="5" s="1"/>
  <c r="CG233" i="5"/>
  <c r="CJ233" i="5" s="1"/>
  <c r="CG241" i="5"/>
  <c r="CJ241" i="5" s="1"/>
  <c r="CG249" i="5"/>
  <c r="CJ249" i="5" s="1"/>
  <c r="CG273" i="5"/>
  <c r="CJ273" i="5" s="1"/>
  <c r="CG313" i="5"/>
  <c r="CJ313" i="5" s="1"/>
  <c r="CG329" i="5"/>
  <c r="CJ329" i="5" s="1"/>
  <c r="CG353" i="5"/>
  <c r="CJ353" i="5" s="1"/>
  <c r="CG385" i="5"/>
  <c r="CJ385" i="5" s="1"/>
  <c r="CG18" i="5"/>
  <c r="CJ18" i="5" s="1"/>
  <c r="CG58" i="5"/>
  <c r="CG90" i="5"/>
  <c r="CG98" i="5"/>
  <c r="CG106" i="5"/>
  <c r="CG114" i="5"/>
  <c r="CG122" i="5"/>
  <c r="CG130" i="5"/>
  <c r="CG154" i="5"/>
  <c r="CG178" i="5"/>
  <c r="CG194" i="5"/>
  <c r="CG202" i="5"/>
  <c r="CG210" i="5"/>
  <c r="CG234" i="5"/>
  <c r="CG250" i="5"/>
  <c r="CG258" i="5"/>
  <c r="CG412" i="5" s="1"/>
  <c r="CG413" i="5" s="1"/>
  <c r="CG274" i="5"/>
  <c r="CG322" i="5"/>
  <c r="CG330" i="5"/>
  <c r="CG338" i="5"/>
  <c r="CG354" i="5"/>
  <c r="CG378" i="5"/>
  <c r="CG3" i="5"/>
  <c r="CG27" i="5"/>
  <c r="CG43" i="5"/>
  <c r="CG51" i="5"/>
  <c r="CG59" i="5"/>
  <c r="CG67" i="5"/>
  <c r="CG75" i="5"/>
  <c r="CG83" i="5"/>
  <c r="CG91" i="5"/>
  <c r="CG107" i="5"/>
  <c r="CG123" i="5"/>
  <c r="CG131" i="5"/>
  <c r="CG139" i="5"/>
  <c r="CG147" i="5"/>
  <c r="CG163" i="5"/>
  <c r="CG179" i="5"/>
  <c r="CG219" i="5"/>
  <c r="CG243" i="5"/>
  <c r="CG259" i="5"/>
  <c r="CG299" i="5"/>
  <c r="CG307" i="5"/>
  <c r="CG315" i="5"/>
  <c r="CG323" i="5"/>
  <c r="CG339" i="5"/>
  <c r="CG379" i="5"/>
  <c r="CG12" i="5"/>
  <c r="CG20" i="5"/>
  <c r="CG52" i="5"/>
  <c r="CG68" i="5"/>
  <c r="CG84" i="5"/>
  <c r="CG100" i="5"/>
  <c r="CG108" i="5"/>
  <c r="CG116" i="5"/>
  <c r="CG124" i="5"/>
  <c r="CG140" i="5"/>
  <c r="CG164" i="5"/>
  <c r="CG172" i="5"/>
  <c r="CG180" i="5"/>
  <c r="CG188" i="5"/>
  <c r="CG196" i="5"/>
  <c r="CG204" i="5"/>
  <c r="CG212" i="5"/>
  <c r="CG220" i="5"/>
  <c r="CG228" i="5"/>
  <c r="CG236" i="5"/>
  <c r="CG244" i="5"/>
  <c r="CG260" i="5"/>
  <c r="CG284" i="5"/>
  <c r="CG300" i="5"/>
  <c r="CG316" i="5"/>
  <c r="CG332" i="5"/>
  <c r="CG340" i="5"/>
  <c r="CG372" i="5"/>
  <c r="CG5" i="5"/>
  <c r="CG13" i="5"/>
  <c r="CG21" i="5"/>
  <c r="CG29" i="5"/>
  <c r="CG69" i="5"/>
  <c r="CG93" i="5"/>
  <c r="CG101" i="5"/>
  <c r="CG109" i="5"/>
  <c r="CG133" i="5"/>
  <c r="CG141" i="5"/>
  <c r="CG165" i="5"/>
  <c r="CG181" i="5"/>
  <c r="CG189" i="5"/>
  <c r="CG197" i="5"/>
  <c r="CG205" i="5"/>
  <c r="CG213" i="5"/>
  <c r="CG221" i="5"/>
  <c r="CG245" i="5"/>
  <c r="CG253" i="5"/>
  <c r="CG261" i="5"/>
  <c r="CG285" i="5"/>
  <c r="CG301" i="5"/>
  <c r="CG317" i="5"/>
  <c r="CG325" i="5"/>
  <c r="CG381" i="5"/>
  <c r="CG6" i="5"/>
  <c r="CG14" i="5"/>
  <c r="CG30" i="5"/>
  <c r="CG46" i="5"/>
  <c r="CG54" i="5"/>
  <c r="CG62" i="5"/>
  <c r="CG86" i="5"/>
  <c r="CG110" i="5"/>
  <c r="CG126" i="5"/>
  <c r="CG142" i="5"/>
  <c r="CG150" i="5"/>
  <c r="CG158" i="5"/>
  <c r="CG198" i="5"/>
  <c r="CG214" i="5"/>
  <c r="CG222" i="5"/>
  <c r="CG230" i="5"/>
  <c r="CG246" i="5"/>
  <c r="CG262" i="5"/>
  <c r="CG278" i="5"/>
  <c r="CG310" i="5"/>
  <c r="CG318" i="5"/>
  <c r="CG326" i="5"/>
  <c r="CG334" i="5"/>
  <c r="CG342" i="5"/>
  <c r="CG7" i="5"/>
  <c r="CG15" i="5"/>
  <c r="CG23" i="5"/>
  <c r="CG39" i="5"/>
  <c r="CG47" i="5"/>
  <c r="CG55" i="5"/>
  <c r="CG71" i="5"/>
  <c r="CG87" i="5"/>
  <c r="CG95" i="5"/>
  <c r="CG103" i="5"/>
  <c r="CG111" i="5"/>
  <c r="CG119" i="5"/>
  <c r="CG135" i="5"/>
  <c r="CG143" i="5"/>
  <c r="CG159" i="5"/>
  <c r="CG167" i="5"/>
  <c r="CG175" i="5"/>
  <c r="CG183" i="5"/>
  <c r="CG199" i="5"/>
  <c r="CG207" i="5"/>
  <c r="CG215" i="5"/>
  <c r="CG239" i="5"/>
  <c r="CG263" i="5"/>
  <c r="CG295" i="5"/>
  <c r="CG311" i="5"/>
  <c r="CG327" i="5"/>
  <c r="CG335" i="5"/>
  <c r="CG343" i="5"/>
  <c r="CG351" i="5"/>
  <c r="CG375" i="5"/>
  <c r="CG383" i="5"/>
  <c r="CG16" i="5"/>
  <c r="CG40" i="5"/>
  <c r="CG56" i="5"/>
  <c r="CG64" i="5"/>
  <c r="CG72" i="5"/>
  <c r="CG80" i="5"/>
  <c r="CG88" i="5"/>
  <c r="CG104" i="5"/>
  <c r="CG120" i="5"/>
  <c r="CG136" i="5"/>
  <c r="CG144" i="5"/>
  <c r="CG152" i="5"/>
  <c r="CG176" i="5"/>
  <c r="CG208" i="5"/>
  <c r="CG216" i="5"/>
  <c r="CG224" i="5"/>
  <c r="CG272" i="5"/>
  <c r="CG417" i="5" s="1"/>
  <c r="CG280" i="5"/>
  <c r="CG312" i="5"/>
  <c r="CG320" i="5"/>
  <c r="CG328" i="5"/>
  <c r="CG352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G418" i="5" l="1"/>
  <c r="CG429" i="5"/>
  <c r="CG430" i="5" s="1"/>
  <c r="CH429" i="5"/>
  <c r="CH430" i="5" s="1"/>
  <c r="CG423" i="5"/>
  <c r="CH425" i="5"/>
  <c r="CG427" i="5"/>
  <c r="CG428" i="5" s="1"/>
  <c r="CG425" i="5"/>
  <c r="CH419" i="5"/>
  <c r="CH420" i="5" s="1"/>
  <c r="CH427" i="5"/>
  <c r="CH428" i="5" s="1"/>
  <c r="CG424" i="5"/>
  <c r="CH423" i="5"/>
  <c r="CH424" i="5"/>
  <c r="CH412" i="5"/>
  <c r="CH413" i="5" s="1"/>
  <c r="CG419" i="5"/>
  <c r="CG420" i="5" s="1"/>
  <c r="CG407" i="5"/>
  <c r="CG408" i="5" s="1"/>
  <c r="CH409" i="5"/>
  <c r="CH410" i="5" s="1"/>
  <c r="CG409" i="5"/>
  <c r="CG410" i="5" s="1"/>
  <c r="CJ280" i="5"/>
  <c r="CJ136" i="5"/>
  <c r="CJ40" i="5"/>
  <c r="CJ21" i="5"/>
  <c r="CJ284" i="5"/>
  <c r="CJ196" i="5"/>
  <c r="CJ108" i="5"/>
  <c r="CJ339" i="5"/>
  <c r="CJ179" i="5"/>
  <c r="CJ83" i="5"/>
  <c r="CJ378" i="5"/>
  <c r="CJ234" i="5"/>
  <c r="CJ114" i="5"/>
  <c r="CH407" i="5"/>
  <c r="CH408" i="5" s="1"/>
  <c r="CJ224" i="5"/>
  <c r="CJ104" i="5"/>
  <c r="CJ312" i="5"/>
  <c r="CJ144" i="5"/>
  <c r="CJ56" i="5"/>
  <c r="CJ327" i="5"/>
  <c r="CJ183" i="5"/>
  <c r="CJ103" i="5"/>
  <c r="CJ15" i="5"/>
  <c r="CJ262" i="5"/>
  <c r="CJ142" i="5"/>
  <c r="CJ14" i="5"/>
  <c r="CJ253" i="5"/>
  <c r="CJ89" i="5"/>
  <c r="CG405" i="5"/>
  <c r="CG406" i="5" s="1"/>
  <c r="CJ165" i="5"/>
  <c r="CH394" i="5"/>
  <c r="CH395" i="5" s="1"/>
  <c r="CH405" i="5"/>
  <c r="CH406" i="5" s="1"/>
  <c r="CJ311" i="5"/>
  <c r="CJ272" i="5"/>
  <c r="CJ120" i="5"/>
  <c r="CG402" i="5"/>
  <c r="CG403" i="5" s="1"/>
  <c r="CJ49" i="5"/>
  <c r="CJ129" i="5"/>
  <c r="CJ175" i="5"/>
  <c r="CJ95" i="5"/>
  <c r="CJ7" i="5"/>
  <c r="CJ246" i="5"/>
  <c r="CJ126" i="5"/>
  <c r="CJ6" i="5"/>
  <c r="CJ245" i="5"/>
  <c r="CJ141" i="5"/>
  <c r="CH402" i="5"/>
  <c r="CH403" i="5" s="1"/>
  <c r="CJ383" i="5"/>
  <c r="CJ263" i="5"/>
  <c r="CJ159" i="5"/>
  <c r="CJ137" i="5"/>
  <c r="CJ88" i="5"/>
  <c r="CJ216" i="5"/>
  <c r="CJ375" i="5"/>
  <c r="CJ143" i="5"/>
  <c r="CJ55" i="5"/>
  <c r="CJ326" i="5"/>
  <c r="CJ214" i="5"/>
  <c r="CJ62" i="5"/>
  <c r="CJ317" i="5"/>
  <c r="CJ205" i="5"/>
  <c r="CJ101" i="5"/>
  <c r="CJ352" i="5"/>
  <c r="CJ80" i="5"/>
  <c r="CJ239" i="5"/>
  <c r="CJ208" i="5"/>
  <c r="CJ71" i="5"/>
  <c r="CJ334" i="5"/>
  <c r="CJ222" i="5"/>
  <c r="CJ86" i="5"/>
  <c r="CJ325" i="5"/>
  <c r="CJ213" i="5"/>
  <c r="CJ109" i="5"/>
  <c r="CJ372" i="5"/>
  <c r="CJ236" i="5"/>
  <c r="CJ172" i="5"/>
  <c r="CJ68" i="5"/>
  <c r="CJ307" i="5"/>
  <c r="CJ139" i="5"/>
  <c r="CJ59" i="5"/>
  <c r="CJ330" i="5"/>
  <c r="CH396" i="5"/>
  <c r="CH397" i="5" s="1"/>
  <c r="CG399" i="5"/>
  <c r="CH399" i="5"/>
  <c r="CH398" i="5"/>
  <c r="CG398" i="5"/>
  <c r="CJ65" i="5"/>
  <c r="CJ194" i="5"/>
  <c r="CJ90" i="5"/>
  <c r="CJ145" i="5"/>
  <c r="CJ57" i="5"/>
  <c r="CJ243" i="5"/>
  <c r="CJ107" i="5"/>
  <c r="CJ27" i="5"/>
  <c r="CJ258" i="5"/>
  <c r="CJ412" i="5" s="1"/>
  <c r="CJ413" i="5" s="1"/>
  <c r="CJ130" i="5"/>
  <c r="CJ25" i="5"/>
  <c r="CJ17" i="5"/>
  <c r="CJ316" i="5"/>
  <c r="CJ212" i="5"/>
  <c r="CJ124" i="5"/>
  <c r="CJ12" i="5"/>
  <c r="CG396" i="5"/>
  <c r="CG397" i="5" s="1"/>
  <c r="CJ335" i="5"/>
  <c r="CJ199" i="5"/>
  <c r="CJ111" i="5"/>
  <c r="CJ23" i="5"/>
  <c r="CJ278" i="5"/>
  <c r="CJ150" i="5"/>
  <c r="CJ30" i="5"/>
  <c r="CJ261" i="5"/>
  <c r="CJ181" i="5"/>
  <c r="CJ2" i="5"/>
  <c r="CG394" i="5"/>
  <c r="CG395" i="5" s="1"/>
  <c r="CJ340" i="5"/>
  <c r="CJ228" i="5"/>
  <c r="CJ164" i="5"/>
  <c r="CJ52" i="5"/>
  <c r="CJ299" i="5"/>
  <c r="CJ131" i="5"/>
  <c r="CJ51" i="5"/>
  <c r="CJ322" i="5"/>
  <c r="CJ178" i="5"/>
  <c r="CJ215" i="5"/>
  <c r="CJ135" i="5"/>
  <c r="CJ47" i="5"/>
  <c r="CJ318" i="5"/>
  <c r="CJ198" i="5"/>
  <c r="CJ54" i="5"/>
  <c r="CJ301" i="5"/>
  <c r="CJ197" i="5"/>
  <c r="CJ93" i="5"/>
  <c r="CJ351" i="5"/>
  <c r="CJ176" i="5"/>
  <c r="CJ328" i="5"/>
  <c r="CJ72" i="5"/>
  <c r="CJ161" i="5"/>
  <c r="CJ81" i="5"/>
  <c r="CJ16" i="5"/>
  <c r="CJ295" i="5"/>
  <c r="CJ167" i="5"/>
  <c r="CJ87" i="5"/>
  <c r="CJ342" i="5"/>
  <c r="CJ230" i="5"/>
  <c r="CJ110" i="5"/>
  <c r="CJ381" i="5"/>
  <c r="CJ221" i="5"/>
  <c r="CJ133" i="5"/>
  <c r="CJ41" i="5"/>
  <c r="CJ113" i="5"/>
  <c r="CJ13" i="5"/>
  <c r="CJ260" i="5"/>
  <c r="CJ188" i="5"/>
  <c r="CJ100" i="5"/>
  <c r="CJ323" i="5"/>
  <c r="CJ163" i="5"/>
  <c r="CJ75" i="5"/>
  <c r="CJ354" i="5"/>
  <c r="CJ210" i="5"/>
  <c r="CJ106" i="5"/>
  <c r="CJ5" i="5"/>
  <c r="CJ244" i="5"/>
  <c r="CJ180" i="5"/>
  <c r="CJ84" i="5"/>
  <c r="CJ315" i="5"/>
  <c r="CJ147" i="5"/>
  <c r="CJ67" i="5"/>
  <c r="CJ338" i="5"/>
  <c r="CJ202" i="5"/>
  <c r="CJ98" i="5"/>
  <c r="CJ153" i="5"/>
  <c r="CJ58" i="5"/>
  <c r="CJ220" i="5"/>
  <c r="CJ259" i="5"/>
  <c r="CJ43" i="5"/>
  <c r="CJ154" i="5"/>
  <c r="CJ20" i="5"/>
  <c r="CJ274" i="5"/>
  <c r="CJ343" i="5"/>
  <c r="CJ119" i="5"/>
  <c r="CJ158" i="5"/>
  <c r="CJ189" i="5"/>
  <c r="CJ332" i="5"/>
  <c r="CJ140" i="5"/>
  <c r="CJ123" i="5"/>
  <c r="CJ207" i="5"/>
  <c r="CJ39" i="5"/>
  <c r="CJ310" i="5"/>
  <c r="CJ46" i="5"/>
  <c r="CJ285" i="5"/>
  <c r="CJ69" i="5"/>
  <c r="CJ320" i="5"/>
  <c r="CJ152" i="5"/>
  <c r="CJ64" i="5"/>
  <c r="CJ29" i="5"/>
  <c r="CJ300" i="5"/>
  <c r="CJ204" i="5"/>
  <c r="CJ116" i="5"/>
  <c r="CJ379" i="5"/>
  <c r="CJ219" i="5"/>
  <c r="CJ91" i="5"/>
  <c r="CJ3" i="5"/>
  <c r="CJ250" i="5"/>
  <c r="CJ122" i="5"/>
  <c r="CJ105" i="5"/>
  <c r="F80" i="9"/>
  <c r="F45" i="9"/>
  <c r="N22" i="9"/>
  <c r="N21" i="9"/>
  <c r="H51" i="9"/>
  <c r="I51" i="9"/>
  <c r="G51" i="9"/>
  <c r="G43" i="9" s="1"/>
  <c r="CJ429" i="5" l="1"/>
  <c r="CJ430" i="5" s="1"/>
  <c r="CJ418" i="5"/>
  <c r="CG426" i="5"/>
  <c r="CJ424" i="5"/>
  <c r="CJ427" i="5"/>
  <c r="CJ428" i="5" s="1"/>
  <c r="CH426" i="5"/>
  <c r="CJ425" i="5"/>
  <c r="CJ423" i="5"/>
  <c r="CJ419" i="5"/>
  <c r="CJ417" i="5"/>
  <c r="M10" i="19"/>
  <c r="K81" i="10"/>
  <c r="CJ409" i="5"/>
  <c r="CJ410" i="5" s="1"/>
  <c r="CJ407" i="5"/>
  <c r="CJ408" i="5" s="1"/>
  <c r="CJ405" i="5"/>
  <c r="CJ406" i="5" s="1"/>
  <c r="CJ402" i="5"/>
  <c r="CJ403" i="5" s="1"/>
  <c r="CG400" i="5"/>
  <c r="CJ399" i="5"/>
  <c r="CH400" i="5"/>
  <c r="CJ398" i="5"/>
  <c r="CJ396" i="5"/>
  <c r="CJ397" i="5" s="1"/>
  <c r="CJ394" i="5"/>
  <c r="CJ395" i="5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136" i="10" l="1"/>
  <c r="M10" i="24"/>
  <c r="M10" i="23"/>
  <c r="K125" i="10"/>
  <c r="CJ426" i="5"/>
  <c r="K114" i="10" s="1"/>
  <c r="CJ420" i="5"/>
  <c r="K84" i="10"/>
  <c r="L81" i="10"/>
  <c r="L84" i="10" s="1"/>
  <c r="AB10" i="19"/>
  <c r="AC10" i="19" s="1"/>
  <c r="M13" i="19"/>
  <c r="M38" i="19"/>
  <c r="N10" i="19"/>
  <c r="N13" i="19" s="1"/>
  <c r="M10" i="18"/>
  <c r="K70" i="10"/>
  <c r="M10" i="17"/>
  <c r="K59" i="10"/>
  <c r="M10" i="16"/>
  <c r="K48" i="10"/>
  <c r="M10" i="15"/>
  <c r="K37" i="10"/>
  <c r="CJ400" i="5"/>
  <c r="M10" i="13"/>
  <c r="K15" i="10"/>
  <c r="M10" i="12"/>
  <c r="K4" i="10"/>
  <c r="H44" i="9"/>
  <c r="N41" i="9"/>
  <c r="N38" i="9"/>
  <c r="J43" i="9"/>
  <c r="K43" i="9" s="1"/>
  <c r="I44" i="9"/>
  <c r="I67" i="9"/>
  <c r="M13" i="24" l="1"/>
  <c r="M38" i="24"/>
  <c r="N10" i="24"/>
  <c r="N13" i="24" s="1"/>
  <c r="AB10" i="24"/>
  <c r="AC10" i="24" s="1"/>
  <c r="K139" i="10"/>
  <c r="L136" i="10"/>
  <c r="L139" i="10" s="1"/>
  <c r="K128" i="10"/>
  <c r="L125" i="10"/>
  <c r="L128" i="10" s="1"/>
  <c r="M38" i="23"/>
  <c r="M13" i="23"/>
  <c r="AB10" i="23"/>
  <c r="AC10" i="23" s="1"/>
  <c r="N10" i="23"/>
  <c r="N13" i="23" s="1"/>
  <c r="M10" i="22"/>
  <c r="N10" i="22" s="1"/>
  <c r="N13" i="22" s="1"/>
  <c r="K117" i="10"/>
  <c r="L114" i="10"/>
  <c r="L117" i="10" s="1"/>
  <c r="M10" i="21"/>
  <c r="K103" i="10"/>
  <c r="M41" i="19"/>
  <c r="AB38" i="19"/>
  <c r="N38" i="19"/>
  <c r="N10" i="18"/>
  <c r="N13" i="18" s="1"/>
  <c r="M38" i="18"/>
  <c r="M13" i="18"/>
  <c r="AB10" i="18"/>
  <c r="AC10" i="18" s="1"/>
  <c r="K73" i="10"/>
  <c r="L70" i="10"/>
  <c r="L73" i="10" s="1"/>
  <c r="K62" i="10"/>
  <c r="L59" i="10"/>
  <c r="L62" i="10" s="1"/>
  <c r="AB10" i="17"/>
  <c r="AC10" i="17" s="1"/>
  <c r="M38" i="17"/>
  <c r="M13" i="17"/>
  <c r="N10" i="17"/>
  <c r="N13" i="17" s="1"/>
  <c r="K51" i="10"/>
  <c r="L48" i="10"/>
  <c r="L51" i="10" s="1"/>
  <c r="M38" i="16"/>
  <c r="N10" i="16"/>
  <c r="N13" i="16" s="1"/>
  <c r="M13" i="16"/>
  <c r="AB10" i="16"/>
  <c r="AC10" i="16" s="1"/>
  <c r="K40" i="10"/>
  <c r="L37" i="10"/>
  <c r="L40" i="10" s="1"/>
  <c r="AB10" i="15"/>
  <c r="AC10" i="15" s="1"/>
  <c r="M13" i="15"/>
  <c r="M38" i="15"/>
  <c r="N10" i="15"/>
  <c r="N13" i="15" s="1"/>
  <c r="M10" i="14"/>
  <c r="K26" i="10"/>
  <c r="K18" i="10"/>
  <c r="L15" i="10"/>
  <c r="L18" i="10" s="1"/>
  <c r="M13" i="13"/>
  <c r="M38" i="13"/>
  <c r="AB10" i="13"/>
  <c r="AC10" i="13" s="1"/>
  <c r="N10" i="13"/>
  <c r="N13" i="13" s="1"/>
  <c r="K7" i="10"/>
  <c r="L4" i="10"/>
  <c r="L7" i="10" s="1"/>
  <c r="AB10" i="12"/>
  <c r="AC10" i="12" s="1"/>
  <c r="M38" i="12"/>
  <c r="M13" i="12"/>
  <c r="N10" i="12"/>
  <c r="N13" i="12" s="1"/>
  <c r="I45" i="9"/>
  <c r="J44" i="9"/>
  <c r="K44" i="9" s="1"/>
  <c r="M41" i="24" l="1"/>
  <c r="AB38" i="24"/>
  <c r="N38" i="24"/>
  <c r="M41" i="23"/>
  <c r="AB38" i="23"/>
  <c r="N38" i="23"/>
  <c r="M13" i="22"/>
  <c r="AB10" i="22"/>
  <c r="AC10" i="22" s="1"/>
  <c r="M38" i="22"/>
  <c r="M41" i="22" s="1"/>
  <c r="K106" i="10"/>
  <c r="L103" i="10"/>
  <c r="L106" i="10" s="1"/>
  <c r="AB10" i="21"/>
  <c r="AC10" i="21" s="1"/>
  <c r="M38" i="21"/>
  <c r="M13" i="21"/>
  <c r="N10" i="21"/>
  <c r="N13" i="21" s="1"/>
  <c r="N41" i="19"/>
  <c r="I69" i="19"/>
  <c r="AB44" i="19"/>
  <c r="AC44" i="19" s="1"/>
  <c r="AC38" i="19"/>
  <c r="N38" i="18"/>
  <c r="M41" i="18"/>
  <c r="AB38" i="18"/>
  <c r="M41" i="17"/>
  <c r="AB38" i="17"/>
  <c r="N38" i="17"/>
  <c r="M41" i="16"/>
  <c r="N38" i="16"/>
  <c r="AB38" i="16"/>
  <c r="AB38" i="15"/>
  <c r="M41" i="15"/>
  <c r="N38" i="15"/>
  <c r="M13" i="14"/>
  <c r="M38" i="14"/>
  <c r="AB10" i="14"/>
  <c r="AC10" i="14" s="1"/>
  <c r="N10" i="14"/>
  <c r="N13" i="14" s="1"/>
  <c r="K29" i="10"/>
  <c r="L26" i="10"/>
  <c r="L29" i="10" s="1"/>
  <c r="M41" i="13"/>
  <c r="AB38" i="13"/>
  <c r="N38" i="13"/>
  <c r="N38" i="12"/>
  <c r="M41" i="12"/>
  <c r="AB38" i="12"/>
  <c r="J67" i="9"/>
  <c r="AB44" i="24" l="1"/>
  <c r="AC44" i="24" s="1"/>
  <c r="AC38" i="24"/>
  <c r="N41" i="24"/>
  <c r="I69" i="24"/>
  <c r="AB44" i="23"/>
  <c r="AC44" i="23" s="1"/>
  <c r="AC38" i="23"/>
  <c r="N41" i="23"/>
  <c r="I69" i="23"/>
  <c r="AB38" i="22"/>
  <c r="AB44" i="22" s="1"/>
  <c r="AC44" i="22" s="1"/>
  <c r="N38" i="22"/>
  <c r="N41" i="22"/>
  <c r="I69" i="22"/>
  <c r="AB38" i="21"/>
  <c r="M41" i="21"/>
  <c r="N38" i="21"/>
  <c r="J69" i="19"/>
  <c r="J75" i="19" s="1"/>
  <c r="J80" i="19" s="1"/>
  <c r="I75" i="19"/>
  <c r="I80" i="19" s="1"/>
  <c r="AB44" i="18"/>
  <c r="AC44" i="18" s="1"/>
  <c r="AC38" i="18"/>
  <c r="N41" i="18"/>
  <c r="I69" i="18"/>
  <c r="AB44" i="17"/>
  <c r="AC44" i="17" s="1"/>
  <c r="AC38" i="17"/>
  <c r="N41" i="17"/>
  <c r="I69" i="17"/>
  <c r="N41" i="16"/>
  <c r="I69" i="16"/>
  <c r="AB44" i="16"/>
  <c r="AC44" i="16" s="1"/>
  <c r="AC38" i="16"/>
  <c r="N41" i="15"/>
  <c r="I69" i="15"/>
  <c r="AB44" i="15"/>
  <c r="AC44" i="15" s="1"/>
  <c r="AC38" i="15"/>
  <c r="AB38" i="14"/>
  <c r="M41" i="14"/>
  <c r="N38" i="14"/>
  <c r="AB44" i="13"/>
  <c r="AC44" i="13" s="1"/>
  <c r="AC38" i="13"/>
  <c r="N41" i="13"/>
  <c r="I69" i="13"/>
  <c r="AB44" i="12"/>
  <c r="AC44" i="12" s="1"/>
  <c r="AC38" i="12"/>
  <c r="N41" i="12"/>
  <c r="I69" i="12"/>
  <c r="G73" i="9"/>
  <c r="G72" i="9"/>
  <c r="H68" i="9"/>
  <c r="J68" i="9" s="1"/>
  <c r="I69" i="9"/>
  <c r="H67" i="9"/>
  <c r="G67" i="9"/>
  <c r="J69" i="24" l="1"/>
  <c r="J75" i="24" s="1"/>
  <c r="J80" i="24" s="1"/>
  <c r="I75" i="24"/>
  <c r="I80" i="24" s="1"/>
  <c r="J69" i="23"/>
  <c r="J75" i="23" s="1"/>
  <c r="J80" i="23" s="1"/>
  <c r="I75" i="23"/>
  <c r="I80" i="23" s="1"/>
  <c r="AC38" i="22"/>
  <c r="J69" i="22"/>
  <c r="J75" i="22" s="1"/>
  <c r="J80" i="22" s="1"/>
  <c r="I75" i="22"/>
  <c r="I80" i="22" s="1"/>
  <c r="N41" i="21"/>
  <c r="I69" i="21"/>
  <c r="AB44" i="21"/>
  <c r="AC44" i="21" s="1"/>
  <c r="AC38" i="21"/>
  <c r="J69" i="18"/>
  <c r="J75" i="18" s="1"/>
  <c r="J80" i="18" s="1"/>
  <c r="I75" i="18"/>
  <c r="I80" i="18" s="1"/>
  <c r="J69" i="17"/>
  <c r="J75" i="17" s="1"/>
  <c r="J80" i="17" s="1"/>
  <c r="I75" i="17"/>
  <c r="I80" i="17" s="1"/>
  <c r="J69" i="16"/>
  <c r="J75" i="16" s="1"/>
  <c r="J80" i="16" s="1"/>
  <c r="I75" i="16"/>
  <c r="I80" i="16" s="1"/>
  <c r="J69" i="15"/>
  <c r="J75" i="15" s="1"/>
  <c r="J80" i="15" s="1"/>
  <c r="I75" i="15"/>
  <c r="I80" i="15" s="1"/>
  <c r="N41" i="14"/>
  <c r="I69" i="14"/>
  <c r="AB44" i="14"/>
  <c r="AC44" i="14" s="1"/>
  <c r="AC38" i="14"/>
  <c r="J69" i="13"/>
  <c r="J75" i="13" s="1"/>
  <c r="J80" i="13" s="1"/>
  <c r="I75" i="13"/>
  <c r="I80" i="13" s="1"/>
  <c r="J69" i="12"/>
  <c r="J75" i="12" s="1"/>
  <c r="J80" i="12" s="1"/>
  <c r="I75" i="12"/>
  <c r="I80" i="12" s="1"/>
  <c r="H75" i="9"/>
  <c r="H80" i="9" s="1"/>
  <c r="G75" i="9"/>
  <c r="H45" i="9"/>
  <c r="G45" i="9"/>
  <c r="J69" i="9"/>
  <c r="J69" i="21" l="1"/>
  <c r="J75" i="21" s="1"/>
  <c r="J80" i="21" s="1"/>
  <c r="I75" i="21"/>
  <c r="I80" i="21" s="1"/>
  <c r="J69" i="14"/>
  <c r="J75" i="14" s="1"/>
  <c r="J80" i="14" s="1"/>
  <c r="I75" i="14"/>
  <c r="I80" i="14" s="1"/>
  <c r="J45" i="9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CD60932-B83E-470D-B4A3-B963505106D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7F28CCD-8742-44CB-996D-60184C3DD0D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F0FC2C7-B6D8-4D0B-82A7-D0A2A6098BC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72F7C2F-CCCC-4641-9A19-98359152149E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250DDC8-7366-493E-86E2-494369CC844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4E55FE6-4EAD-4B46-A9B2-67288F0B6BE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FF8A027-253B-445A-A3BF-820AC70E7E2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4249322-ABCE-4CF2-A1A9-8D646E277DF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B53A22A-B60C-4765-B4F8-1DD22BC3B6C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C36EB95-2122-415D-B13F-2A500B19192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D371823-260C-4557-AE3C-C80D6A2807D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B5E8BAA-F1BE-4B79-B3DF-A30E70D643F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94F45A1-B73A-4351-AA95-285E7AB35AC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8AFCB36-8405-4A23-BF1A-6F80B87A7ED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202A168-6383-4AF0-B8B1-3E8C1DEC0F7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3807011-1F52-4119-8BE9-47823D91C5A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5A80898-0BAD-4B76-91A9-D7F3EA3C1B4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3A0E010-1CB8-446A-9100-5C99217AD6D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33C6817-014A-4A6B-8881-1752F9D72B1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96A4B2-2A00-4F5C-B65F-40A0D94146B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5393FB9-0B88-4C1C-A181-F440561D175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1DE1791-B4B4-44D8-8D62-C7526D0E234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79B1997-7013-4D20-9B84-625C074B6AF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6001123-D354-48B1-8FEE-CC1C6C5D327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62C53D8-5633-4102-BCEE-8AB6F630228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CA102B4-DD58-4EDE-BCB4-738B2F3FDAF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E00727E-5DAD-40B4-90B2-9FE25CCC641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1D33663-F894-4B24-97A1-FB425F90CD6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F30FBF4-CEBB-45D2-9217-973863BADFA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75D7A8D-9933-4BA6-B220-19D7A070A15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4D0F5A5-152C-437A-BAAE-D6B3B3D2ADA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FDA59AD-32F9-46ED-A14F-48FF413C226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319BA0B-21DD-4915-8E1E-2ABEBA761C4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BD1427C-49A4-4355-94B3-50A471A5DE4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7EC1505-1630-461E-BAD9-1B74B2724E7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DD49C79-DA97-416D-B449-4656A492E14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F9E4504-636D-47E0-9680-38D469D6381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90B284D-22F8-4751-B547-7A72945E8B6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87506A1-C1DD-473E-9AD8-12B2C453A05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442E59A-1DB7-4D68-B601-28B6F36E7FA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7347C05-0EE4-4E95-8311-7C73B226516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CA3905A-1E92-4C9A-B2BF-12E65E756C6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AB3F03B-6BA9-45C5-B29B-EF238951C5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2961A11-37B6-4A20-B518-FF40754C23B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96C5406-3C39-4DB1-B10C-F76029905F2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4EF912C0-6EBE-4D7D-9AE5-876DAEF6EF8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38DCB4B3-8BDE-409E-87A3-F7BCBB90C06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093A6B74-4288-45C9-9087-8F634EF41E1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0FFC863F-6EFF-4CDD-B690-D97B56D220E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B0E8289B-B01C-427D-9992-152CB37C43A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666D31CE-56B0-4006-BD46-BDB4808DB55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9937C188-0B1F-4CF6-92CA-8C0F67B2FDE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5249207C-7E62-442C-A64F-54237FB21FA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705126B9-31F5-45B6-A37A-8892A515A2A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D102D3BB-EA74-4712-9567-7304D8BFDF6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6C086DB8-47B3-424C-BA7D-5885DC1A0C6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23" authorId="0" shapeId="0" xr:uid="{3B168670-F22E-4BBE-910D-DE4FE148433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4" authorId="0" shapeId="0" xr:uid="{A2D3E713-4BAC-4296-B9FC-AB8C7CAA888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3D44003-2A0C-42D2-917F-91A9626FDFA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98ABC28-D587-42B4-A02D-ABDC0085667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627A354-A510-4A08-B352-7B45E37FF0C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145B931-0544-4D3F-8B58-4F858C5BAF7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588F3B1-D8C4-4636-A856-46D2E07E62B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5864058-9778-444C-85DA-16698D657EA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F0347B3-8470-4EFD-881C-D7F2F5D0E46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726B245-9D3F-475F-85F6-E2ECB9E8D40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899A537D-61E2-4F9D-9FA6-8390B0E8593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469C425-A92F-42CF-B1EE-86F63C3E13F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70ABA07-6681-4B6B-A796-28824165A9E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19DD490-6095-4D33-BB48-73D107B28AD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7EFE96A-762B-4226-9C5E-D3E8986AC46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B946A80-581D-42F6-8728-4CC000F4476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FC8CFF4-329C-45C3-AA42-FC47DB5D6F0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4FF4327-2FDB-46BE-90BB-5FD3309EF74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AF34746-508D-4A6D-A0EE-B48C89452BF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208AE43A-523E-4A30-A65D-3AB34FDDD79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22B5C4A-29EB-44FC-9211-32D4D4F0D5D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2707138-AC87-4E2A-AC36-06343F17C17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55FD5B9-3098-4E56-9B62-E92AE2083AC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2C1C0A3-2027-4E45-BA37-44A68A195DF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18B702E-3D77-49B0-8340-BF3486DB573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20BC479-F2C9-4531-B164-CA9EC405936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FD2345B-DB9E-4F04-A1A5-5A3A3C26275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AA7D77B-8202-4089-843C-822B37D02A2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AD8E169-F650-400F-867B-D5844C2A99A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AFA678C-E608-4F6C-91A7-16B3B4629F4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A966A0E-D30E-4E77-B689-53DB72903EA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E63B039-D78B-4F27-8DCB-20532810AED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762F165-15F6-4C11-B600-A75BD25CDEA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9C2C317-3A0E-481B-9876-22BFD22AC2B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49C4E3F-49E2-4A70-AA3A-EF51C263EF3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CA4485A-83AE-4C68-A265-3EAA4FCB951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5A97E46-71D4-459D-8618-7427D930A4A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87C8574-7316-4DDA-BE80-619BE6A4BA3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FF6964C-9EE6-4EA5-B69F-3292CF33E75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38AF2BE-3F91-41C1-8319-E8F0C25FB6D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B33CFA1-0582-491D-A44D-04D9572D2F2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882B80-B439-483B-A5A6-3ABC26346D3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FF53484-28D0-49B5-B199-D871D28B88D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E270EFA-BA1D-46C9-8D39-655B6C41460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76BEE9E-D49A-452F-A1AD-3A5A428B94F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FA98B5C-A174-4A38-A18B-28D89DCAC6D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9AB122C-8FCB-40EA-A61A-58A7A918509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8CF5045-EBD2-4194-BF14-BE6C11C855F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BBED9-7ADA-4490-84D9-9959C1C9A4C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EC328AD-9407-4ED8-AB5C-09CFF092CF6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1CDD5AA-7609-4C48-914A-9CABCCB09AC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362CE96-F36F-4A32-A66C-A44F195EF7E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053C656-516A-4DE7-B56C-FADB46942C8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BCE970F-2810-49BC-9B4C-BB0CD5F4AE7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FE7648C-DD45-4EE3-93F6-3E136B2EFB2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A7DF156-7EA2-4D7C-8A22-D21D3E21623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2DA4782-8A15-484C-BFDE-99BD18D8314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17CC7EE-B8E5-476D-8C09-4EA989CD0FA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DF0724C-232C-4B60-94FA-196CF46CE08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8ACD239-3C20-4552-9B6E-0144BA3879F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154BF71-FCEB-4CA4-8EB8-6DBAA7DC2B7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03B8ACF-977C-4612-BB1B-97515628F1C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C6FF125-7471-43AF-8661-30FE8D98B1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2837E39-B944-4FA1-A961-A811622ABD4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7644540-23A6-4EAA-B8BC-695FE34D4C3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904082B-43A4-4140-9135-2EEDFBCAC44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841D0D7-6733-4693-A1E0-543F9D4E3E5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9F5CB42-7320-4191-88A1-A80DD8E72AA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7EEECDD-E74A-45A5-83FA-8E9485DFBA4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6035DAF-7823-48D1-B910-0BBFCD09DA3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CA2C6C4-7C05-46D0-8266-E13666AE0C2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A64C2AA-8C93-42EA-9866-AAF48A4F186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4A3632E-8ABB-4962-895C-20C9B22E210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CA3E2B2-BE5B-4D09-B909-218FD662D2A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<sst xmlns="http://schemas.openxmlformats.org/spreadsheetml/2006/main" count="9842" uniqueCount="1200">
  <si>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</si>
  <si>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</si>
  <si>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</si>
  <si>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</si>
  <si>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</si>
  <si>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</si>
  <si>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</si>
  <si>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</si>
  <si>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</si>
  <si>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</si>
  <si>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</si>
  <si>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</si>
  <si>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</si>
  <si>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</si>
  <si>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</si>
  <si>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</si>
  <si>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</si>
  <si>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</si>
  <si>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</si>
  <si>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</si>
  <si>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</si>
  <si>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</si>
  <si>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</si>
  <si>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</si>
  <si>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</si>
  <si>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</si>
  <si>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</si>
  <si>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</si>
  <si>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</si>
  <si>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</si>
  <si>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</si>
  <si>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</si>
  <si>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</si>
  <si>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</si>
  <si>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</si>
  <si>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</si>
  <si>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</si>
  <si>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</si>
  <si>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</si>
  <si>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</si>
  <si>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</si>
  <si>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</si>
  <si>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</si>
  <si>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</si>
  <si>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</si>
  <si>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</si>
  <si>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</si>
  <si>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</si>
  <si>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</si>
  <si>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</si>
  <si>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</si>
  <si>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</si>
  <si>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</si>
  <si>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</si>
  <si>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</si>
  <si>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</si>
  <si>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</si>
  <si>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</si>
  <si>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</si>
  <si>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</si>
  <si>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</si>
  <si>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</si>
  <si>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</si>
  <si>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</si>
  <si>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</si>
  <si>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</si>
  <si>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</si>
  <si>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</si>
  <si>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</si>
  <si>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</si>
  <si>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</si>
  <si>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</si>
  <si>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</si>
  <si>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</si>
  <si>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</si>
  <si>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</si>
  <si>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</si>
  <si>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</si>
  <si>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</si>
  <si>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</si>
  <si>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</si>
  <si>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</si>
  <si>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</si>
  <si>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</si>
  <si>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</si>
  <si>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</si>
  <si>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</si>
  <si>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</si>
  <si>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</si>
  <si>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</si>
  <si>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</si>
  <si>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</si>
  <si>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</si>
  <si>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</si>
  <si>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</si>
  <si>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</si>
  <si>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</si>
  <si>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</si>
  <si>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</si>
  <si>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</si>
  <si>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</si>
  <si>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</si>
  <si>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</si>
  <si>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</si>
  <si>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</si>
  <si>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</si>
  <si>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</si>
  <si>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</si>
  <si>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</si>
  <si>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</si>
  <si>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</si>
  <si>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</si>
  <si>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</si>
  <si>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</si>
  <si>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</si>
  <si>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</si>
  <si>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</si>
  <si>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</si>
  <si>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</si>
  <si>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</si>
  <si>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</si>
  <si>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</si>
  <si>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</si>
  <si>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</si>
  <si>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</si>
  <si>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</si>
  <si>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</si>
  <si>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</si>
  <si>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</si>
  <si>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</si>
  <si>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</si>
  <si>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</si>
  <si>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</si>
  <si>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</si>
  <si>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</si>
  <si>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</si>
  <si>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</si>
  <si>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</si>
  <si>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</si>
  <si>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</si>
  <si>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</si>
  <si>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</si>
  <si>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</si>
  <si>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</si>
  <si>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</si>
  <si>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</si>
  <si>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</si>
  <si>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</si>
  <si>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</si>
  <si>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</si>
  <si>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</si>
  <si>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</si>
  <si>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</si>
  <si>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</si>
  <si>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</si>
  <si>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</si>
  <si>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</si>
  <si>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</si>
  <si>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</si>
  <si>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</si>
  <si>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</si>
  <si>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</si>
  <si>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340</t>
  </si>
  <si>
    <t>7048</t>
  </si>
  <si>
    <t>P&amp;R DESIGN PROFESSIO</t>
  </si>
  <si>
    <t>0001</t>
  </si>
  <si>
    <t>00</t>
  </si>
  <si>
    <t>PRAA</t>
  </si>
  <si>
    <t>001</t>
  </si>
  <si>
    <t>00997</t>
  </si>
  <si>
    <t>M</t>
  </si>
  <si>
    <t>F</t>
  </si>
  <si>
    <t>CR</t>
  </si>
  <si>
    <t xml:space="preserve">BUSH, ERIK </t>
  </si>
  <si>
    <t>BUSH</t>
  </si>
  <si>
    <t>ERIK</t>
  </si>
  <si>
    <t xml:space="preserve">              </t>
  </si>
  <si>
    <t xml:space="preserve">HM   </t>
  </si>
  <si>
    <t>H</t>
  </si>
  <si>
    <t>FS</t>
  </si>
  <si>
    <t>E</t>
  </si>
  <si>
    <t>N</t>
  </si>
  <si>
    <t>Y</t>
  </si>
  <si>
    <t xml:space="preserve">    </t>
  </si>
  <si>
    <t>7047</t>
  </si>
  <si>
    <t xml:space="preserve">ADMIN ASST 1        </t>
  </si>
  <si>
    <t>01235</t>
  </si>
  <si>
    <t xml:space="preserve">CURTIS, B NADINE </t>
  </si>
  <si>
    <t>CURTIS</t>
  </si>
  <si>
    <t>B NADINE</t>
  </si>
  <si>
    <t xml:space="preserve">HH   </t>
  </si>
  <si>
    <t>7020</t>
  </si>
  <si>
    <t xml:space="preserve">CONSTRUCTION MGR 1  </t>
  </si>
  <si>
    <t>002</t>
  </si>
  <si>
    <t>03016</t>
  </si>
  <si>
    <t>L</t>
  </si>
  <si>
    <t xml:space="preserve">HALFHILL, JOEL </t>
  </si>
  <si>
    <t>HALFHILL</t>
  </si>
  <si>
    <t>JOEL</t>
  </si>
  <si>
    <t xml:space="preserve">HL   </t>
  </si>
  <si>
    <t>7012</t>
  </si>
  <si>
    <t>ARCHITECT/ENG PRJ MG</t>
  </si>
  <si>
    <t>06499</t>
  </si>
  <si>
    <t>SCHUSTER, MELANIE M.</t>
  </si>
  <si>
    <t>SCHUSTER</t>
  </si>
  <si>
    <t>MELANIE</t>
  </si>
  <si>
    <t xml:space="preserve">HN   </t>
  </si>
  <si>
    <t>7011</t>
  </si>
  <si>
    <t>WINGERT, LUCAS S.</t>
  </si>
  <si>
    <t>WINGERT</t>
  </si>
  <si>
    <t>LUCAS</t>
  </si>
  <si>
    <t>S</t>
  </si>
  <si>
    <t>3202</t>
  </si>
  <si>
    <t>P&amp;R DEVELOPMENT BURE</t>
  </si>
  <si>
    <t>00966</t>
  </si>
  <si>
    <t>O</t>
  </si>
  <si>
    <t xml:space="preserve">ZARAGOZA, ADAM </t>
  </si>
  <si>
    <t>ZARAGOZA</t>
  </si>
  <si>
    <t>ADAM</t>
  </si>
  <si>
    <t xml:space="preserve">HO   </t>
  </si>
  <si>
    <t>9897</t>
  </si>
  <si>
    <t xml:space="preserve">GROUP POSITION      </t>
  </si>
  <si>
    <t>90000</t>
  </si>
  <si>
    <t>NG</t>
  </si>
  <si>
    <t>9919</t>
  </si>
  <si>
    <t>V</t>
  </si>
  <si>
    <t>9957</t>
  </si>
  <si>
    <t>GRANTS/CONTRACTS PRG</t>
  </si>
  <si>
    <t>0125</t>
  </si>
  <si>
    <t>003</t>
  </si>
  <si>
    <t>03690</t>
  </si>
  <si>
    <t>J</t>
  </si>
  <si>
    <t>9983</t>
  </si>
  <si>
    <t>7045</t>
  </si>
  <si>
    <t>STRAUBINGER, ADAM M.</t>
  </si>
  <si>
    <t>STRAUBINGER</t>
  </si>
  <si>
    <t xml:space="preserve">HJ   </t>
  </si>
  <si>
    <t>7029</t>
  </si>
  <si>
    <t>FINANCIAL SPECIALIST</t>
  </si>
  <si>
    <t>04246</t>
  </si>
  <si>
    <t>K</t>
  </si>
  <si>
    <t xml:space="preserve">JOYCE, KELLIE </t>
  </si>
  <si>
    <t>JOYCE</t>
  </si>
  <si>
    <t>KELLIE</t>
  </si>
  <si>
    <t xml:space="preserve">HK   </t>
  </si>
  <si>
    <t>7028</t>
  </si>
  <si>
    <t>BRUNSON, TIFFANY K.</t>
  </si>
  <si>
    <t>BRUNSON</t>
  </si>
  <si>
    <t>TIFFANY</t>
  </si>
  <si>
    <t>PT</t>
  </si>
  <si>
    <t>7024</t>
  </si>
  <si>
    <t>GOLDER, TAMMY M.</t>
  </si>
  <si>
    <t>GOLDER</t>
  </si>
  <si>
    <t>TAMMY</t>
  </si>
  <si>
    <t>7022</t>
  </si>
  <si>
    <t xml:space="preserve">TITUS, JUDY </t>
  </si>
  <si>
    <t>TITUS</t>
  </si>
  <si>
    <t>JUDY</t>
  </si>
  <si>
    <t>7017</t>
  </si>
  <si>
    <t xml:space="preserve">GRANTS/CNTRCTS MGMT </t>
  </si>
  <si>
    <t>08843</t>
  </si>
  <si>
    <t>MUIR, KATHY L.</t>
  </si>
  <si>
    <t>MUIR</t>
  </si>
  <si>
    <t>KATHY</t>
  </si>
  <si>
    <t>LYNN</t>
  </si>
  <si>
    <t>3508</t>
  </si>
  <si>
    <t xml:space="preserve">BUILDING FAC FRMN   </t>
  </si>
  <si>
    <t>06646</t>
  </si>
  <si>
    <t>COOK, JOSEPH M.</t>
  </si>
  <si>
    <t>COOK</t>
  </si>
  <si>
    <t>JOSEPH</t>
  </si>
  <si>
    <t>7013</t>
  </si>
  <si>
    <t>MANAGEMENT ASSISTANT</t>
  </si>
  <si>
    <t>0243</t>
  </si>
  <si>
    <t>05272</t>
  </si>
  <si>
    <t>MILLS, BETTY J.</t>
  </si>
  <si>
    <t>MILLS</t>
  </si>
  <si>
    <t>BETTY</t>
  </si>
  <si>
    <t>7009</t>
  </si>
  <si>
    <t>HUMAN RESOURCE OFFIC</t>
  </si>
  <si>
    <t>05131</t>
  </si>
  <si>
    <t>HOOPES, DEBBIE K.</t>
  </si>
  <si>
    <t>HOOPES</t>
  </si>
  <si>
    <t>DEBBIE</t>
  </si>
  <si>
    <t>9989</t>
  </si>
  <si>
    <t>PARKS &amp; RECREATION B</t>
  </si>
  <si>
    <t>51705</t>
  </si>
  <si>
    <t>7004</t>
  </si>
  <si>
    <t xml:space="preserve">FINANCIAL OFFICER   </t>
  </si>
  <si>
    <t>04241</t>
  </si>
  <si>
    <t>MARTIN, STEVEN J.</t>
  </si>
  <si>
    <t>MARTIN</t>
  </si>
  <si>
    <t>STEVEN</t>
  </si>
  <si>
    <t>7001</t>
  </si>
  <si>
    <t>DIR-DEPT PARKS &amp; REC</t>
  </si>
  <si>
    <t>21701</t>
  </si>
  <si>
    <t>NR</t>
  </si>
  <si>
    <t>BUXTON, SUSAN E.</t>
  </si>
  <si>
    <t>BUXTON</t>
  </si>
  <si>
    <t>SUSAN</t>
  </si>
  <si>
    <t>00000</t>
  </si>
  <si>
    <t>4402</t>
  </si>
  <si>
    <t xml:space="preserve">HUMAN RESOURCE SPEC </t>
  </si>
  <si>
    <t>05141</t>
  </si>
  <si>
    <t xml:space="preserve">ARTEAGA, GUADALUPE </t>
  </si>
  <si>
    <t>ARTEAGA</t>
  </si>
  <si>
    <t>GUADALUPE</t>
  </si>
  <si>
    <t>4103</t>
  </si>
  <si>
    <t xml:space="preserve">PUBLIC INFO OFCR,SR </t>
  </si>
  <si>
    <t>05580</t>
  </si>
  <si>
    <t xml:space="preserve">QUINTANA, CRAIG </t>
  </si>
  <si>
    <t>QUINTANA</t>
  </si>
  <si>
    <t>CRAIG</t>
  </si>
  <si>
    <t>3702</t>
  </si>
  <si>
    <t>FINANCIAL SUPPORT TE</t>
  </si>
  <si>
    <t>04250</t>
  </si>
  <si>
    <t>G</t>
  </si>
  <si>
    <t xml:space="preserve">PAGE, STEPHANIE </t>
  </si>
  <si>
    <t>PAGE</t>
  </si>
  <si>
    <t>STEPHANIE</t>
  </si>
  <si>
    <t xml:space="preserve">HG   </t>
  </si>
  <si>
    <t>7073</t>
  </si>
  <si>
    <t xml:space="preserve">IT OPS &amp; SUPPORT SR </t>
  </si>
  <si>
    <t>01708</t>
  </si>
  <si>
    <t>D</t>
  </si>
  <si>
    <t>7072</t>
  </si>
  <si>
    <t>IT INFO SYS AND INFR</t>
  </si>
  <si>
    <t>01731</t>
  </si>
  <si>
    <t>7071</t>
  </si>
  <si>
    <t>IT OPS &amp; SUPPORT ANA</t>
  </si>
  <si>
    <t>01709</t>
  </si>
  <si>
    <t>7070</t>
  </si>
  <si>
    <t xml:space="preserve">IT MANAGER II       </t>
  </si>
  <si>
    <t>01742</t>
  </si>
  <si>
    <t>9974</t>
  </si>
  <si>
    <t>7025</t>
  </si>
  <si>
    <t>04245</t>
  </si>
  <si>
    <t>9971</t>
  </si>
  <si>
    <t>9970</t>
  </si>
  <si>
    <t>7102</t>
  </si>
  <si>
    <t xml:space="preserve">RYAN, ERIK </t>
  </si>
  <si>
    <t>RYAN</t>
  </si>
  <si>
    <t>7101</t>
  </si>
  <si>
    <t xml:space="preserve">NEWMAN, SERENA </t>
  </si>
  <si>
    <t>NEWMAN</t>
  </si>
  <si>
    <t>SERENA</t>
  </si>
  <si>
    <t>7055</t>
  </si>
  <si>
    <t>VOLUNTEER SRVCS COOR</t>
  </si>
  <si>
    <t>07940</t>
  </si>
  <si>
    <t>HAMPTON, KATHRYN L.</t>
  </si>
  <si>
    <t>HAMPTON</t>
  </si>
  <si>
    <t>KATHRYN</t>
  </si>
  <si>
    <t>LEE</t>
  </si>
  <si>
    <t>7039</t>
  </si>
  <si>
    <t xml:space="preserve">CUSTOMER SVC REP 2  </t>
  </si>
  <si>
    <t>01120</t>
  </si>
  <si>
    <t>KIRKLAND, CARLENE A.</t>
  </si>
  <si>
    <t>KIRKLAND</t>
  </si>
  <si>
    <t>CARLENE</t>
  </si>
  <si>
    <t>A</t>
  </si>
  <si>
    <t>9928</t>
  </si>
  <si>
    <t>7032</t>
  </si>
  <si>
    <t xml:space="preserve">PUBLIC INFO SPEC    </t>
  </si>
  <si>
    <t>05582</t>
  </si>
  <si>
    <t xml:space="preserve">CHAMBERS, CHELSEA </t>
  </si>
  <si>
    <t>CHAMBERS</t>
  </si>
  <si>
    <t>CHELSEA</t>
  </si>
  <si>
    <t>7027</t>
  </si>
  <si>
    <t xml:space="preserve">BUYER               </t>
  </si>
  <si>
    <t>01536</t>
  </si>
  <si>
    <t>ARNOLD, JOHN H.</t>
  </si>
  <si>
    <t>ARNOLD</t>
  </si>
  <si>
    <t>JOHN</t>
  </si>
  <si>
    <t>HENRY</t>
  </si>
  <si>
    <t>1504</t>
  </si>
  <si>
    <t>P&amp;R DIV ADMINISTRATO</t>
  </si>
  <si>
    <t>21703</t>
  </si>
  <si>
    <t>9960</t>
  </si>
  <si>
    <t>7016</t>
  </si>
  <si>
    <t>WATSON, TONYA D.</t>
  </si>
  <si>
    <t>WATSON</t>
  </si>
  <si>
    <t>TONYA</t>
  </si>
  <si>
    <t>DAWN</t>
  </si>
  <si>
    <t>9978</t>
  </si>
  <si>
    <t>02</t>
  </si>
  <si>
    <t>7068</t>
  </si>
  <si>
    <t>CRAIG, LISA M.</t>
  </si>
  <si>
    <t>LISA</t>
  </si>
  <si>
    <t>7066</t>
  </si>
  <si>
    <t xml:space="preserve">CLEVERLY, ROXANN </t>
  </si>
  <si>
    <t>CLEVERLY</t>
  </si>
  <si>
    <t>ROXANN</t>
  </si>
  <si>
    <t>7062</t>
  </si>
  <si>
    <t xml:space="preserve">TECH RECORDS SPEC 2 </t>
  </si>
  <si>
    <t>01103</t>
  </si>
  <si>
    <t>I</t>
  </si>
  <si>
    <t>BRENNAN, RENEE M.</t>
  </si>
  <si>
    <t>BRENNAN</t>
  </si>
  <si>
    <t>RENEE</t>
  </si>
  <si>
    <t xml:space="preserve">HI   </t>
  </si>
  <si>
    <t>7060</t>
  </si>
  <si>
    <t>WALLACE, LAURA J.</t>
  </si>
  <si>
    <t>WALLACE</t>
  </si>
  <si>
    <t>LAURA</t>
  </si>
  <si>
    <t>7014</t>
  </si>
  <si>
    <t xml:space="preserve">OFFICE SPECIALIST 2 </t>
  </si>
  <si>
    <t>01239</t>
  </si>
  <si>
    <t>YOUNG, JANE L.</t>
  </si>
  <si>
    <t>YOUNG</t>
  </si>
  <si>
    <t>JANE</t>
  </si>
  <si>
    <t>2206</t>
  </si>
  <si>
    <t xml:space="preserve">PROGRAM MANAGER     </t>
  </si>
  <si>
    <t>09047</t>
  </si>
  <si>
    <t>HOBBS, SETH M.</t>
  </si>
  <si>
    <t>HOBBS</t>
  </si>
  <si>
    <t>SETH</t>
  </si>
  <si>
    <t>0247</t>
  </si>
  <si>
    <t>06</t>
  </si>
  <si>
    <t>9965</t>
  </si>
  <si>
    <t>9892</t>
  </si>
  <si>
    <t>9931</t>
  </si>
  <si>
    <t>0250</t>
  </si>
  <si>
    <t>04</t>
  </si>
  <si>
    <t>PRAB</t>
  </si>
  <si>
    <t>05</t>
  </si>
  <si>
    <t>9959</t>
  </si>
  <si>
    <t>9958</t>
  </si>
  <si>
    <t>9966</t>
  </si>
  <si>
    <t>0348</t>
  </si>
  <si>
    <t>9895</t>
  </si>
  <si>
    <t>5101</t>
  </si>
  <si>
    <t xml:space="preserve">P&amp;R MANAGER 2       </t>
  </si>
  <si>
    <t>PRBA</t>
  </si>
  <si>
    <t>00980</t>
  </si>
  <si>
    <t>TAYLOR, TRAVIS D.</t>
  </si>
  <si>
    <t>TAYLOR</t>
  </si>
  <si>
    <t>TRAVIS</t>
  </si>
  <si>
    <t>4410</t>
  </si>
  <si>
    <t xml:space="preserve">P&amp;R RANGER          </t>
  </si>
  <si>
    <t>00984</t>
  </si>
  <si>
    <t xml:space="preserve">BUFFINGTON, RYAN </t>
  </si>
  <si>
    <t>BUFFINGTON</t>
  </si>
  <si>
    <t>4101</t>
  </si>
  <si>
    <t>LANDRUM, DAVID W.</t>
  </si>
  <si>
    <t>LANDRUM</t>
  </si>
  <si>
    <t>DAVID</t>
  </si>
  <si>
    <t>W</t>
  </si>
  <si>
    <t>3704</t>
  </si>
  <si>
    <t xml:space="preserve">DAVENPORT, COURTNEY </t>
  </si>
  <si>
    <t>DAVENPORT</t>
  </si>
  <si>
    <t>COURTNEY</t>
  </si>
  <si>
    <t>9834</t>
  </si>
  <si>
    <t>3701</t>
  </si>
  <si>
    <t xml:space="preserve">P&amp;R MANAGER 3       </t>
  </si>
  <si>
    <t>00978</t>
  </si>
  <si>
    <t>SHELLEY, GARY A.</t>
  </si>
  <si>
    <t>SHELLEY</t>
  </si>
  <si>
    <t>GARY</t>
  </si>
  <si>
    <t>ALLEN</t>
  </si>
  <si>
    <t>3512</t>
  </si>
  <si>
    <t>P&amp;R MANAGER ASSISTAN</t>
  </si>
  <si>
    <t>00982</t>
  </si>
  <si>
    <t>NICOL, SURAT G.</t>
  </si>
  <si>
    <t>NICOL</t>
  </si>
  <si>
    <t>SURAT</t>
  </si>
  <si>
    <t>3406</t>
  </si>
  <si>
    <t xml:space="preserve">CAMERON, CARLA </t>
  </si>
  <si>
    <t>CAMERON</t>
  </si>
  <si>
    <t>CARLA</t>
  </si>
  <si>
    <t>PB</t>
  </si>
  <si>
    <t>3405</t>
  </si>
  <si>
    <t xml:space="preserve">MAINT CRAFTSMAN SR  </t>
  </si>
  <si>
    <t>06632</t>
  </si>
  <si>
    <t>PRUETT, VANCE R.</t>
  </si>
  <si>
    <t>PRUETT</t>
  </si>
  <si>
    <t>VANCE</t>
  </si>
  <si>
    <t>ROBERT</t>
  </si>
  <si>
    <t>3403</t>
  </si>
  <si>
    <t>BIGSBY, JAMIE A.</t>
  </si>
  <si>
    <t>BIGSBY</t>
  </si>
  <si>
    <t>JAMIE</t>
  </si>
  <si>
    <t>3401</t>
  </si>
  <si>
    <t>MOSES, NITA M.</t>
  </si>
  <si>
    <t>MOSES</t>
  </si>
  <si>
    <t>NITA</t>
  </si>
  <si>
    <t>3307</t>
  </si>
  <si>
    <t>DURR, KIM M.</t>
  </si>
  <si>
    <t>DURR</t>
  </si>
  <si>
    <t>KIM</t>
  </si>
  <si>
    <t>3305</t>
  </si>
  <si>
    <t>DAVIS, JACOB D.</t>
  </si>
  <si>
    <t>DAVIS</t>
  </si>
  <si>
    <t>JACOB</t>
  </si>
  <si>
    <t>3304</t>
  </si>
  <si>
    <t>NORMAND, BRAD P.</t>
  </si>
  <si>
    <t>NORMAND</t>
  </si>
  <si>
    <t>BRAD</t>
  </si>
  <si>
    <t>PHILLIP</t>
  </si>
  <si>
    <t>9904</t>
  </si>
  <si>
    <t>3303</t>
  </si>
  <si>
    <t xml:space="preserve">MAINT CRAFTSMAN     </t>
  </si>
  <si>
    <t>06634</t>
  </si>
  <si>
    <t xml:space="preserve">RAUSIN, RANDALL </t>
  </si>
  <si>
    <t>RAUSIN</t>
  </si>
  <si>
    <t>RANDALL</t>
  </si>
  <si>
    <t>3301</t>
  </si>
  <si>
    <t>BEALBA, BRYCE A.</t>
  </si>
  <si>
    <t>BEALBA</t>
  </si>
  <si>
    <t>BRYCE</t>
  </si>
  <si>
    <t>9902</t>
  </si>
  <si>
    <t>2511</t>
  </si>
  <si>
    <t>ROSSMAN, ABIGAIL L.</t>
  </si>
  <si>
    <t>ROSSMAN</t>
  </si>
  <si>
    <t>ABIGAIL</t>
  </si>
  <si>
    <t>LORRAINE</t>
  </si>
  <si>
    <t>9972</t>
  </si>
  <si>
    <t>2509</t>
  </si>
  <si>
    <t>BABBITT, KYLE M.</t>
  </si>
  <si>
    <t>BABBITT</t>
  </si>
  <si>
    <t>KYLE</t>
  </si>
  <si>
    <t>2506</t>
  </si>
  <si>
    <t xml:space="preserve">DARRINGTON, ANNALEE </t>
  </si>
  <si>
    <t>DARRINGTON</t>
  </si>
  <si>
    <t>ANNALEE</t>
  </si>
  <si>
    <t>2102</t>
  </si>
  <si>
    <t>CIRIMELE, FRANK A.</t>
  </si>
  <si>
    <t>CIRIMELE</t>
  </si>
  <si>
    <t>FRANK</t>
  </si>
  <si>
    <t>9898</t>
  </si>
  <si>
    <t>2101</t>
  </si>
  <si>
    <t>KUSKIE, STEVEN G.</t>
  </si>
  <si>
    <t>KUSKIE</t>
  </si>
  <si>
    <t>GREGORY</t>
  </si>
  <si>
    <t>1901</t>
  </si>
  <si>
    <t xml:space="preserve">NISKA, WILLIAM </t>
  </si>
  <si>
    <t>NISKA</t>
  </si>
  <si>
    <t>WILLIAM</t>
  </si>
  <si>
    <t>1802</t>
  </si>
  <si>
    <t xml:space="preserve">REED, RYAN </t>
  </si>
  <si>
    <t>REED</t>
  </si>
  <si>
    <t>3205</t>
  </si>
  <si>
    <t>1701</t>
  </si>
  <si>
    <t xml:space="preserve">DURFEE, KATHLEEN </t>
  </si>
  <si>
    <t>DURFEE</t>
  </si>
  <si>
    <t>KATHLEEN</t>
  </si>
  <si>
    <t>9809</t>
  </si>
  <si>
    <t>7103</t>
  </si>
  <si>
    <t xml:space="preserve">COPPERI, BRETT </t>
  </si>
  <si>
    <t>COPPERI</t>
  </si>
  <si>
    <t>BRETT</t>
  </si>
  <si>
    <t>1405</t>
  </si>
  <si>
    <t>TRASKA, JUELIE A.</t>
  </si>
  <si>
    <t>TRASKA</t>
  </si>
  <si>
    <t>JUELIE</t>
  </si>
  <si>
    <t>7096</t>
  </si>
  <si>
    <t>SALZANO, ANDREW J.</t>
  </si>
  <si>
    <t>SALZANO</t>
  </si>
  <si>
    <t>ANDREW</t>
  </si>
  <si>
    <t>7049</t>
  </si>
  <si>
    <t>COOPER, MATTHEW J.</t>
  </si>
  <si>
    <t>COOPER</t>
  </si>
  <si>
    <t>MATTHEW</t>
  </si>
  <si>
    <t>2103</t>
  </si>
  <si>
    <t>7046</t>
  </si>
  <si>
    <t xml:space="preserve">BARNEY, JEFFREY </t>
  </si>
  <si>
    <t>BARNEY</t>
  </si>
  <si>
    <t>JEFFREY</t>
  </si>
  <si>
    <t>1704</t>
  </si>
  <si>
    <t>7042</t>
  </si>
  <si>
    <t>P&amp;R NON-MTRZD TRLS P</t>
  </si>
  <si>
    <t>00994</t>
  </si>
  <si>
    <t>HELMER, THOMAS R.</t>
  </si>
  <si>
    <t>HELMER</t>
  </si>
  <si>
    <t>THOMAS</t>
  </si>
  <si>
    <t>R</t>
  </si>
  <si>
    <t>7023</t>
  </si>
  <si>
    <t xml:space="preserve">NIXON, MISHA </t>
  </si>
  <si>
    <t>NIXON</t>
  </si>
  <si>
    <t>MISHA</t>
  </si>
  <si>
    <t>6502</t>
  </si>
  <si>
    <t>GAREY, LARRY R.</t>
  </si>
  <si>
    <t>GAREY</t>
  </si>
  <si>
    <t>LARRY</t>
  </si>
  <si>
    <t>9923</t>
  </si>
  <si>
    <t>6501</t>
  </si>
  <si>
    <t xml:space="preserve">THOMPSON, RICKY </t>
  </si>
  <si>
    <t>THOMPSON</t>
  </si>
  <si>
    <t>RICKY</t>
  </si>
  <si>
    <t>6102</t>
  </si>
  <si>
    <t>BLACKBURN, JOSEPH J.</t>
  </si>
  <si>
    <t>BLACKBURN</t>
  </si>
  <si>
    <t>5102</t>
  </si>
  <si>
    <t>SCHAFER, KAYLA M.</t>
  </si>
  <si>
    <t>SCHAFER</t>
  </si>
  <si>
    <t>KAYLA</t>
  </si>
  <si>
    <t>MICHELLE</t>
  </si>
  <si>
    <t>5301</t>
  </si>
  <si>
    <t xml:space="preserve">NOORDA, JAMEN </t>
  </si>
  <si>
    <t>NOORDA</t>
  </si>
  <si>
    <t>JAMEN</t>
  </si>
  <si>
    <t>1503</t>
  </si>
  <si>
    <t xml:space="preserve">ADMIN ASST 2        </t>
  </si>
  <si>
    <t>01231</t>
  </si>
  <si>
    <t>DELGADO, TAMI M.</t>
  </si>
  <si>
    <t>DELGADO</t>
  </si>
  <si>
    <t>TAMI</t>
  </si>
  <si>
    <t>1502</t>
  </si>
  <si>
    <t xml:space="preserve">LEONARD, DEENA </t>
  </si>
  <si>
    <t>LEONARD</t>
  </si>
  <si>
    <t>DEENA</t>
  </si>
  <si>
    <t>9917</t>
  </si>
  <si>
    <t>4405</t>
  </si>
  <si>
    <t>KING, STEPHEN T.</t>
  </si>
  <si>
    <t>KING</t>
  </si>
  <si>
    <t>STEPHEN</t>
  </si>
  <si>
    <t>T</t>
  </si>
  <si>
    <t>9666</t>
  </si>
  <si>
    <t xml:space="preserve">ACTUALS W/O POS     </t>
  </si>
  <si>
    <t xml:space="preserve">     </t>
  </si>
  <si>
    <t>9835</t>
  </si>
  <si>
    <t>1501</t>
  </si>
  <si>
    <t xml:space="preserve">P&amp;R REGIONAL MGR    </t>
  </si>
  <si>
    <t>00970</t>
  </si>
  <si>
    <t>WHITE, DAVID E.</t>
  </si>
  <si>
    <t>WHITE</t>
  </si>
  <si>
    <t>9916</t>
  </si>
  <si>
    <t>4403</t>
  </si>
  <si>
    <t>RECREATION SITE MAIN</t>
  </si>
  <si>
    <t>06526</t>
  </si>
  <si>
    <t>DURFEE, TRENTON E.</t>
  </si>
  <si>
    <t>TRENTON</t>
  </si>
  <si>
    <t>1406</t>
  </si>
  <si>
    <t>NACCARATO, LESLIE E.</t>
  </si>
  <si>
    <t>NACCARATO</t>
  </si>
  <si>
    <t>LESLIE</t>
  </si>
  <si>
    <t>4401</t>
  </si>
  <si>
    <t>KECK, WALLACE F.</t>
  </si>
  <si>
    <t>KECK</t>
  </si>
  <si>
    <t>FREMONT</t>
  </si>
  <si>
    <t>9913</t>
  </si>
  <si>
    <t>4105</t>
  </si>
  <si>
    <t>YEATER, KATE M.</t>
  </si>
  <si>
    <t>YEATER</t>
  </si>
  <si>
    <t>KATE</t>
  </si>
  <si>
    <t>1404</t>
  </si>
  <si>
    <t>SIMANEK, BETH A.</t>
  </si>
  <si>
    <t>SIMANEK</t>
  </si>
  <si>
    <t>BETH</t>
  </si>
  <si>
    <t>3504</t>
  </si>
  <si>
    <t xml:space="preserve">UTIL CRAFTSMAN      </t>
  </si>
  <si>
    <t>06638</t>
  </si>
  <si>
    <t>MCCOMBS, DRUE M.</t>
  </si>
  <si>
    <t>MCCOMBS</t>
  </si>
  <si>
    <t>DRUE</t>
  </si>
  <si>
    <t>9826</t>
  </si>
  <si>
    <t>1403</t>
  </si>
  <si>
    <t xml:space="preserve">CRANE, DALTON </t>
  </si>
  <si>
    <t>CRANE</t>
  </si>
  <si>
    <t>DALTON</t>
  </si>
  <si>
    <t>9910</t>
  </si>
  <si>
    <t>3503</t>
  </si>
  <si>
    <t>RE, CHRISTOPHER D.</t>
  </si>
  <si>
    <t>RE</t>
  </si>
  <si>
    <t>CHRISTOPHER</t>
  </si>
  <si>
    <t>1402</t>
  </si>
  <si>
    <t xml:space="preserve">SNEVE, KRISTOPHER </t>
  </si>
  <si>
    <t>SNEVE</t>
  </si>
  <si>
    <t>KRISTOPHER</t>
  </si>
  <si>
    <t>3404</t>
  </si>
  <si>
    <t>DICKARD, SHALENE N.</t>
  </si>
  <si>
    <t>DICKARD</t>
  </si>
  <si>
    <t>SHALENE</t>
  </si>
  <si>
    <t>9825</t>
  </si>
  <si>
    <t>1401</t>
  </si>
  <si>
    <t>BLACKBURN, NATHAN D.</t>
  </si>
  <si>
    <t>NATHAN</t>
  </si>
  <si>
    <t>9909</t>
  </si>
  <si>
    <t>3201</t>
  </si>
  <si>
    <t>ELMORE, TROY M.</t>
  </si>
  <si>
    <t>ELMORE</t>
  </si>
  <si>
    <t>TROY</t>
  </si>
  <si>
    <t xml:space="preserve">HQ   </t>
  </si>
  <si>
    <t>9949</t>
  </si>
  <si>
    <t>9823</t>
  </si>
  <si>
    <t>1315</t>
  </si>
  <si>
    <t>JOHNSON, JODI M.</t>
  </si>
  <si>
    <t>JOHNSON</t>
  </si>
  <si>
    <t>JODI</t>
  </si>
  <si>
    <t>9908</t>
  </si>
  <si>
    <t>3103</t>
  </si>
  <si>
    <t xml:space="preserve">PROGRAM SUPERVISOR  </t>
  </si>
  <si>
    <t>08990</t>
  </si>
  <si>
    <t>ANDERSON, TREVOR D.</t>
  </si>
  <si>
    <t>ANDERSON</t>
  </si>
  <si>
    <t>TREVOR</t>
  </si>
  <si>
    <t>1309</t>
  </si>
  <si>
    <t>MALLET, JAMES A.</t>
  </si>
  <si>
    <t>MALLET</t>
  </si>
  <si>
    <t>JAMES</t>
  </si>
  <si>
    <t>A.</t>
  </si>
  <si>
    <t>2510</t>
  </si>
  <si>
    <t xml:space="preserve">SMITH, MORGAN </t>
  </si>
  <si>
    <t>SMITH</t>
  </si>
  <si>
    <t>MORGAN</t>
  </si>
  <si>
    <t>9948</t>
  </si>
  <si>
    <t>1305</t>
  </si>
  <si>
    <t>OLIVER, JASON J.</t>
  </si>
  <si>
    <t>OLIVER</t>
  </si>
  <si>
    <t>JASON</t>
  </si>
  <si>
    <t>2405</t>
  </si>
  <si>
    <t>SEELY, JOHN W.</t>
  </si>
  <si>
    <t>SEELY</t>
  </si>
  <si>
    <t>1304</t>
  </si>
  <si>
    <t>WOOLFORD, DENNIS S.</t>
  </si>
  <si>
    <t>WOOLFORD</t>
  </si>
  <si>
    <t>DENNIS</t>
  </si>
  <si>
    <t>2404</t>
  </si>
  <si>
    <t>SMITH, JEFF E.</t>
  </si>
  <si>
    <t>JEFF</t>
  </si>
  <si>
    <t>9819</t>
  </si>
  <si>
    <t>1302</t>
  </si>
  <si>
    <t>MCKINDREE, ERIN K.</t>
  </si>
  <si>
    <t>MCKINDREE</t>
  </si>
  <si>
    <t>ERIN</t>
  </si>
  <si>
    <t>KAY</t>
  </si>
  <si>
    <t>2403</t>
  </si>
  <si>
    <t>JAY, MELINDA S.</t>
  </si>
  <si>
    <t>JAY</t>
  </si>
  <si>
    <t>MELINDA</t>
  </si>
  <si>
    <t>9973</t>
  </si>
  <si>
    <t>9818</t>
  </si>
  <si>
    <t>1301</t>
  </si>
  <si>
    <t>PALFINI, ELIZABETH K.</t>
  </si>
  <si>
    <t>PALFINI</t>
  </si>
  <si>
    <t>ELIZABETH</t>
  </si>
  <si>
    <t>2402</t>
  </si>
  <si>
    <t>THOMAS, CHRISTOPHER G.</t>
  </si>
  <si>
    <t>9943</t>
  </si>
  <si>
    <t>7005</t>
  </si>
  <si>
    <t>1203</t>
  </si>
  <si>
    <t>GUTKE, BART A.</t>
  </si>
  <si>
    <t>GUTKE</t>
  </si>
  <si>
    <t>BART</t>
  </si>
  <si>
    <t>2401</t>
  </si>
  <si>
    <t>CHASE, CHARLES E.</t>
  </si>
  <si>
    <t>CHASE</t>
  </si>
  <si>
    <t>CHARLES</t>
  </si>
  <si>
    <t>9941</t>
  </si>
  <si>
    <t>7107</t>
  </si>
  <si>
    <t>PERRY, THERESA K.</t>
  </si>
  <si>
    <t>PERRY</t>
  </si>
  <si>
    <t>THERESA</t>
  </si>
  <si>
    <t>1201</t>
  </si>
  <si>
    <t>MCGRAW, MARY L.</t>
  </si>
  <si>
    <t>MCGRAW</t>
  </si>
  <si>
    <t>MARY</t>
  </si>
  <si>
    <t>2306</t>
  </si>
  <si>
    <t>BANNON, MARLENE O.</t>
  </si>
  <si>
    <t>BANNON</t>
  </si>
  <si>
    <t>MARLENE</t>
  </si>
  <si>
    <t>7106</t>
  </si>
  <si>
    <t xml:space="preserve">NICHOLS, RIKKI </t>
  </si>
  <si>
    <t>NICHOLS</t>
  </si>
  <si>
    <t>RIKKI</t>
  </si>
  <si>
    <t>4411</t>
  </si>
  <si>
    <t>9816</t>
  </si>
  <si>
    <t>1105</t>
  </si>
  <si>
    <t>SEAMAN, JENNIFER L.</t>
  </si>
  <si>
    <t>SEAMAN</t>
  </si>
  <si>
    <t>JENNIFER</t>
  </si>
  <si>
    <t>2305</t>
  </si>
  <si>
    <t xml:space="preserve">GROGAN, ZACHARY </t>
  </si>
  <si>
    <t>GROGAN</t>
  </si>
  <si>
    <t>ZACHARY</t>
  </si>
  <si>
    <t>9815</t>
  </si>
  <si>
    <t>1104</t>
  </si>
  <si>
    <t xml:space="preserve">VAN NEST, DAVID </t>
  </si>
  <si>
    <t>VAN NEST</t>
  </si>
  <si>
    <t>2304</t>
  </si>
  <si>
    <t>PERNELL, MARK A.</t>
  </si>
  <si>
    <t>PERNELL</t>
  </si>
  <si>
    <t>MARK</t>
  </si>
  <si>
    <t>9937</t>
  </si>
  <si>
    <t>7099</t>
  </si>
  <si>
    <t>LITTLE, JAMES L.</t>
  </si>
  <si>
    <t>LITTLE</t>
  </si>
  <si>
    <t>9814</t>
  </si>
  <si>
    <t>1103</t>
  </si>
  <si>
    <t>BLACK, CARISSA M.</t>
  </si>
  <si>
    <t>BLACK</t>
  </si>
  <si>
    <t>CARISSA</t>
  </si>
  <si>
    <t>2303</t>
  </si>
  <si>
    <t>JENKS, RON W.</t>
  </si>
  <si>
    <t>JENKS</t>
  </si>
  <si>
    <t>RON</t>
  </si>
  <si>
    <t>7097</t>
  </si>
  <si>
    <t xml:space="preserve">GROOM, BROOKS </t>
  </si>
  <si>
    <t>GROOM</t>
  </si>
  <si>
    <t>BROOKS</t>
  </si>
  <si>
    <t>1102</t>
  </si>
  <si>
    <t>ROBEDEAU, NATHANNAEL J.</t>
  </si>
  <si>
    <t>ROBEDEAU</t>
  </si>
  <si>
    <t>NATHANNAEL</t>
  </si>
  <si>
    <t>2302</t>
  </si>
  <si>
    <t xml:space="preserve">TAYLOR, JAMES </t>
  </si>
  <si>
    <t>9935</t>
  </si>
  <si>
    <t>1101</t>
  </si>
  <si>
    <t>JOHNSON, LONNIE A.</t>
  </si>
  <si>
    <t>LONNIE</t>
  </si>
  <si>
    <t>2300</t>
  </si>
  <si>
    <t>PACKER, BLAKE G.</t>
  </si>
  <si>
    <t>PACKER</t>
  </si>
  <si>
    <t>BLAKE</t>
  </si>
  <si>
    <t>GENE</t>
  </si>
  <si>
    <t>7075</t>
  </si>
  <si>
    <t>STOREY, JOYCE M.</t>
  </si>
  <si>
    <t>STOREY</t>
  </si>
  <si>
    <t>2212</t>
  </si>
  <si>
    <t xml:space="preserve">WALKER, AARON </t>
  </si>
  <si>
    <t>WALKER</t>
  </si>
  <si>
    <t>AARON</t>
  </si>
  <si>
    <t>2211</t>
  </si>
  <si>
    <t>COYLE, PATRICK O.</t>
  </si>
  <si>
    <t>COYLE</t>
  </si>
  <si>
    <t>PATRICK</t>
  </si>
  <si>
    <t>7063</t>
  </si>
  <si>
    <t xml:space="preserve">CUTLER, SHARON </t>
  </si>
  <si>
    <t>CUTLER</t>
  </si>
  <si>
    <t>SHARON</t>
  </si>
  <si>
    <t>2301</t>
  </si>
  <si>
    <t>9807</t>
  </si>
  <si>
    <t>2204</t>
  </si>
  <si>
    <t>KOLSKY, HEIDI I.</t>
  </si>
  <si>
    <t>KOLSKY</t>
  </si>
  <si>
    <t>HEIDI</t>
  </si>
  <si>
    <t>9930</t>
  </si>
  <si>
    <t>7035</t>
  </si>
  <si>
    <t>P&amp;R NATURAL RESOURCE</t>
  </si>
  <si>
    <t>00973</t>
  </si>
  <si>
    <t>JONES, KEITH R.</t>
  </si>
  <si>
    <t>JONES</t>
  </si>
  <si>
    <t>KEITH</t>
  </si>
  <si>
    <t>9805</t>
  </si>
  <si>
    <t>9893</t>
  </si>
  <si>
    <t>2203</t>
  </si>
  <si>
    <t xml:space="preserve">GRANT, AMANDA </t>
  </si>
  <si>
    <t>GRANT</t>
  </si>
  <si>
    <t>AMANDA</t>
  </si>
  <si>
    <t>7026</t>
  </si>
  <si>
    <t xml:space="preserve">HONSINGER, REBECCA </t>
  </si>
  <si>
    <t>HONSINGER</t>
  </si>
  <si>
    <t>REBECCA</t>
  </si>
  <si>
    <t>9963</t>
  </si>
  <si>
    <t>7007</t>
  </si>
  <si>
    <t xml:space="preserve">SENNETT, JOHNATHAN </t>
  </si>
  <si>
    <t>SENNETT</t>
  </si>
  <si>
    <t>JOHNATHAN</t>
  </si>
  <si>
    <t>9962</t>
  </si>
  <si>
    <t>CUSTOMER SERVICE REP</t>
  </si>
  <si>
    <t>20950</t>
  </si>
  <si>
    <t>9804</t>
  </si>
  <si>
    <t>2202</t>
  </si>
  <si>
    <t xml:space="preserve">GIESSEN, JOHANNES </t>
  </si>
  <si>
    <t>GIESSEN</t>
  </si>
  <si>
    <t>JOHANNES</t>
  </si>
  <si>
    <t>7006</t>
  </si>
  <si>
    <t>OFFICE SERVICES SUPV</t>
  </si>
  <si>
    <t>01101</t>
  </si>
  <si>
    <t xml:space="preserve">TAYLOR, JOEL </t>
  </si>
  <si>
    <t>9890</t>
  </si>
  <si>
    <t>2201</t>
  </si>
  <si>
    <t>LINDE, MATTHEW R.</t>
  </si>
  <si>
    <t>LINDE</t>
  </si>
  <si>
    <t>RAY</t>
  </si>
  <si>
    <t>7003</t>
  </si>
  <si>
    <t>TAYLOR, GARTH C.</t>
  </si>
  <si>
    <t>GARTH</t>
  </si>
  <si>
    <t>C</t>
  </si>
  <si>
    <t>1514</t>
  </si>
  <si>
    <t xml:space="preserve">NASH, CHRISTOPHER </t>
  </si>
  <si>
    <t>NASH</t>
  </si>
  <si>
    <t>5303</t>
  </si>
  <si>
    <t>STOKES, ANDREW W.</t>
  </si>
  <si>
    <t>STOKES</t>
  </si>
  <si>
    <t>1407</t>
  </si>
  <si>
    <t>9994</t>
  </si>
  <si>
    <t>1512</t>
  </si>
  <si>
    <t>NEIPERT, LANNY R.</t>
  </si>
  <si>
    <t>NEIPERT</t>
  </si>
  <si>
    <t>LANNY</t>
  </si>
  <si>
    <t>5302</t>
  </si>
  <si>
    <t>RICH, KIRK R.</t>
  </si>
  <si>
    <t>RICH</t>
  </si>
  <si>
    <t>KIRK</t>
  </si>
  <si>
    <t>1202</t>
  </si>
  <si>
    <t>9838</t>
  </si>
  <si>
    <t>1509</t>
  </si>
  <si>
    <t>BAIR, ERRIN R.</t>
  </si>
  <si>
    <t>BAIR</t>
  </si>
  <si>
    <t>ERRIN</t>
  </si>
  <si>
    <t>3802</t>
  </si>
  <si>
    <t xml:space="preserve">PROGRAM SPECIALIST  </t>
  </si>
  <si>
    <t>03</t>
  </si>
  <si>
    <t>05274</t>
  </si>
  <si>
    <t>9990</t>
  </si>
  <si>
    <t>9988</t>
  </si>
  <si>
    <t>7104</t>
  </si>
  <si>
    <t>P &amp; R EQUIPMENT OPER</t>
  </si>
  <si>
    <t>00986</t>
  </si>
  <si>
    <t>7041</t>
  </si>
  <si>
    <t>ROBINSON, MICHAEL R.</t>
  </si>
  <si>
    <t>ROBINSON</t>
  </si>
  <si>
    <t>MICHAEL</t>
  </si>
  <si>
    <t>7040</t>
  </si>
  <si>
    <t>P&amp;R REC RSRC BUR CHF</t>
  </si>
  <si>
    <t>00968</t>
  </si>
  <si>
    <t>CLAYCOMB, DAVID W.</t>
  </si>
  <si>
    <t>CLAYCOMB</t>
  </si>
  <si>
    <t>7038</t>
  </si>
  <si>
    <t xml:space="preserve">LANDS PROGRAM SPEC  </t>
  </si>
  <si>
    <t>01061</t>
  </si>
  <si>
    <t>COOK  JR, JEFFREY F.</t>
  </si>
  <si>
    <t>COOK  JR</t>
  </si>
  <si>
    <t>7033</t>
  </si>
  <si>
    <t>DAHMS, DAVID D.</t>
  </si>
  <si>
    <t>DAHMS</t>
  </si>
  <si>
    <t>3706</t>
  </si>
  <si>
    <t>LINDENFELSER  II, MICHAEL J.</t>
  </si>
  <si>
    <t>LINDENFELSER  II</t>
  </si>
  <si>
    <t>9914</t>
  </si>
  <si>
    <t>0349</t>
  </si>
  <si>
    <t>9810</t>
  </si>
  <si>
    <t>9967</t>
  </si>
  <si>
    <t>9894</t>
  </si>
  <si>
    <t>9945</t>
  </si>
  <si>
    <t>0496</t>
  </si>
  <si>
    <t>01</t>
  </si>
  <si>
    <t>9991</t>
  </si>
  <si>
    <t>9986</t>
  </si>
  <si>
    <t>2508</t>
  </si>
  <si>
    <t xml:space="preserve">PAYNE, TROY </t>
  </si>
  <si>
    <t>PAYNE</t>
  </si>
  <si>
    <t>2501</t>
  </si>
  <si>
    <t xml:space="preserve">ELIOT, MARK </t>
  </si>
  <si>
    <t>ELIOT</t>
  </si>
  <si>
    <t>9820</t>
  </si>
  <si>
    <t>9829</t>
  </si>
  <si>
    <t>9906</t>
  </si>
  <si>
    <t>9946</t>
  </si>
  <si>
    <t>9939</t>
  </si>
  <si>
    <t>9889</t>
  </si>
  <si>
    <t>PRBB</t>
  </si>
  <si>
    <t>7034</t>
  </si>
  <si>
    <t xml:space="preserve">PETERSEN, DEETTA </t>
  </si>
  <si>
    <t>PETERSEN</t>
  </si>
  <si>
    <t>DEETTA</t>
  </si>
  <si>
    <t>9953</t>
  </si>
  <si>
    <t>9950</t>
  </si>
  <si>
    <t>9979</t>
  </si>
  <si>
    <t>9801</t>
  </si>
  <si>
    <t>3102</t>
  </si>
  <si>
    <t xml:space="preserve">DILENGE, BRIAN </t>
  </si>
  <si>
    <t>DILENGE</t>
  </si>
  <si>
    <t>BRIAN</t>
  </si>
  <si>
    <t>9837</t>
  </si>
  <si>
    <t>9832</t>
  </si>
  <si>
    <t>3705</t>
  </si>
  <si>
    <t xml:space="preserve">SPARKS, NATHAN </t>
  </si>
  <si>
    <t>SPARKS</t>
  </si>
  <si>
    <t>9987</t>
  </si>
  <si>
    <t>9982</t>
  </si>
  <si>
    <t>9947</t>
  </si>
  <si>
    <t>9976</t>
  </si>
  <si>
    <t>7100</t>
  </si>
  <si>
    <t xml:space="preserve">THAYER, KENNETH TODD </t>
  </si>
  <si>
    <t>THAYER</t>
  </si>
  <si>
    <t>KENNETH TODD</t>
  </si>
  <si>
    <t>PATTERSON, ZANE A.</t>
  </si>
  <si>
    <t>PATTERSON</t>
  </si>
  <si>
    <t>ZANE</t>
  </si>
  <si>
    <t>7044</t>
  </si>
  <si>
    <t>P &amp; R PROGRAM TRAINI</t>
  </si>
  <si>
    <t>00975</t>
  </si>
  <si>
    <t xml:space="preserve">HOGGATT, SAMUEL </t>
  </si>
  <si>
    <t>HOGGATT</t>
  </si>
  <si>
    <t>SAMUEL</t>
  </si>
  <si>
    <t>7036</t>
  </si>
  <si>
    <t>GUMMERSALL, RICHARD T.</t>
  </si>
  <si>
    <t>GUMMERSALL</t>
  </si>
  <si>
    <t>RICHARD</t>
  </si>
  <si>
    <t>9891</t>
  </si>
  <si>
    <t>2507</t>
  </si>
  <si>
    <t xml:space="preserve">LOWE, MATTHEW </t>
  </si>
  <si>
    <t>LOWE</t>
  </si>
  <si>
    <t>9767</t>
  </si>
  <si>
    <t>4406</t>
  </si>
  <si>
    <t>ZOLLINGER, AUSTIN J.</t>
  </si>
  <si>
    <t>ZOLLINGER</t>
  </si>
  <si>
    <t>AUSTIN</t>
  </si>
  <si>
    <t>4404</t>
  </si>
  <si>
    <t>MCCLURE-CANNON, TARA R.</t>
  </si>
  <si>
    <t>MCCLURE-CANNON</t>
  </si>
  <si>
    <t>TARA</t>
  </si>
  <si>
    <t>RAMONA</t>
  </si>
  <si>
    <t>9985</t>
  </si>
  <si>
    <t>9984</t>
  </si>
  <si>
    <t>P&amp;R PART-TIME TEMPOR</t>
  </si>
  <si>
    <t>97341</t>
  </si>
  <si>
    <t>9940</t>
  </si>
  <si>
    <t>9803</t>
  </si>
  <si>
    <t>7098</t>
  </si>
  <si>
    <t xml:space="preserve">SMITH, JESSICA </t>
  </si>
  <si>
    <t>JESSICA</t>
  </si>
  <si>
    <t>9918</t>
  </si>
  <si>
    <t>0410</t>
  </si>
  <si>
    <t>PRBD</t>
  </si>
  <si>
    <t>9721</t>
  </si>
  <si>
    <t>9704</t>
  </si>
  <si>
    <t>9836</t>
  </si>
  <si>
    <t>9952</t>
  </si>
  <si>
    <t>9911</t>
  </si>
  <si>
    <t>9951</t>
  </si>
  <si>
    <t>9905</t>
  </si>
  <si>
    <t>9899</t>
  </si>
  <si>
    <t>9969</t>
  </si>
  <si>
    <t>9936</t>
  </si>
  <si>
    <t>9968</t>
  </si>
  <si>
    <t>9934</t>
  </si>
  <si>
    <t>9932</t>
  </si>
  <si>
    <t>9964</t>
  </si>
  <si>
    <t>9925</t>
  </si>
  <si>
    <t>1106</t>
  </si>
  <si>
    <t>LIESKE, SANDRA K.</t>
  </si>
  <si>
    <t>LIESKE</t>
  </si>
  <si>
    <t>SANDRA</t>
  </si>
  <si>
    <t>9961</t>
  </si>
  <si>
    <t>9995</t>
  </si>
  <si>
    <t>9802</t>
  </si>
  <si>
    <t>9920</t>
  </si>
  <si>
    <t>9996</t>
  </si>
  <si>
    <t>ÿÿÿÿ</t>
  </si>
  <si>
    <t>ÿÿ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</si>
  <si>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</si>
  <si>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</si>
  <si>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</si>
  <si>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</si>
  <si>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</si>
  <si>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</si>
  <si>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</si>
  <si>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</si>
  <si>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</si>
  <si>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</si>
  <si>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</si>
  <si>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</si>
  <si>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</si>
  <si>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</si>
  <si>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</si>
  <si>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</si>
  <si>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</si>
  <si>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</si>
  <si>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</si>
  <si>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</si>
  <si>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</si>
  <si>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</si>
  <si>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</si>
  <si>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</si>
  <si>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</si>
  <si>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</si>
  <si>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</si>
  <si>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</si>
  <si>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</si>
  <si>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</si>
  <si>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</si>
  <si>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</si>
  <si>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</si>
  <si>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</si>
  <si>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</si>
  <si>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</si>
  <si>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</si>
  <si>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</si>
  <si>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</si>
  <si>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</si>
  <si>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</si>
  <si>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</si>
  <si>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</si>
  <si>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</si>
  <si>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</si>
  <si>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</si>
  <si>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</si>
  <si>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</si>
  <si>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PRAA 0001-00</t>
  </si>
  <si>
    <t>PRAA 0001</t>
  </si>
  <si>
    <t>Department of Parks and Recreation</t>
  </si>
  <si>
    <t>Management Services</t>
  </si>
  <si>
    <t>General</t>
  </si>
  <si>
    <t>0001-00</t>
  </si>
  <si>
    <t>10000</t>
  </si>
  <si>
    <t>Management Services, General   PRAA-0001-00</t>
  </si>
  <si>
    <t>PRAA 0125-00</t>
  </si>
  <si>
    <t>PRAA 0125</t>
  </si>
  <si>
    <t>Indirect Cost Recovery</t>
  </si>
  <si>
    <t>0125-00</t>
  </si>
  <si>
    <t>12500</t>
  </si>
  <si>
    <t>Management Services, Indirect Cost Recovery   PRAA-0125-00</t>
  </si>
  <si>
    <t>PRAA 0243-00</t>
  </si>
  <si>
    <t>PRAA 0243-02</t>
  </si>
  <si>
    <t>PRAA 0243</t>
  </si>
  <si>
    <t>Parks and Recreation</t>
  </si>
  <si>
    <t>0243-00</t>
  </si>
  <si>
    <t>24300</t>
  </si>
  <si>
    <t>Management Services, Parks and Recreation   PRAA-0243-00</t>
  </si>
  <si>
    <t>PRAA 0247-00</t>
  </si>
  <si>
    <t>PRAA 0247-06</t>
  </si>
  <si>
    <t>PRAA 0247</t>
  </si>
  <si>
    <t>Recreational Fuels</t>
  </si>
  <si>
    <t>0247-00</t>
  </si>
  <si>
    <t>24700</t>
  </si>
  <si>
    <t>Management Services, Recreational Fuels   PRAA-0247-00</t>
  </si>
  <si>
    <t>PRAB 0250-00</t>
  </si>
  <si>
    <t>PRAB 0250-05</t>
  </si>
  <si>
    <t>PRAB 0250</t>
  </si>
  <si>
    <t>Parks and Recreation Registration</t>
  </si>
  <si>
    <t>0250-00</t>
  </si>
  <si>
    <t>25000</t>
  </si>
  <si>
    <t>Management Services, Parks and Recreation Registration   PRAB-0250-00</t>
  </si>
  <si>
    <t>PRBA 0001-00</t>
  </si>
  <si>
    <t>PRBA 0001</t>
  </si>
  <si>
    <t>Park Operations</t>
  </si>
  <si>
    <t>Park Operations, General   PRBA-0001-00</t>
  </si>
  <si>
    <t>PRBA 0243-00</t>
  </si>
  <si>
    <t>PRBA 0243</t>
  </si>
  <si>
    <t>Park Operations, Parks and Recreation   PRBA-0243-00</t>
  </si>
  <si>
    <t>PRBA 0247-00</t>
  </si>
  <si>
    <t>PRBA 0247-06</t>
  </si>
  <si>
    <t>PRBA 0247</t>
  </si>
  <si>
    <t>Park Operations, Recreational Fuels   PRBA-0247-00</t>
  </si>
  <si>
    <t>PRBA 0349-00</t>
  </si>
  <si>
    <t>PRBA 0349</t>
  </si>
  <si>
    <t>Miscellaneous Revenue</t>
  </si>
  <si>
    <t>0349-00</t>
  </si>
  <si>
    <t>34900</t>
  </si>
  <si>
    <t>Park Operations, Miscellaneous Revenue   PRBA-0349-00</t>
  </si>
  <si>
    <t>PRBA 0496-00</t>
  </si>
  <si>
    <t>PRBA 0496-02</t>
  </si>
  <si>
    <t>PRBA 0496-03</t>
  </si>
  <si>
    <t>PRBA 0496-05</t>
  </si>
  <si>
    <t>PRBA 0496</t>
  </si>
  <si>
    <t>Parks and Recreation Expendable Trust</t>
  </si>
  <si>
    <t>0496-00</t>
  </si>
  <si>
    <t>49600</t>
  </si>
  <si>
    <t>Park Operations, Parks and Recreation Expendable Trust   PRBA-0496-00</t>
  </si>
  <si>
    <t>PRBB 0250-00</t>
  </si>
  <si>
    <t>PRBB 0250-02</t>
  </si>
  <si>
    <t>PRBB 0250-03</t>
  </si>
  <si>
    <t>PRBB 0250-04</t>
  </si>
  <si>
    <t>PRBB 0250-05</t>
  </si>
  <si>
    <t>PRBB 0250</t>
  </si>
  <si>
    <t>Park Operations, Parks and Recreation Registration   PRBB-0250-00</t>
  </si>
  <si>
    <t>PRBB 0348-00</t>
  </si>
  <si>
    <t>PRBB 0348</t>
  </si>
  <si>
    <t>Federal Grant</t>
  </si>
  <si>
    <t>0348-00</t>
  </si>
  <si>
    <t>34800</t>
  </si>
  <si>
    <t>Park Operations, Federal Grant   PRBB-0348-00</t>
  </si>
  <si>
    <t>PRBD 0410-01</t>
  </si>
  <si>
    <t>PRBD 0410</t>
  </si>
  <si>
    <t>Public Recreation Enterprise</t>
  </si>
  <si>
    <t>0410-00</t>
  </si>
  <si>
    <t>41001</t>
  </si>
  <si>
    <t>Park Operations, Public Recreation Enterprise   PRBD-0410-00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</si>
  <si>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</si>
  <si>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</si>
  <si>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</si>
  <si>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</si>
  <si>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</si>
  <si>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</si>
  <si>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</si>
  <si>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</si>
  <si>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Fund-0125</t>
  </si>
  <si>
    <t>0243-02</t>
  </si>
  <si>
    <t>Fund-0243</t>
  </si>
  <si>
    <t>0247-03</t>
  </si>
  <si>
    <t>0247-06</t>
  </si>
  <si>
    <t>Fund-0247</t>
  </si>
  <si>
    <t>0250-02</t>
  </si>
  <si>
    <t>0250-03</t>
  </si>
  <si>
    <t>0250-04</t>
  </si>
  <si>
    <t>0250-05</t>
  </si>
  <si>
    <t>Fund-0250</t>
  </si>
  <si>
    <t>Fund-0348</t>
  </si>
  <si>
    <t>0410-01</t>
  </si>
  <si>
    <t>Fund-0410</t>
  </si>
  <si>
    <t>0496-02</t>
  </si>
  <si>
    <t>0496-03</t>
  </si>
  <si>
    <t>0496-05</t>
  </si>
  <si>
    <t>Fund-0496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</si>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</sst>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8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84"/>
      <tableStyleElement type="headerRow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23EE-8374-42AB-8742-C9EC9487A5A2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1096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1093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1094</v>
      </c>
      <c r="J5" s="404"/>
      <c r="K5" s="404"/>
      <c r="L5" s="403"/>
      <c r="M5" s="352" t="s">
        <v>115</v>
      </c>
      <c r="N5" s="32" t="s">
        <v>1095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"&amp;'PRAA|0001-00'!FiscalYear-1&amp;" SALARY"</f>
        <v>FY 2022 SALARY</v>
      </c>
      <c r="H8" s="50" t="str">
        <f>"FY "&amp;'PRAA|0001-00'!FiscalYear-1&amp;" HEALTH BENEFITS"</f>
        <v>FY 2022 HEALTH BENEFITS</v>
      </c>
      <c r="I8" s="50" t="str">
        <f>"FY "&amp;'PRAA|0001-00'!FiscalYear-1&amp;" VAR BENEFITS"</f>
        <v>FY 2022 VAR BENEFITS</v>
      </c>
      <c r="J8" s="50" t="str">
        <f>"FY "&amp;'PRAA|0001-00'!FiscalYear-1&amp;" TOTAL"</f>
        <v>FY 2022 TOTAL</v>
      </c>
      <c r="K8" s="50" t="str">
        <f>"FY "&amp;'PRAA|0001-00'!FiscalYear&amp;" SALARY CHANGE"</f>
        <v>FY 2023 SALARY CHANGE</v>
      </c>
      <c r="L8" s="50" t="str">
        <f>"FY "&amp;'PRAA|0001-00'!FiscalYear&amp;" CHG HEALTH BENEFITS"</f>
        <v>FY 2023 CHG HEALTH BENEFITS</v>
      </c>
      <c r="M8" s="50" t="str">
        <f>"FY "&amp;'PRAA|0001-00'!FiscalYear&amp;"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[0]!PRAA000100col_INC_FTI</f>
        <v>4.7</v>
      </c>
      <c r="G10" s="218">
        <f>[0]!PRAA000100col_FTI_SALARY_PERM</f>
        <v>277671.67999999999</v>
      </c>
      <c r="H10" s="218">
        <f>[0]!PRAA000100col_HEALTH_PERM</f>
        <v>54755</v>
      </c>
      <c r="I10" s="218">
        <f>[0]!PRAA000100col_TOT_VB_PERM</f>
        <v>66077.529689600007</v>
      </c>
      <c r="J10" s="219">
        <f>SUM(G10:I10)</f>
        <v>398504.20968959999</v>
      </c>
      <c r="K10" s="219">
        <f>[0]!PRAA000100col_1_27TH_PP</f>
        <v>0</v>
      </c>
      <c r="L10" s="218">
        <f>[0]!PRAA000100col_HEALTH_PERM_CHG</f>
        <v>0</v>
      </c>
      <c r="M10" s="218">
        <f>[0]!PRAA000100col_TOT_VB_PERM_CHG</f>
        <v>805.24787200000048</v>
      </c>
      <c r="N10" s="218">
        <f>SUM(L10:M10)</f>
        <v>805.24787200000048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2800</v>
      </c>
      <c r="AB10" s="335">
        <f>ROUND(PermVarBen*CECPerm+(CECPerm*PermVarBenChg),-2)</f>
        <v>700</v>
      </c>
      <c r="AC10" s="335">
        <f>SUM(AA10:AB10)</f>
        <v>3500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[0]!PRAA000100col_Group_Salary</f>
        <v>10095</v>
      </c>
      <c r="H11" s="218">
        <v>0</v>
      </c>
      <c r="I11" s="218">
        <f>[0]!PRAA000100col_Group_Ben</f>
        <v>2201.4499999999998</v>
      </c>
      <c r="J11" s="219">
        <f>SUM(G11:I11)</f>
        <v>12296.45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[0]!PRAA000100col_TOTAL_ELECT_PCN_FTI</f>
        <v>0</v>
      </c>
      <c r="G12" s="218">
        <f>[0]!PRAA000100col_FTI_SALARY_ELECT</f>
        <v>0</v>
      </c>
      <c r="H12" s="218">
        <f>[0]!PRAA000100col_HEALTH_ELECT</f>
        <v>0</v>
      </c>
      <c r="I12" s="218">
        <f>[0]!PRAA000100col_TOT_VB_ELECT</f>
        <v>0</v>
      </c>
      <c r="J12" s="219">
        <f>SUM(G12:I12)</f>
        <v>0</v>
      </c>
      <c r="K12" s="268"/>
      <c r="L12" s="218">
        <f>[0]!PRAA000100col_HEALTH_ELECT_CHG</f>
        <v>0</v>
      </c>
      <c r="M12" s="218">
        <f>[0]!PRAA000100col_TOT_VB_ELECT_CHG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4.7</v>
      </c>
      <c r="G13" s="221">
        <f>SUM(G10:G12)</f>
        <v>287766.68</v>
      </c>
      <c r="H13" s="221">
        <f>SUM(H10:H12)</f>
        <v>54755</v>
      </c>
      <c r="I13" s="221">
        <f>SUM(I10:I12)</f>
        <v>68278.979689600004</v>
      </c>
      <c r="J13" s="219">
        <f>SUM(G13:I13)</f>
        <v>410800.6596896</v>
      </c>
      <c r="K13" s="268"/>
      <c r="L13" s="219">
        <f>SUM(L10:L12)</f>
        <v>0</v>
      </c>
      <c r="M13" s="219">
        <f>SUM(M10:M12)</f>
        <v>805.24787200000048</v>
      </c>
      <c r="N13" s="219">
        <f>SUM(N10:N12)</f>
        <v>805.24787200000048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"&amp;'PRAA|0001-00'!FiscalYear-1</f>
        <v>FY 2022</v>
      </c>
      <c r="D15" s="158" t="s">
        <v>31</v>
      </c>
      <c r="E15" s="355">
        <v>399200</v>
      </c>
      <c r="F15" s="55">
        <v>4.7</v>
      </c>
      <c r="G15" s="223">
        <f>IF(OrigApprop=0,0,(G13/$J$13)*OrigApprop)</f>
        <v>279640.39479099272</v>
      </c>
      <c r="H15" s="223">
        <f>IF(OrigApprop=0,0,(H13/$J$13)*OrigApprop)</f>
        <v>53208.765576267571</v>
      </c>
      <c r="I15" s="223">
        <f>IF(G15=0,0,(I13/$J$13)*OrigApprop)</f>
        <v>66350.839632739691</v>
      </c>
      <c r="J15" s="223">
        <f>SUM(G15:I15)</f>
        <v>399200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-8126.2852090072702</v>
      </c>
      <c r="H16" s="162">
        <f>H15-H13</f>
        <v>-1546.2344237324287</v>
      </c>
      <c r="I16" s="162">
        <f>I15-I13</f>
        <v>-1928.1400568603131</v>
      </c>
      <c r="J16" s="162">
        <f>J15-J13</f>
        <v>-11600.659689599997</v>
      </c>
      <c r="K16" s="269"/>
      <c r="L16" s="56" t="str">
        <f>IF('PRAA|0001-00'!OrigApprop=0,"ERROR! Enter Original Appropriation amount in DU 3.00!","Calculated "&amp;IF('PRAA|0001-00'!AdjustedTotal&gt;0,"overfunding ","underfunding ")&amp;"is "&amp;TEXT('PRAA|0001-00'!AdjustedTotal/'PRAA|0001-00'!AppropTotal,"#.0%;(#.0% );0% ;")&amp;" of Original Appropriation")</f>
        <v>Calculated underfunding is (2.9%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4.7</v>
      </c>
      <c r="G38" s="191">
        <f>SUMIF($E10:$E35,$E38,$G10:$G35)</f>
        <v>277671.67999999999</v>
      </c>
      <c r="H38" s="192">
        <f>SUMIF($E10:$E35,$E38,$H10:$H35)</f>
        <v>54755</v>
      </c>
      <c r="I38" s="192">
        <f>SUMIF($E10:$E35,$E38,$I10:$I35)</f>
        <v>66077.529689600007</v>
      </c>
      <c r="J38" s="192">
        <f>SUM(G38:I38)</f>
        <v>398504.20968959999</v>
      </c>
      <c r="K38" s="166"/>
      <c r="L38" s="191">
        <f>SUMIF($E10:$E35,$E38,$L10:$L35)</f>
        <v>0</v>
      </c>
      <c r="M38" s="192">
        <f>SUMIF($E10:$E35,$E38,$M10:$M35)</f>
        <v>805.24787200000048</v>
      </c>
      <c r="N38" s="192">
        <f>SUM(L38:M38)</f>
        <v>805.24787200000048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2800</v>
      </c>
      <c r="AB38" s="338">
        <f>ROUND((AdjPermVB*CECPerm+AdjPermVBBY*CECPerm),-2)</f>
        <v>700</v>
      </c>
      <c r="AC38" s="338">
        <f>SUM(AA38:AB38)</f>
        <v>3500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10095</v>
      </c>
      <c r="H39" s="152">
        <f>SUMIF($E10:$E35,$E39,$H10:$H35)</f>
        <v>0</v>
      </c>
      <c r="I39" s="152">
        <f>SUMIF($E10:$E35,$E39,$I10:$I35)</f>
        <v>2201.4499999999998</v>
      </c>
      <c r="J39" s="152">
        <f>SUM(G39:I39)</f>
        <v>12296.45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4.7</v>
      </c>
      <c r="G41" s="195">
        <f>SUM($G$38:$G$40)</f>
        <v>287766.68</v>
      </c>
      <c r="H41" s="162">
        <f>SUM($H$38:$H$40)</f>
        <v>54755</v>
      </c>
      <c r="I41" s="162">
        <f>SUM($I$38:$I$40)</f>
        <v>68278.979689600004</v>
      </c>
      <c r="J41" s="162">
        <f>SUM($J$38:$J$40)</f>
        <v>410800.6596896</v>
      </c>
      <c r="K41" s="259"/>
      <c r="L41" s="195">
        <f>SUM($L$38:$L$40)</f>
        <v>0</v>
      </c>
      <c r="M41" s="162">
        <f>SUM($M$38:$M$40)</f>
        <v>805.24787200000048</v>
      </c>
      <c r="N41" s="162">
        <f>SUM(L41:M41)</f>
        <v>805.24787200000048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-8100</v>
      </c>
      <c r="H43" s="159">
        <f>ROUND(H51-H41,-2)</f>
        <v>-1500</v>
      </c>
      <c r="I43" s="159">
        <f>ROUND(I51-I41,-2)</f>
        <v>-1900</v>
      </c>
      <c r="J43" s="159">
        <f>SUM(G43:I43)</f>
        <v>-11500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underfunding is (2.9% )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-8200</v>
      </c>
      <c r="H44" s="159">
        <f>ROUND(H60-H41,-2)</f>
        <v>-1600</v>
      </c>
      <c r="I44" s="159">
        <f>ROUND(I60-I41,-2)</f>
        <v>-1900</v>
      </c>
      <c r="J44" s="159">
        <f>SUM(G44:I44)</f>
        <v>-11700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underfunding is (2.9% )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-8200</v>
      </c>
      <c r="H45" s="206">
        <f>ROUND(H67-H41-H63,-2)</f>
        <v>-1600</v>
      </c>
      <c r="I45" s="206">
        <f>ROUND(I67-I41-I63,-2)</f>
        <v>-1900</v>
      </c>
      <c r="J45" s="159">
        <f>SUM(G45:I45)</f>
        <v>-11700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(2.9% )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399200</v>
      </c>
      <c r="F51" s="272">
        <f>AppropFTP</f>
        <v>4.7</v>
      </c>
      <c r="G51" s="274">
        <f>IF(E51=0,0,(G41/$J$41)*$E$51)</f>
        <v>279640.39479099272</v>
      </c>
      <c r="H51" s="274">
        <f>IF(E51=0,0,(H41/$J$41)*$E$51)</f>
        <v>53208.765576267571</v>
      </c>
      <c r="I51" s="275">
        <f>IF(E51=0,0,(I41/$J$41)*$E$51)</f>
        <v>66350.839632739691</v>
      </c>
      <c r="J51" s="90">
        <f>SUM(G51:I51)</f>
        <v>399200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4.7</v>
      </c>
      <c r="G52" s="79">
        <f>ROUND(G51,-2)</f>
        <v>279600</v>
      </c>
      <c r="H52" s="79">
        <f>ROUND(H51,-2)</f>
        <v>53200</v>
      </c>
      <c r="I52" s="266">
        <f>ROUND(I51,-2)</f>
        <v>66400</v>
      </c>
      <c r="J52" s="80">
        <f>ROUND(J51,-2)</f>
        <v>399200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4.7</v>
      </c>
      <c r="G56" s="80">
        <f>SUM(G52:G55)</f>
        <v>279600</v>
      </c>
      <c r="H56" s="80">
        <f>SUM(H52:H55)</f>
        <v>53200</v>
      </c>
      <c r="I56" s="260">
        <f>SUM(I52:I55)</f>
        <v>66400</v>
      </c>
      <c r="J56" s="80">
        <f>SUM(J52:J55)</f>
        <v>399200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4.7</v>
      </c>
      <c r="G60" s="80">
        <f>SUM(G56:G59)</f>
        <v>279600</v>
      </c>
      <c r="H60" s="80">
        <f>SUM(H56:H59)</f>
        <v>53200</v>
      </c>
      <c r="I60" s="260">
        <f>SUM(I56:I59)</f>
        <v>66400</v>
      </c>
      <c r="J60" s="80">
        <f>SUM(J56:J59)</f>
        <v>399200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4.7</v>
      </c>
      <c r="G67" s="80">
        <f>SUM(G60:G64)</f>
        <v>279600</v>
      </c>
      <c r="H67" s="80">
        <f>SUM(H60:H64)</f>
        <v>53200</v>
      </c>
      <c r="I67" s="80">
        <f>SUM(I60:I64)</f>
        <v>66400</v>
      </c>
      <c r="J67" s="80">
        <f>SUM(J60:J64)</f>
        <v>399200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800</v>
      </c>
      <c r="J69" s="287">
        <f>SUM(G69:I69)</f>
        <v>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2800</v>
      </c>
      <c r="H72" s="287"/>
      <c r="I72" s="287">
        <f>ROUND(($G72*PermVBBY+$G72*Retire1BY),-2)</f>
        <v>700</v>
      </c>
      <c r="J72" s="113">
        <f>SUM(G72:I72)</f>
        <v>3500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4.7</v>
      </c>
      <c r="G75" s="80">
        <f>SUM(G67:G74)</f>
        <v>282500</v>
      </c>
      <c r="H75" s="80">
        <f>SUM(H67:H74)</f>
        <v>53200</v>
      </c>
      <c r="I75" s="80">
        <f>SUM(I67:I74)</f>
        <v>67900</v>
      </c>
      <c r="J75" s="80">
        <f>SUM(J67:K74)</f>
        <v>403600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4.7</v>
      </c>
      <c r="G80" s="80">
        <f>SUM(G75:G79)</f>
        <v>282500</v>
      </c>
      <c r="H80" s="80">
        <f>SUM(H75:H79)</f>
        <v>53200</v>
      </c>
      <c r="I80" s="80">
        <f>SUM(I75:I79)</f>
        <v>67900</v>
      </c>
      <c r="J80" s="80">
        <f>SUM(J75:J79)</f>
        <v>403600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82" priority="5">
      <formula>$J$44&lt;0</formula>
    </cfRule>
  </conditionalFormatting>
  <conditionalFormatting sqref="K43">
    <cfRule type="expression" dxfId="81" priority="4">
      <formula>$J$43&lt;0</formula>
    </cfRule>
  </conditionalFormatting>
  <conditionalFormatting sqref="L16">
    <cfRule type="expression" dxfId="80" priority="3">
      <formula>$J$16&lt;0</formula>
    </cfRule>
  </conditionalFormatting>
  <conditionalFormatting sqref="K45">
    <cfRule type="expression" dxfId="79" priority="2">
      <formula>$J$44&lt;0</formula>
    </cfRule>
  </conditionalFormatting>
  <conditionalFormatting sqref="K43:N45">
    <cfRule type="containsText" dxfId="7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CA30CD-6A1E-4343-A299-9132512AB3C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6E52E-EAD2-403F-928B-8C2219EC0DF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1149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432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1147</v>
      </c>
      <c r="J5" s="404"/>
      <c r="K5" s="404"/>
      <c r="L5" s="403"/>
      <c r="M5" s="352" t="s">
        <v>115</v>
      </c>
      <c r="N5" s="32" t="s">
        <v>1148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"&amp;'PRBA|0496-00'!FiscalYear-1&amp;" SALARY"</f>
        <v>FY 2022 SALARY</v>
      </c>
      <c r="H8" s="50" t="str">
        <f>"FY "&amp;'PRBA|0496-00'!FiscalYear-1&amp;" HEALTH BENEFITS"</f>
        <v>FY 2022 HEALTH BENEFITS</v>
      </c>
      <c r="I8" s="50" t="str">
        <f>"FY "&amp;'PRBA|0496-00'!FiscalYear-1&amp;" VAR BENEFITS"</f>
        <v>FY 2022 VAR BENEFITS</v>
      </c>
      <c r="J8" s="50" t="str">
        <f>"FY "&amp;'PRBA|0496-00'!FiscalYear-1&amp;" TOTAL"</f>
        <v>FY 2022 TOTAL</v>
      </c>
      <c r="K8" s="50" t="str">
        <f>"FY "&amp;'PRBA|0496-00'!FiscalYear&amp;" SALARY CHANGE"</f>
        <v>FY 2023 SALARY CHANGE</v>
      </c>
      <c r="L8" s="50" t="str">
        <f>"FY "&amp;'PRBA|0496-00'!FiscalYear&amp;" CHG HEALTH BENEFITS"</f>
        <v>FY 2023 CHG HEALTH BENEFITS</v>
      </c>
      <c r="M8" s="50" t="str">
        <f>"FY "&amp;'PRBA|0496-00'!FiscalYear&amp;"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[0]!PRBA049600col_INC_FTI</f>
        <v>4.4000000000000004</v>
      </c>
      <c r="G10" s="218">
        <f>[0]!PRBA049600col_FTI_SALARY_PERM</f>
        <v>207762.88</v>
      </c>
      <c r="H10" s="218">
        <f>[0]!PRBA049600col_HEALTH_PERM</f>
        <v>51260</v>
      </c>
      <c r="I10" s="218">
        <f>[0]!PRBA049600col_TOT_VB_PERM</f>
        <v>49441.332553600005</v>
      </c>
      <c r="J10" s="219">
        <f>SUM(G10:I10)</f>
        <v>308464.21255360002</v>
      </c>
      <c r="K10" s="219">
        <f>[0]!PRBA049600col_1_27TH_PP</f>
        <v>0</v>
      </c>
      <c r="L10" s="218">
        <f>[0]!PRBA049600col_HEALTH_PERM_CHG</f>
        <v>0</v>
      </c>
      <c r="M10" s="218">
        <f>[0]!PRBA049600col_TOT_VB_PERM_CHG</f>
        <v>602.51235200000042</v>
      </c>
      <c r="N10" s="218">
        <f>SUM(L10:M10)</f>
        <v>602.51235200000042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2100</v>
      </c>
      <c r="AB10" s="335">
        <f>ROUND(PermVarBen*CECPerm+(CECPerm*PermVarBenChg),-2)</f>
        <v>500</v>
      </c>
      <c r="AC10" s="335">
        <f>SUM(AA10:AB10)</f>
        <v>2600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[0]!PRBA049600col_Group_Salary</f>
        <v>80033.989999999991</v>
      </c>
      <c r="H11" s="218">
        <v>0</v>
      </c>
      <c r="I11" s="218">
        <f>[0]!PRBA049600col_Group_Ben</f>
        <v>11743.330000000002</v>
      </c>
      <c r="J11" s="219">
        <f>SUM(G11:I11)</f>
        <v>91777.319999999992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800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[0]!PRBA049600col_TOTAL_ELECT_PCN_FTI</f>
        <v>0</v>
      </c>
      <c r="G12" s="218">
        <f>[0]!PRBA049600col_FTI_SALARY_ELECT</f>
        <v>0</v>
      </c>
      <c r="H12" s="218">
        <f>[0]!PRBA049600col_HEALTH_ELECT</f>
        <v>0</v>
      </c>
      <c r="I12" s="218">
        <f>[0]!PRBA049600col_TOT_VB_ELECT</f>
        <v>0</v>
      </c>
      <c r="J12" s="219">
        <f>SUM(G12:I12)</f>
        <v>0</v>
      </c>
      <c r="K12" s="268"/>
      <c r="L12" s="218">
        <f>[0]!PRBA049600col_HEALTH_ELECT_CHG</f>
        <v>0</v>
      </c>
      <c r="M12" s="218">
        <f>[0]!PRBA049600col_TOT_VB_ELECT_CHG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4.4000000000000004</v>
      </c>
      <c r="G13" s="221">
        <f>SUM(G10:G12)</f>
        <v>287796.87</v>
      </c>
      <c r="H13" s="221">
        <f>SUM(H10:H12)</f>
        <v>51260</v>
      </c>
      <c r="I13" s="221">
        <f>SUM(I10:I12)</f>
        <v>61184.662553600007</v>
      </c>
      <c r="J13" s="219">
        <f>SUM(G13:I13)</f>
        <v>400241.53255360003</v>
      </c>
      <c r="K13" s="268"/>
      <c r="L13" s="219">
        <f>SUM(L10:L12)</f>
        <v>0</v>
      </c>
      <c r="M13" s="219">
        <f>SUM(M10:M12)</f>
        <v>602.51235200000042</v>
      </c>
      <c r="N13" s="219">
        <f>SUM(N10:N12)</f>
        <v>602.51235200000042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"&amp;'PRBA|0496-00'!FiscalYear-1</f>
        <v>FY 2022</v>
      </c>
      <c r="D15" s="158" t="s">
        <v>31</v>
      </c>
      <c r="E15" s="355">
        <v>517000</v>
      </c>
      <c r="F15" s="55">
        <v>4.7</v>
      </c>
      <c r="G15" s="223">
        <f>IF(OrigApprop=0,0,(G13/$J$13)*OrigApprop)</f>
        <v>371752.97835957102</v>
      </c>
      <c r="H15" s="223">
        <f>IF(OrigApprop=0,0,(H13/$J$13)*OrigApprop)</f>
        <v>66213.568169492632</v>
      </c>
      <c r="I15" s="223">
        <f>IF(G15=0,0,(I13/$J$13)*OrigApprop)</f>
        <v>79033.453470936351</v>
      </c>
      <c r="J15" s="223">
        <f>SUM(G15:I15)</f>
        <v>517000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0.29999999999999982</v>
      </c>
      <c r="G16" s="162">
        <f>G15-G13</f>
        <v>83956.108359571022</v>
      </c>
      <c r="H16" s="162">
        <f>H15-H13</f>
        <v>14953.568169492632</v>
      </c>
      <c r="I16" s="162">
        <f>I15-I13</f>
        <v>17848.790917336344</v>
      </c>
      <c r="J16" s="162">
        <f>J15-J13</f>
        <v>116758.46744639997</v>
      </c>
      <c r="K16" s="269"/>
      <c r="L16" s="56" t="str">
        <f>IF('PRBA|0496-00'!OrigApprop=0,"ERROR! Enter Original Appropriation amount in DU 3.00!","Calculated "&amp;IF('PRBA|0496-00'!AdjustedTotal&gt;0,"overfunding ","underfunding ")&amp;"is "&amp;TEXT('PRBA|0496-00'!AdjustedTotal/'PRBA|0496-00'!AppropTotal,"#.0%;(#.0% );0% ;")&amp;" of Original Appropriation")</f>
        <v>Calculated overfunding is 22.6%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4.4000000000000004</v>
      </c>
      <c r="G38" s="191">
        <f>SUMIF($E10:$E35,$E38,$G10:$G35)</f>
        <v>207762.88</v>
      </c>
      <c r="H38" s="192">
        <f>SUMIF($E10:$E35,$E38,$H10:$H35)</f>
        <v>51260</v>
      </c>
      <c r="I38" s="192">
        <f>SUMIF($E10:$E35,$E38,$I10:$I35)</f>
        <v>49441.332553600005</v>
      </c>
      <c r="J38" s="192">
        <f>SUM(G38:I38)</f>
        <v>308464.21255360002</v>
      </c>
      <c r="K38" s="166"/>
      <c r="L38" s="191">
        <f>SUMIF($E10:$E35,$E38,$L10:$L35)</f>
        <v>0</v>
      </c>
      <c r="M38" s="192">
        <f>SUMIF($E10:$E35,$E38,$M10:$M35)</f>
        <v>602.51235200000042</v>
      </c>
      <c r="N38" s="192">
        <f>SUM(L38:M38)</f>
        <v>602.51235200000042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2100</v>
      </c>
      <c r="AB38" s="338">
        <f>ROUND((AdjPermVB*CECPerm+AdjPermVBBY*CECPerm),-2)</f>
        <v>500</v>
      </c>
      <c r="AC38" s="338">
        <f>SUM(AA38:AB38)</f>
        <v>2600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80033.989999999991</v>
      </c>
      <c r="H39" s="152">
        <f>SUMIF($E10:$E35,$E39,$H10:$H35)</f>
        <v>0</v>
      </c>
      <c r="I39" s="152">
        <f>SUMIF($E10:$E35,$E39,$I10:$I35)</f>
        <v>11743.330000000002</v>
      </c>
      <c r="J39" s="152">
        <f>SUM(G39:I39)</f>
        <v>91777.319999999992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800</v>
      </c>
      <c r="AB39" s="338">
        <f>ROUND(AdjGroupVB*CECGroup,-2)</f>
        <v>100</v>
      </c>
      <c r="AC39" s="338">
        <f>SUM(AA39:AB39)</f>
        <v>900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4.4000000000000004</v>
      </c>
      <c r="G41" s="195">
        <f>SUM($G$38:$G$40)</f>
        <v>287796.87</v>
      </c>
      <c r="H41" s="162">
        <f>SUM($H$38:$H$40)</f>
        <v>51260</v>
      </c>
      <c r="I41" s="162">
        <f>SUM($I$38:$I$40)</f>
        <v>61184.662553600007</v>
      </c>
      <c r="J41" s="162">
        <f>SUM($J$38:$J$40)</f>
        <v>400241.53255360003</v>
      </c>
      <c r="K41" s="259"/>
      <c r="L41" s="195">
        <f>SUM($L$38:$L$40)</f>
        <v>0</v>
      </c>
      <c r="M41" s="162">
        <f>SUM($M$38:$M$40)</f>
        <v>602.51235200000042</v>
      </c>
      <c r="N41" s="162">
        <f>SUM(L41:M41)</f>
        <v>602.51235200000042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0.3</v>
      </c>
      <c r="G43" s="206">
        <f>ROUND(G51-G41,-2)</f>
        <v>84000</v>
      </c>
      <c r="H43" s="159">
        <f>ROUND(H51-H41,-2)</f>
        <v>15000</v>
      </c>
      <c r="I43" s="159">
        <f>ROUND(I51-I41,-2)</f>
        <v>17800</v>
      </c>
      <c r="J43" s="159">
        <f>SUM(G43:I43)</f>
        <v>116800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22.6%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0.3</v>
      </c>
      <c r="G44" s="206">
        <f>ROUND(G60-G41,-2)</f>
        <v>84000</v>
      </c>
      <c r="H44" s="159">
        <f>ROUND(H60-H41,-2)</f>
        <v>14900</v>
      </c>
      <c r="I44" s="159">
        <f>ROUND(I60-I41,-2)</f>
        <v>17800</v>
      </c>
      <c r="J44" s="159">
        <f>SUM(G44:I44)</f>
        <v>116700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22.6%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0.3</v>
      </c>
      <c r="G45" s="206">
        <f>ROUND(G67-G41-G63,-2)</f>
        <v>84000</v>
      </c>
      <c r="H45" s="206">
        <f>ROUND(H67-H41-H63,-2)</f>
        <v>14900</v>
      </c>
      <c r="I45" s="206">
        <f>ROUND(I67-I41-I63,-2)</f>
        <v>17800</v>
      </c>
      <c r="J45" s="159">
        <f>SUM(G45:I45)</f>
        <v>116700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22.6%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517000</v>
      </c>
      <c r="F51" s="272">
        <f>AppropFTP</f>
        <v>4.7</v>
      </c>
      <c r="G51" s="274">
        <f>IF(E51=0,0,(G41/$J$41)*$E$51)</f>
        <v>371752.97835957102</v>
      </c>
      <c r="H51" s="274">
        <f>IF(E51=0,0,(H41/$J$41)*$E$51)</f>
        <v>66213.568169492632</v>
      </c>
      <c r="I51" s="275">
        <f>IF(E51=0,0,(I41/$J$41)*$E$51)</f>
        <v>79033.453470936351</v>
      </c>
      <c r="J51" s="90">
        <f>SUM(G51:I51)</f>
        <v>517000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4.7</v>
      </c>
      <c r="G52" s="79">
        <f>ROUND(G51,-2)</f>
        <v>371800</v>
      </c>
      <c r="H52" s="79">
        <f>ROUND(H51,-2)</f>
        <v>66200</v>
      </c>
      <c r="I52" s="266">
        <f>ROUND(I51,-2)</f>
        <v>79000</v>
      </c>
      <c r="J52" s="80">
        <f>ROUND(J51,-2)</f>
        <v>517000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4.7</v>
      </c>
      <c r="G56" s="80">
        <f>SUM(G52:G55)</f>
        <v>371800</v>
      </c>
      <c r="H56" s="80">
        <f>SUM(H52:H55)</f>
        <v>66200</v>
      </c>
      <c r="I56" s="260">
        <f>SUM(I52:I55)</f>
        <v>79000</v>
      </c>
      <c r="J56" s="80">
        <f>SUM(J52:J55)</f>
        <v>517000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4.7</v>
      </c>
      <c r="G60" s="80">
        <f>SUM(G56:G59)</f>
        <v>371800</v>
      </c>
      <c r="H60" s="80">
        <f>SUM(H56:H59)</f>
        <v>66200</v>
      </c>
      <c r="I60" s="260">
        <f>SUM(I56:I59)</f>
        <v>79000</v>
      </c>
      <c r="J60" s="80">
        <f>SUM(J56:J59)</f>
        <v>517000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4.7</v>
      </c>
      <c r="G67" s="80">
        <f>SUM(G60:G64)</f>
        <v>371800</v>
      </c>
      <c r="H67" s="80">
        <f>SUM(H60:H64)</f>
        <v>66200</v>
      </c>
      <c r="I67" s="80">
        <f>SUM(I60:I64)</f>
        <v>79000</v>
      </c>
      <c r="J67" s="80">
        <f>SUM(J60:J64)</f>
        <v>517000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600</v>
      </c>
      <c r="J69" s="287">
        <f>SUM(G69:I69)</f>
        <v>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2100</v>
      </c>
      <c r="H72" s="287"/>
      <c r="I72" s="287">
        <f>ROUND(($G72*PermVBBY+$G72*Retire1BY),-2)</f>
        <v>500</v>
      </c>
      <c r="J72" s="113">
        <f>SUM(G72:I72)</f>
        <v>2600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800</v>
      </c>
      <c r="H73" s="287"/>
      <c r="I73" s="287">
        <f>ROUND(($G73*GroupVBBY),-2)</f>
        <v>100</v>
      </c>
      <c r="J73" s="113">
        <f t="shared" si="11"/>
        <v>900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4.7</v>
      </c>
      <c r="G75" s="80">
        <f>SUM(G67:G74)</f>
        <v>374700</v>
      </c>
      <c r="H75" s="80">
        <f>SUM(H67:H74)</f>
        <v>66200</v>
      </c>
      <c r="I75" s="80">
        <f>SUM(I67:I74)</f>
        <v>80200</v>
      </c>
      <c r="J75" s="80">
        <f>SUM(J67:K74)</f>
        <v>521100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4.7</v>
      </c>
      <c r="G80" s="80">
        <f>SUM(G75:G79)</f>
        <v>374700</v>
      </c>
      <c r="H80" s="80">
        <f>SUM(H75:H79)</f>
        <v>66200</v>
      </c>
      <c r="I80" s="80">
        <f>SUM(I75:I79)</f>
        <v>80200</v>
      </c>
      <c r="J80" s="80">
        <f>SUM(J75:J79)</f>
        <v>521100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7" priority="5">
      <formula>$J$44&lt;0</formula>
    </cfRule>
  </conditionalFormatting>
  <conditionalFormatting sqref="K43">
    <cfRule type="expression" dxfId="36" priority="4">
      <formula>$J$43&lt;0</formula>
    </cfRule>
  </conditionalFormatting>
  <conditionalFormatting sqref="L16">
    <cfRule type="expression" dxfId="35" priority="3">
      <formula>$J$16&lt;0</formula>
    </cfRule>
  </conditionalFormatting>
  <conditionalFormatting sqref="K45">
    <cfRule type="expression" dxfId="34" priority="2">
      <formula>$J$44&lt;0</formula>
    </cfRule>
  </conditionalFormatting>
  <conditionalFormatting sqref="K43:N45">
    <cfRule type="containsText" dxfId="3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0CC5E7-12E9-4EDE-B14A-849F3FC67D5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9E8A-DA44-45B4-BC4D-03F4D3D15EB9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1123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951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1121</v>
      </c>
      <c r="J5" s="404"/>
      <c r="K5" s="404"/>
      <c r="L5" s="403"/>
      <c r="M5" s="352" t="s">
        <v>115</v>
      </c>
      <c r="N5" s="32" t="s">
        <v>1122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"&amp;'PRBB|0250-00'!FiscalYear-1&amp;" SALARY"</f>
        <v>FY 2022 SALARY</v>
      </c>
      <c r="H8" s="50" t="str">
        <f>"FY "&amp;'PRBB|0250-00'!FiscalYear-1&amp;" HEALTH BENEFITS"</f>
        <v>FY 2022 HEALTH BENEFITS</v>
      </c>
      <c r="I8" s="50" t="str">
        <f>"FY "&amp;'PRBB|0250-00'!FiscalYear-1&amp;" VAR BENEFITS"</f>
        <v>FY 2022 VAR BENEFITS</v>
      </c>
      <c r="J8" s="50" t="str">
        <f>"FY "&amp;'PRBB|0250-00'!FiscalYear-1&amp;" TOTAL"</f>
        <v>FY 2022 TOTAL</v>
      </c>
      <c r="K8" s="50" t="str">
        <f>"FY "&amp;'PRBB|0250-00'!FiscalYear&amp;" SALARY CHANGE"</f>
        <v>FY 2023 SALARY CHANGE</v>
      </c>
      <c r="L8" s="50" t="str">
        <f>"FY "&amp;'PRBB|0250-00'!FiscalYear&amp;" CHG HEALTH BENEFITS"</f>
        <v>FY 2023 CHG HEALTH BENEFITS</v>
      </c>
      <c r="M8" s="50" t="str">
        <f>"FY "&amp;'PRBB|0250-00'!FiscalYear&amp;"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[0]!PRBB025000col_INC_FTI</f>
        <v>7.42</v>
      </c>
      <c r="G10" s="218">
        <f>[0]!PRBB025000col_FTI_SALARY_PERM</f>
        <v>376747.28</v>
      </c>
      <c r="H10" s="218">
        <f>[0]!PRBB025000col_HEALTH_PERM</f>
        <v>86443</v>
      </c>
      <c r="I10" s="218">
        <f>[0]!PRBB025000col_TOT_VB_PERM</f>
        <v>89654.550221599988</v>
      </c>
      <c r="J10" s="219">
        <f>SUM(G10:I10)</f>
        <v>552844.83022160002</v>
      </c>
      <c r="K10" s="219">
        <f>[0]!PRBB025000col_1_27TH_PP</f>
        <v>0</v>
      </c>
      <c r="L10" s="218">
        <f>[0]!PRBB025000col_HEALTH_PERM_CHG</f>
        <v>0</v>
      </c>
      <c r="M10" s="218">
        <f>[0]!PRBB025000col_TOT_VB_PERM_CHG</f>
        <v>1092.5671120000006</v>
      </c>
      <c r="N10" s="218">
        <f>SUM(L10:M10)</f>
        <v>1092.5671120000006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3800</v>
      </c>
      <c r="AB10" s="335">
        <f>ROUND(PermVarBen*CECPerm+(CECPerm*PermVarBenChg),-2)</f>
        <v>900</v>
      </c>
      <c r="AC10" s="335">
        <f>SUM(AA10:AB10)</f>
        <v>4700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[0]!PRBB025000col_Group_Salary</f>
        <v>141658.01999999999</v>
      </c>
      <c r="H11" s="218">
        <v>0</v>
      </c>
      <c r="I11" s="218">
        <f>[0]!PRBB025000col_Group_Ben</f>
        <v>42239.88</v>
      </c>
      <c r="J11" s="219">
        <f>SUM(G11:I11)</f>
        <v>183897.9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1400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[0]!PRBB025000col_TOTAL_ELECT_PCN_FTI</f>
        <v>0</v>
      </c>
      <c r="G12" s="218">
        <f>[0]!PRBB025000col_FTI_SALARY_ELECT</f>
        <v>0</v>
      </c>
      <c r="H12" s="218">
        <f>[0]!PRBB025000col_HEALTH_ELECT</f>
        <v>0</v>
      </c>
      <c r="I12" s="218">
        <f>[0]!PRBB025000col_TOT_VB_ELECT</f>
        <v>0</v>
      </c>
      <c r="J12" s="219">
        <f>SUM(G12:I12)</f>
        <v>0</v>
      </c>
      <c r="K12" s="268"/>
      <c r="L12" s="218">
        <f>[0]!PRBB025000col_HEALTH_ELECT_CHG</f>
        <v>0</v>
      </c>
      <c r="M12" s="218">
        <f>[0]!PRBB025000col_TOT_VB_ELECT_CHG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7.42</v>
      </c>
      <c r="G13" s="221">
        <f>SUM(G10:G12)</f>
        <v>518405.30000000005</v>
      </c>
      <c r="H13" s="221">
        <f>SUM(H10:H12)</f>
        <v>86443</v>
      </c>
      <c r="I13" s="221">
        <f>SUM(I10:I12)</f>
        <v>131894.43022159999</v>
      </c>
      <c r="J13" s="219">
        <f>SUM(G13:I13)</f>
        <v>736742.73022160004</v>
      </c>
      <c r="K13" s="268"/>
      <c r="L13" s="219">
        <f>SUM(L10:L12)</f>
        <v>0</v>
      </c>
      <c r="M13" s="219">
        <f>SUM(M10:M12)</f>
        <v>1092.5671120000006</v>
      </c>
      <c r="N13" s="219">
        <f>SUM(N10:N12)</f>
        <v>1092.5671120000006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"&amp;'PRBB|0250-00'!FiscalYear-1</f>
        <v>FY 2022</v>
      </c>
      <c r="D15" s="158" t="s">
        <v>31</v>
      </c>
      <c r="E15" s="355">
        <v>1017500</v>
      </c>
      <c r="F15" s="55">
        <v>10.119999999999999</v>
      </c>
      <c r="G15" s="223">
        <f>IF(OrigApprop=0,0,(G13/$J$13)*OrigApprop)</f>
        <v>715958.73445720132</v>
      </c>
      <c r="H15" s="223">
        <f>IF(OrigApprop=0,0,(H13/$J$13)*OrigApprop)</f>
        <v>119384.62219171727</v>
      </c>
      <c r="I15" s="223">
        <f>IF(G15=0,0,(I13/$J$13)*OrigApprop)</f>
        <v>182156.64335108141</v>
      </c>
      <c r="J15" s="223">
        <f>SUM(G15:I15)</f>
        <v>1017500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2.6999999999999993</v>
      </c>
      <c r="G16" s="162">
        <f>G15-G13</f>
        <v>197553.43445720128</v>
      </c>
      <c r="H16" s="162">
        <f>H15-H13</f>
        <v>32941.622191717266</v>
      </c>
      <c r="I16" s="162">
        <f>I15-I13</f>
        <v>50262.213129481417</v>
      </c>
      <c r="J16" s="162">
        <f>J15-J13</f>
        <v>280757.26977839996</v>
      </c>
      <c r="K16" s="269"/>
      <c r="L16" s="56" t="str">
        <f>IF('PRBB|0250-00'!OrigApprop=0,"ERROR! Enter Original Appropriation amount in DU 3.00!","Calculated "&amp;IF('PRBB|0250-00'!AdjustedTotal&gt;0,"overfunding ","underfunding ")&amp;"is "&amp;TEXT('PRBB|0250-00'!AdjustedTotal/'PRBB|0250-00'!AppropTotal,"#.0%;(#.0% );0% ;")&amp;" of Original Appropriation")</f>
        <v>Calculated overfunding is 27.6%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7.42</v>
      </c>
      <c r="G38" s="191">
        <f>SUMIF($E10:$E35,$E38,$G10:$G35)</f>
        <v>376747.28</v>
      </c>
      <c r="H38" s="192">
        <f>SUMIF($E10:$E35,$E38,$H10:$H35)</f>
        <v>86443</v>
      </c>
      <c r="I38" s="192">
        <f>SUMIF($E10:$E35,$E38,$I10:$I35)</f>
        <v>89654.550221599988</v>
      </c>
      <c r="J38" s="192">
        <f>SUM(G38:I38)</f>
        <v>552844.83022160002</v>
      </c>
      <c r="K38" s="166"/>
      <c r="L38" s="191">
        <f>SUMIF($E10:$E35,$E38,$L10:$L35)</f>
        <v>0</v>
      </c>
      <c r="M38" s="192">
        <f>SUMIF($E10:$E35,$E38,$M10:$M35)</f>
        <v>1092.5671120000006</v>
      </c>
      <c r="N38" s="192">
        <f>SUM(L38:M38)</f>
        <v>1092.5671120000006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3800</v>
      </c>
      <c r="AB38" s="338">
        <f>ROUND((AdjPermVB*CECPerm+AdjPermVBBY*CECPerm),-2)</f>
        <v>900</v>
      </c>
      <c r="AC38" s="338">
        <f>SUM(AA38:AB38)</f>
        <v>4700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141658.01999999999</v>
      </c>
      <c r="H39" s="152">
        <f>SUMIF($E10:$E35,$E39,$H10:$H35)</f>
        <v>0</v>
      </c>
      <c r="I39" s="152">
        <f>SUMIF($E10:$E35,$E39,$I10:$I35)</f>
        <v>42239.88</v>
      </c>
      <c r="J39" s="152">
        <f>SUM(G39:I39)</f>
        <v>183897.9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1400</v>
      </c>
      <c r="AB39" s="338">
        <f>ROUND(AdjGroupVB*CECGroup,-2)</f>
        <v>400</v>
      </c>
      <c r="AC39" s="338">
        <f>SUM(AA39:AB39)</f>
        <v>1800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7.42</v>
      </c>
      <c r="G41" s="195">
        <f>SUM($G$38:$G$40)</f>
        <v>518405.30000000005</v>
      </c>
      <c r="H41" s="162">
        <f>SUM($H$38:$H$40)</f>
        <v>86443</v>
      </c>
      <c r="I41" s="162">
        <f>SUM($I$38:$I$40)</f>
        <v>131894.43022159999</v>
      </c>
      <c r="J41" s="162">
        <f>SUM($J$38:$J$40)</f>
        <v>736742.73022160004</v>
      </c>
      <c r="K41" s="259"/>
      <c r="L41" s="195">
        <f>SUM($L$38:$L$40)</f>
        <v>0</v>
      </c>
      <c r="M41" s="162">
        <f>SUM($M$38:$M$40)</f>
        <v>1092.5671120000006</v>
      </c>
      <c r="N41" s="162">
        <f>SUM(L41:M41)</f>
        <v>1092.5671120000006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2.7</v>
      </c>
      <c r="G43" s="206">
        <f>ROUND(G51-G41,-2)</f>
        <v>197600</v>
      </c>
      <c r="H43" s="159">
        <f>ROUND(H51-H41,-2)</f>
        <v>32900</v>
      </c>
      <c r="I43" s="159">
        <f>ROUND(I51-I41,-2)</f>
        <v>50300</v>
      </c>
      <c r="J43" s="159">
        <f>SUM(G43:I43)</f>
        <v>280800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27.6%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2.7</v>
      </c>
      <c r="G44" s="206">
        <f>ROUND(G60-G41,-2)</f>
        <v>197600</v>
      </c>
      <c r="H44" s="159">
        <f>ROUND(H60-H41,-2)</f>
        <v>33000</v>
      </c>
      <c r="I44" s="159">
        <f>ROUND(I60-I41,-2)</f>
        <v>50300</v>
      </c>
      <c r="J44" s="159">
        <f>SUM(G44:I44)</f>
        <v>280900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27.6%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2.7</v>
      </c>
      <c r="G45" s="206">
        <f>ROUND(G67-G41-G63,-2)</f>
        <v>197600</v>
      </c>
      <c r="H45" s="206">
        <f>ROUND(H67-H41-H63,-2)</f>
        <v>33000</v>
      </c>
      <c r="I45" s="206">
        <f>ROUND(I67-I41-I63,-2)</f>
        <v>50300</v>
      </c>
      <c r="J45" s="159">
        <f>SUM(G45:I45)</f>
        <v>280900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27.6%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1017500</v>
      </c>
      <c r="F51" s="272">
        <f>AppropFTP</f>
        <v>10.119999999999999</v>
      </c>
      <c r="G51" s="274">
        <f>IF(E51=0,0,(G41/$J$41)*$E$51)</f>
        <v>715958.73445720132</v>
      </c>
      <c r="H51" s="274">
        <f>IF(E51=0,0,(H41/$J$41)*$E$51)</f>
        <v>119384.62219171727</v>
      </c>
      <c r="I51" s="275">
        <f>IF(E51=0,0,(I41/$J$41)*$E$51)</f>
        <v>182156.64335108141</v>
      </c>
      <c r="J51" s="90">
        <f>SUM(G51:I51)</f>
        <v>1017500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10.119999999999999</v>
      </c>
      <c r="G52" s="79">
        <f>ROUND(G51,-2)</f>
        <v>716000</v>
      </c>
      <c r="H52" s="79">
        <f>ROUND(H51,-2)</f>
        <v>119400</v>
      </c>
      <c r="I52" s="266">
        <f>ROUND(I51,-2)</f>
        <v>182200</v>
      </c>
      <c r="J52" s="80">
        <f>ROUND(J51,-2)</f>
        <v>1017500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10.119999999999999</v>
      </c>
      <c r="G56" s="80">
        <f>SUM(G52:G55)</f>
        <v>716000</v>
      </c>
      <c r="H56" s="80">
        <f>SUM(H52:H55)</f>
        <v>119400</v>
      </c>
      <c r="I56" s="260">
        <f>SUM(I52:I55)</f>
        <v>182200</v>
      </c>
      <c r="J56" s="80">
        <f>SUM(J52:J55)</f>
        <v>1017500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10.119999999999999</v>
      </c>
      <c r="G60" s="80">
        <f>SUM(G56:G59)</f>
        <v>716000</v>
      </c>
      <c r="H60" s="80">
        <f>SUM(H56:H59)</f>
        <v>119400</v>
      </c>
      <c r="I60" s="260">
        <f>SUM(I56:I59)</f>
        <v>182200</v>
      </c>
      <c r="J60" s="80">
        <f>SUM(J56:J59)</f>
        <v>1017500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10.119999999999999</v>
      </c>
      <c r="G67" s="80">
        <f>SUM(G60:G64)</f>
        <v>716000</v>
      </c>
      <c r="H67" s="80">
        <f>SUM(H60:H64)</f>
        <v>119400</v>
      </c>
      <c r="I67" s="80">
        <f>SUM(I60:I64)</f>
        <v>182200</v>
      </c>
      <c r="J67" s="80">
        <f>SUM(J60:J64)</f>
        <v>1017500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1100</v>
      </c>
      <c r="J69" s="287">
        <f>SUM(G69:I69)</f>
        <v>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3800</v>
      </c>
      <c r="H72" s="287"/>
      <c r="I72" s="287">
        <f>ROUND(($G72*PermVBBY+$G72*Retire1BY),-2)</f>
        <v>900</v>
      </c>
      <c r="J72" s="113">
        <f>SUM(G72:I72)</f>
        <v>4700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1400</v>
      </c>
      <c r="H73" s="287"/>
      <c r="I73" s="287">
        <f>ROUND(($G73*GroupVBBY),-2)</f>
        <v>200</v>
      </c>
      <c r="J73" s="113">
        <f t="shared" si="11"/>
        <v>1600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10.119999999999999</v>
      </c>
      <c r="G75" s="80">
        <f>SUM(G67:G74)</f>
        <v>721200</v>
      </c>
      <c r="H75" s="80">
        <f>SUM(H67:H74)</f>
        <v>119400</v>
      </c>
      <c r="I75" s="80">
        <f>SUM(I67:I74)</f>
        <v>184400</v>
      </c>
      <c r="J75" s="80">
        <f>SUM(J67:K74)</f>
        <v>1024900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10.119999999999999</v>
      </c>
      <c r="G80" s="80">
        <f>SUM(G75:G79)</f>
        <v>721200</v>
      </c>
      <c r="H80" s="80">
        <f>SUM(H75:H79)</f>
        <v>119400</v>
      </c>
      <c r="I80" s="80">
        <f>SUM(I75:I79)</f>
        <v>184400</v>
      </c>
      <c r="J80" s="80">
        <f>SUM(J75:J79)</f>
        <v>1024900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2" priority="5">
      <formula>$J$44&lt;0</formula>
    </cfRule>
  </conditionalFormatting>
  <conditionalFormatting sqref="K43">
    <cfRule type="expression" dxfId="31" priority="4">
      <formula>$J$43&lt;0</formula>
    </cfRule>
  </conditionalFormatting>
  <conditionalFormatting sqref="L16">
    <cfRule type="expression" dxfId="30" priority="3">
      <formula>$J$16&lt;0</formula>
    </cfRule>
  </conditionalFormatting>
  <conditionalFormatting sqref="K45">
    <cfRule type="expression" dxfId="29" priority="2">
      <formula>$J$44&lt;0</formula>
    </cfRule>
  </conditionalFormatting>
  <conditionalFormatting sqref="K43:N45">
    <cfRule type="containsText" dxfId="2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723028-75AB-4D6D-92C8-5C0A53BC1FD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6207-650C-41B4-B796-12477FA916FB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1162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951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1160</v>
      </c>
      <c r="J5" s="404"/>
      <c r="K5" s="404"/>
      <c r="L5" s="403"/>
      <c r="M5" s="352" t="s">
        <v>115</v>
      </c>
      <c r="N5" s="32" t="s">
        <v>1161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"&amp;'PRBB|0348-00'!FiscalYear-1&amp;" SALARY"</f>
        <v>FY 2022 SALARY</v>
      </c>
      <c r="H8" s="50" t="str">
        <f>"FY "&amp;'PRBB|0348-00'!FiscalYear-1&amp;" HEALTH BENEFITS"</f>
        <v>FY 2022 HEALTH BENEFITS</v>
      </c>
      <c r="I8" s="50" t="str">
        <f>"FY "&amp;'PRBB|0348-00'!FiscalYear-1&amp;" VAR BENEFITS"</f>
        <v>FY 2022 VAR BENEFITS</v>
      </c>
      <c r="J8" s="50" t="str">
        <f>"FY "&amp;'PRBB|0348-00'!FiscalYear-1&amp;" TOTAL"</f>
        <v>FY 2022 TOTAL</v>
      </c>
      <c r="K8" s="50" t="str">
        <f>"FY "&amp;'PRBB|0348-00'!FiscalYear&amp;" SALARY CHANGE"</f>
        <v>FY 2023 SALARY CHANGE</v>
      </c>
      <c r="L8" s="50" t="str">
        <f>"FY "&amp;'PRBB|0348-00'!FiscalYear&amp;" CHG HEALTH BENEFITS"</f>
        <v>FY 2023 CHG HEALTH BENEFITS</v>
      </c>
      <c r="M8" s="50" t="str">
        <f>"FY "&amp;'PRBB|0348-00'!FiscalYear&amp;"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[0]!PRBB034800col_INC_FTI</f>
        <v>11.120000000000003</v>
      </c>
      <c r="G10" s="218">
        <f>[0]!PRBB034800col_FTI_SALARY_PERM</f>
        <v>511281.68</v>
      </c>
      <c r="H10" s="218">
        <f>[0]!PRBB034800col_HEALTH_PERM</f>
        <v>132460.5</v>
      </c>
      <c r="I10" s="218">
        <f>[0]!PRBB034800col_TOT_VB_PERM</f>
        <v>121669.70138960001</v>
      </c>
      <c r="J10" s="219">
        <f>SUM(G10:I10)</f>
        <v>765411.88138959999</v>
      </c>
      <c r="K10" s="219">
        <f>[0]!PRBB034800col_1_27TH_PP</f>
        <v>0</v>
      </c>
      <c r="L10" s="218">
        <f>[0]!PRBB034800col_HEALTH_PERM_CHG</f>
        <v>0</v>
      </c>
      <c r="M10" s="218">
        <f>[0]!PRBB034800col_TOT_VB_PERM_CHG</f>
        <v>1482.7168720000009</v>
      </c>
      <c r="N10" s="218">
        <f>SUM(L10:M10)</f>
        <v>1482.7168720000009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5100</v>
      </c>
      <c r="AB10" s="335">
        <f>ROUND(PermVarBen*CECPerm+(CECPerm*PermVarBenChg),-2)</f>
        <v>1200</v>
      </c>
      <c r="AC10" s="335">
        <f>SUM(AA10:AB10)</f>
        <v>6300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[0]!PRBB034800col_Group_Salary</f>
        <v>158090.68</v>
      </c>
      <c r="H11" s="218">
        <v>0</v>
      </c>
      <c r="I11" s="218">
        <f>[0]!PRBB034800col_Group_Ben</f>
        <v>40198.57</v>
      </c>
      <c r="J11" s="219">
        <f>SUM(G11:I11)</f>
        <v>198289.25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1600</v>
      </c>
      <c r="AB11" s="335">
        <f>ROUND((GroupSalary*GroupVBBY)*CECGroup,-2)</f>
        <v>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[0]!PRBB034800col_TOTAL_ELECT_PCN_FTI</f>
        <v>0</v>
      </c>
      <c r="G12" s="218">
        <f>[0]!PRBB034800col_FTI_SALARY_ELECT</f>
        <v>0</v>
      </c>
      <c r="H12" s="218">
        <f>[0]!PRBB034800col_HEALTH_ELECT</f>
        <v>0</v>
      </c>
      <c r="I12" s="218">
        <f>[0]!PRBB034800col_TOT_VB_ELECT</f>
        <v>0</v>
      </c>
      <c r="J12" s="219">
        <f>SUM(G12:I12)</f>
        <v>0</v>
      </c>
      <c r="K12" s="268"/>
      <c r="L12" s="218">
        <f>[0]!PRBB034800col_HEALTH_ELECT_CHG</f>
        <v>0</v>
      </c>
      <c r="M12" s="218">
        <f>[0]!PRBB034800col_TOT_VB_ELECT_CHG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11.120000000000003</v>
      </c>
      <c r="G13" s="221">
        <f>SUM(G10:G12)</f>
        <v>669372.36</v>
      </c>
      <c r="H13" s="221">
        <f>SUM(H10:H12)</f>
        <v>132460.5</v>
      </c>
      <c r="I13" s="221">
        <f>SUM(I10:I12)</f>
        <v>161868.27138960001</v>
      </c>
      <c r="J13" s="219">
        <f>SUM(G13:I13)</f>
        <v>963701.13138959999</v>
      </c>
      <c r="K13" s="268"/>
      <c r="L13" s="219">
        <f>SUM(L10:L12)</f>
        <v>0</v>
      </c>
      <c r="M13" s="219">
        <f>SUM(M10:M12)</f>
        <v>1482.7168720000009</v>
      </c>
      <c r="N13" s="219">
        <f>SUM(N10:N12)</f>
        <v>1482.7168720000009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"&amp;'PRBB|0348-00'!FiscalYear-1</f>
        <v>FY 2022</v>
      </c>
      <c r="D15" s="158" t="s">
        <v>31</v>
      </c>
      <c r="E15" s="355">
        <v>1089400</v>
      </c>
      <c r="F15" s="55">
        <v>12.02</v>
      </c>
      <c r="G15" s="223">
        <f>IF(OrigApprop=0,0,(G13/$J$13)*OrigApprop)</f>
        <v>756680.90991292731</v>
      </c>
      <c r="H15" s="223">
        <f>IF(OrigApprop=0,0,(H13/$J$13)*OrigApprop)</f>
        <v>149737.78072868337</v>
      </c>
      <c r="I15" s="223">
        <f>IF(G15=0,0,(I13/$J$13)*OrigApprop)</f>
        <v>182981.30935838938</v>
      </c>
      <c r="J15" s="223">
        <f>SUM(G15:I15)</f>
        <v>1089400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0.8999999999999968</v>
      </c>
      <c r="G16" s="162">
        <f>G15-G13</f>
        <v>87308.549912927323</v>
      </c>
      <c r="H16" s="162">
        <f>H15-H13</f>
        <v>17277.28072868337</v>
      </c>
      <c r="I16" s="162">
        <f>I15-I13</f>
        <v>21113.037968789373</v>
      </c>
      <c r="J16" s="162">
        <f>J15-J13</f>
        <v>125698.86861040001</v>
      </c>
      <c r="K16" s="269"/>
      <c r="L16" s="56" t="str">
        <f>IF('PRBB|0348-00'!OrigApprop=0,"ERROR! Enter Original Appropriation amount in DU 3.00!","Calculated "&amp;IF('PRBB|0348-00'!AdjustedTotal&gt;0,"overfunding ","underfunding ")&amp;"is "&amp;TEXT('PRBB|0348-00'!AdjustedTotal/'PRBB|0348-00'!AppropTotal,"#.0%;(#.0% );0% ;")&amp;" of Original Appropriation")</f>
        <v>Calculated overfunding is 11.5%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11.120000000000003</v>
      </c>
      <c r="G38" s="191">
        <f>SUMIF($E10:$E35,$E38,$G10:$G35)</f>
        <v>511281.68</v>
      </c>
      <c r="H38" s="192">
        <f>SUMIF($E10:$E35,$E38,$H10:$H35)</f>
        <v>132460.5</v>
      </c>
      <c r="I38" s="192">
        <f>SUMIF($E10:$E35,$E38,$I10:$I35)</f>
        <v>121669.70138960001</v>
      </c>
      <c r="J38" s="192">
        <f>SUM(G38:I38)</f>
        <v>765411.88138959999</v>
      </c>
      <c r="K38" s="166"/>
      <c r="L38" s="191">
        <f>SUMIF($E10:$E35,$E38,$L10:$L35)</f>
        <v>0</v>
      </c>
      <c r="M38" s="192">
        <f>SUMIF($E10:$E35,$E38,$M10:$M35)</f>
        <v>1482.7168720000009</v>
      </c>
      <c r="N38" s="192">
        <f>SUM(L38:M38)</f>
        <v>1482.7168720000009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5100</v>
      </c>
      <c r="AB38" s="338">
        <f>ROUND((AdjPermVB*CECPerm+AdjPermVBBY*CECPerm),-2)</f>
        <v>1200</v>
      </c>
      <c r="AC38" s="338">
        <f>SUM(AA38:AB38)</f>
        <v>6300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158090.68</v>
      </c>
      <c r="H39" s="152">
        <f>SUMIF($E10:$E35,$E39,$H10:$H35)</f>
        <v>0</v>
      </c>
      <c r="I39" s="152">
        <f>SUMIF($E10:$E35,$E39,$I10:$I35)</f>
        <v>40198.57</v>
      </c>
      <c r="J39" s="152">
        <f>SUM(G39:I39)</f>
        <v>198289.25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1600</v>
      </c>
      <c r="AB39" s="338">
        <f>ROUND(AdjGroupVB*CECGroup,-2)</f>
        <v>400</v>
      </c>
      <c r="AC39" s="338">
        <f>SUM(AA39:AB39)</f>
        <v>2000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11.120000000000003</v>
      </c>
      <c r="G41" s="195">
        <f>SUM($G$38:$G$40)</f>
        <v>669372.36</v>
      </c>
      <c r="H41" s="162">
        <f>SUM($H$38:$H$40)</f>
        <v>132460.5</v>
      </c>
      <c r="I41" s="162">
        <f>SUM($I$38:$I$40)</f>
        <v>161868.27138960001</v>
      </c>
      <c r="J41" s="162">
        <f>SUM($J$38:$J$40)</f>
        <v>963701.13138959999</v>
      </c>
      <c r="K41" s="259"/>
      <c r="L41" s="195">
        <f>SUM($L$38:$L$40)</f>
        <v>0</v>
      </c>
      <c r="M41" s="162">
        <f>SUM($M$38:$M$40)</f>
        <v>1482.7168720000009</v>
      </c>
      <c r="N41" s="162">
        <f>SUM(L41:M41)</f>
        <v>1482.7168720000009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0.9</v>
      </c>
      <c r="G43" s="206">
        <f>ROUND(G51-G41,-2)</f>
        <v>87300</v>
      </c>
      <c r="H43" s="159">
        <f>ROUND(H51-H41,-2)</f>
        <v>17300</v>
      </c>
      <c r="I43" s="159">
        <f>ROUND(I51-I41,-2)</f>
        <v>21100</v>
      </c>
      <c r="J43" s="159">
        <f>SUM(G43:I43)</f>
        <v>125700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11.5%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0.9</v>
      </c>
      <c r="G44" s="206">
        <f>ROUND(G60-G41,-2)</f>
        <v>87300</v>
      </c>
      <c r="H44" s="159">
        <f>ROUND(H60-H41,-2)</f>
        <v>17200</v>
      </c>
      <c r="I44" s="159">
        <f>ROUND(I60-I41,-2)</f>
        <v>21100</v>
      </c>
      <c r="J44" s="159">
        <f>SUM(G44:I44)</f>
        <v>125600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11.5%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0.9</v>
      </c>
      <c r="G45" s="206">
        <f>ROUND(G67-G41-G63,-2)</f>
        <v>87300</v>
      </c>
      <c r="H45" s="206">
        <f>ROUND(H67-H41-H63,-2)</f>
        <v>17200</v>
      </c>
      <c r="I45" s="206">
        <f>ROUND(I67-I41-I63,-2)</f>
        <v>21100</v>
      </c>
      <c r="J45" s="159">
        <f>SUM(G45:I45)</f>
        <v>125600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11.5%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1089400</v>
      </c>
      <c r="F51" s="272">
        <f>AppropFTP</f>
        <v>12.02</v>
      </c>
      <c r="G51" s="274">
        <f>IF(E51=0,0,(G41/$J$41)*$E$51)</f>
        <v>756680.90991292731</v>
      </c>
      <c r="H51" s="274">
        <f>IF(E51=0,0,(H41/$J$41)*$E$51)</f>
        <v>149737.78072868337</v>
      </c>
      <c r="I51" s="275">
        <f>IF(E51=0,0,(I41/$J$41)*$E$51)</f>
        <v>182981.30935838938</v>
      </c>
      <c r="J51" s="90">
        <f>SUM(G51:I51)</f>
        <v>1089400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12.02</v>
      </c>
      <c r="G52" s="79">
        <f>ROUND(G51,-2)</f>
        <v>756700</v>
      </c>
      <c r="H52" s="79">
        <f>ROUND(H51,-2)</f>
        <v>149700</v>
      </c>
      <c r="I52" s="266">
        <f>ROUND(I51,-2)</f>
        <v>183000</v>
      </c>
      <c r="J52" s="80">
        <f>ROUND(J51,-2)</f>
        <v>1089400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12.02</v>
      </c>
      <c r="G56" s="80">
        <f>SUM(G52:G55)</f>
        <v>756700</v>
      </c>
      <c r="H56" s="80">
        <f>SUM(H52:H55)</f>
        <v>149700</v>
      </c>
      <c r="I56" s="260">
        <f>SUM(I52:I55)</f>
        <v>183000</v>
      </c>
      <c r="J56" s="80">
        <f>SUM(J52:J55)</f>
        <v>1089400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12.02</v>
      </c>
      <c r="G60" s="80">
        <f>SUM(G56:G59)</f>
        <v>756700</v>
      </c>
      <c r="H60" s="80">
        <f>SUM(H56:H59)</f>
        <v>149700</v>
      </c>
      <c r="I60" s="260">
        <f>SUM(I56:I59)</f>
        <v>183000</v>
      </c>
      <c r="J60" s="80">
        <f>SUM(J56:J59)</f>
        <v>1089400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12.02</v>
      </c>
      <c r="G67" s="80">
        <f>SUM(G60:G64)</f>
        <v>756700</v>
      </c>
      <c r="H67" s="80">
        <f>SUM(H60:H64)</f>
        <v>149700</v>
      </c>
      <c r="I67" s="80">
        <f>SUM(I60:I64)</f>
        <v>183000</v>
      </c>
      <c r="J67" s="80">
        <f>SUM(J60:J64)</f>
        <v>1089400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1500</v>
      </c>
      <c r="J69" s="287">
        <f>SUM(G69:I69)</f>
        <v>1500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5100</v>
      </c>
      <c r="H72" s="287"/>
      <c r="I72" s="287">
        <f>ROUND(($G72*PermVBBY+$G72*Retire1BY),-2)</f>
        <v>1200</v>
      </c>
      <c r="J72" s="113">
        <f>SUM(G72:I72)</f>
        <v>6300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1600</v>
      </c>
      <c r="H73" s="287"/>
      <c r="I73" s="287">
        <f>ROUND(($G73*GroupVBBY),-2)</f>
        <v>200</v>
      </c>
      <c r="J73" s="113">
        <f t="shared" si="11"/>
        <v>1800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12.02</v>
      </c>
      <c r="G75" s="80">
        <f>SUM(G67:G74)</f>
        <v>763400</v>
      </c>
      <c r="H75" s="80">
        <f>SUM(H67:H74)</f>
        <v>149700</v>
      </c>
      <c r="I75" s="80">
        <f>SUM(I67:I74)</f>
        <v>185900</v>
      </c>
      <c r="J75" s="80">
        <f>SUM(J67:K74)</f>
        <v>1099000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12.02</v>
      </c>
      <c r="G80" s="80">
        <f>SUM(G75:G79)</f>
        <v>763400</v>
      </c>
      <c r="H80" s="80">
        <f>SUM(H75:H79)</f>
        <v>149700</v>
      </c>
      <c r="I80" s="80">
        <f>SUM(I75:I79)</f>
        <v>185900</v>
      </c>
      <c r="J80" s="80">
        <f>SUM(J75:J79)</f>
        <v>1099000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7" priority="5">
      <formula>$J$44&lt;0</formula>
    </cfRule>
  </conditionalFormatting>
  <conditionalFormatting sqref="K43">
    <cfRule type="expression" dxfId="26" priority="4">
      <formula>$J$43&lt;0</formula>
    </cfRule>
  </conditionalFormatting>
  <conditionalFormatting sqref="L16">
    <cfRule type="expression" dxfId="25" priority="3">
      <formula>$J$16&lt;0</formula>
    </cfRule>
  </conditionalFormatting>
  <conditionalFormatting sqref="K45">
    <cfRule type="expression" dxfId="24" priority="2">
      <formula>$J$44&lt;0</formula>
    </cfRule>
  </conditionalFormatting>
  <conditionalFormatting sqref="K43:N45">
    <cfRule type="containsText" dxfId="2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948C9B-6250-420C-9624-06A0518A344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FFB7-F7EF-4E03-B9BC-516A8A025D5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1168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1015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1166</v>
      </c>
      <c r="J5" s="404"/>
      <c r="K5" s="404"/>
      <c r="L5" s="403"/>
      <c r="M5" s="352" t="s">
        <v>115</v>
      </c>
      <c r="N5" s="32" t="s">
        <v>1167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"&amp;'PRBD|0410-00'!FiscalYear-1&amp;" SALARY"</f>
        <v>FY 2022 SALARY</v>
      </c>
      <c r="H8" s="50" t="str">
        <f>"FY "&amp;'PRBD|0410-00'!FiscalYear-1&amp;" HEALTH BENEFITS"</f>
        <v>FY 2022 HEALTH BENEFITS</v>
      </c>
      <c r="I8" s="50" t="str">
        <f>"FY "&amp;'PRBD|0410-00'!FiscalYear-1&amp;" VAR BENEFITS"</f>
        <v>FY 2022 VAR BENEFITS</v>
      </c>
      <c r="J8" s="50" t="str">
        <f>"FY "&amp;'PRBD|0410-00'!FiscalYear-1&amp;" TOTAL"</f>
        <v>FY 2022 TOTAL</v>
      </c>
      <c r="K8" s="50" t="str">
        <f>"FY "&amp;'PRBD|0410-00'!FiscalYear&amp;" SALARY CHANGE"</f>
        <v>FY 2023 SALARY CHANGE</v>
      </c>
      <c r="L8" s="50" t="str">
        <f>"FY "&amp;'PRBD|0410-00'!FiscalYear&amp;" CHG HEALTH BENEFITS"</f>
        <v>FY 2023 CHG HEALTH BENEFITS</v>
      </c>
      <c r="M8" s="50" t="str">
        <f>"FY "&amp;'PRBD|0410-00'!FiscalYear&amp;"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[0]!PRBD041001col_INC_FTI</f>
        <v>4.0625</v>
      </c>
      <c r="G10" s="218">
        <f>[0]!PRBD041001col_FTI_SALARY_PERM</f>
        <v>166114.52000000002</v>
      </c>
      <c r="H10" s="218">
        <f>[0]!PRBD041001col_HEALTH_PERM</f>
        <v>48930</v>
      </c>
      <c r="I10" s="218">
        <f>[0]!PRBD041001col_TOT_VB_PERM</f>
        <v>39530.272324400001</v>
      </c>
      <c r="J10" s="219">
        <f>SUM(G10:I10)</f>
        <v>254574.79232440001</v>
      </c>
      <c r="K10" s="219">
        <f>[0]!PRBD041001col_1_27TH_PP</f>
        <v>0</v>
      </c>
      <c r="L10" s="218">
        <f>[0]!PRBD041001col_HEALTH_PERM_CHG</f>
        <v>0</v>
      </c>
      <c r="M10" s="218">
        <f>[0]!PRBD041001col_TOT_VB_PERM_CHG</f>
        <v>481.73210800000027</v>
      </c>
      <c r="N10" s="218">
        <f>SUM(L10:M10)</f>
        <v>481.73210800000027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1700</v>
      </c>
      <c r="AB10" s="335">
        <f>ROUND(PermVarBen*CECPerm+(CECPerm*PermVarBenChg),-2)</f>
        <v>400</v>
      </c>
      <c r="AC10" s="335">
        <f>SUM(AA10:AB10)</f>
        <v>2100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[0]!PRBD041001col_Group_Salary</f>
        <v>449427.45</v>
      </c>
      <c r="H11" s="218">
        <v>0</v>
      </c>
      <c r="I11" s="218">
        <f>[0]!PRBD041001col_Group_Ben</f>
        <v>59231.729999999996</v>
      </c>
      <c r="J11" s="219">
        <f>SUM(G11:I11)</f>
        <v>508659.18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4500</v>
      </c>
      <c r="AB11" s="335">
        <f>ROUND((GroupSalary*GroupVBBY)*CECGroup,-2)</f>
        <v>500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[0]!PRBD041001col_TOTAL_ELECT_PCN_FTI</f>
        <v>0</v>
      </c>
      <c r="G12" s="218">
        <f>[0]!PRBD041001col_FTI_SALARY_ELECT</f>
        <v>0</v>
      </c>
      <c r="H12" s="218">
        <f>[0]!PRBD041001col_HEALTH_ELECT</f>
        <v>0</v>
      </c>
      <c r="I12" s="218">
        <f>[0]!PRBD041001col_TOT_VB_ELECT</f>
        <v>0</v>
      </c>
      <c r="J12" s="219">
        <f>SUM(G12:I12)</f>
        <v>0</v>
      </c>
      <c r="K12" s="268"/>
      <c r="L12" s="218">
        <f>[0]!PRBD041001col_HEALTH_ELECT_CHG</f>
        <v>0</v>
      </c>
      <c r="M12" s="218">
        <f>[0]!PRBD041001col_TOT_VB_ELECT_CHG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4.0625</v>
      </c>
      <c r="G13" s="221">
        <f>SUM(G10:G12)</f>
        <v>615541.97</v>
      </c>
      <c r="H13" s="221">
        <f>SUM(H10:H12)</f>
        <v>48930</v>
      </c>
      <c r="I13" s="221">
        <f>SUM(I10:I12)</f>
        <v>98762.002324400004</v>
      </c>
      <c r="J13" s="219">
        <f>SUM(G13:I13)</f>
        <v>763233.97232439998</v>
      </c>
      <c r="K13" s="268"/>
      <c r="L13" s="219">
        <f>SUM(L10:L12)</f>
        <v>0</v>
      </c>
      <c r="M13" s="219">
        <f>SUM(M10:M12)</f>
        <v>481.73210800000027</v>
      </c>
      <c r="N13" s="219">
        <f>SUM(N10:N12)</f>
        <v>481.73210800000027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"&amp;'PRBD|0410-00'!FiscalYear-1</f>
        <v>FY 2022</v>
      </c>
      <c r="D15" s="158" t="s">
        <v>31</v>
      </c>
      <c r="E15" s="355">
        <v>815300</v>
      </c>
      <c r="F15" s="55">
        <v>4.12</v>
      </c>
      <c r="G15" s="223">
        <f>IF(OrigApprop=0,0,(G13/$J$13)*OrigApprop)</f>
        <v>657532.79641448718</v>
      </c>
      <c r="H15" s="223">
        <f>IF(OrigApprop=0,0,(H13/$J$13)*OrigApprop)</f>
        <v>52267.889594207292</v>
      </c>
      <c r="I15" s="223">
        <f>IF(G15=0,0,(I13/$J$13)*OrigApprop)</f>
        <v>105499.31399130561</v>
      </c>
      <c r="J15" s="223">
        <f>SUM(G15:I15)</f>
        <v>815300.00000000012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5.7500000000000107E-2</v>
      </c>
      <c r="G16" s="162">
        <f>G15-G13</f>
        <v>41990.826414487208</v>
      </c>
      <c r="H16" s="162">
        <f>H15-H13</f>
        <v>3337.8895942072922</v>
      </c>
      <c r="I16" s="162">
        <f>I15-I13</f>
        <v>6737.3116669056035</v>
      </c>
      <c r="J16" s="162">
        <f>J15-J13</f>
        <v>52066.02767560014</v>
      </c>
      <c r="K16" s="269"/>
      <c r="L16" s="56" t="str">
        <f>IF('PRBD|0410-00'!OrigApprop=0,"ERROR! Enter Original Appropriation amount in DU 3.00!","Calculated "&amp;IF('PRBD|0410-00'!AdjustedTotal&gt;0,"overfunding ","underfunding ")&amp;"is "&amp;TEXT('PRBD|0410-00'!AdjustedTotal/'PRBD|0410-00'!AppropTotal,"#.0%;(#.0% );0% ;")&amp;" of Original Appropriation")</f>
        <v>Calculated overfunding is 6.4%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4.0625</v>
      </c>
      <c r="G38" s="191">
        <f>SUMIF($E10:$E35,$E38,$G10:$G35)</f>
        <v>166114.52000000002</v>
      </c>
      <c r="H38" s="192">
        <f>SUMIF($E10:$E35,$E38,$H10:$H35)</f>
        <v>48930</v>
      </c>
      <c r="I38" s="192">
        <f>SUMIF($E10:$E35,$E38,$I10:$I35)</f>
        <v>39530.272324400001</v>
      </c>
      <c r="J38" s="192">
        <f>SUM(G38:I38)</f>
        <v>254574.79232440001</v>
      </c>
      <c r="K38" s="166"/>
      <c r="L38" s="191">
        <f>SUMIF($E10:$E35,$E38,$L10:$L35)</f>
        <v>0</v>
      </c>
      <c r="M38" s="192">
        <f>SUMIF($E10:$E35,$E38,$M10:$M35)</f>
        <v>481.73210800000027</v>
      </c>
      <c r="N38" s="192">
        <f>SUM(L38:M38)</f>
        <v>481.73210800000027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1700</v>
      </c>
      <c r="AB38" s="338">
        <f>ROUND((AdjPermVB*CECPerm+AdjPermVBBY*CECPerm),-2)</f>
        <v>400</v>
      </c>
      <c r="AC38" s="338">
        <f>SUM(AA38:AB38)</f>
        <v>2100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449427.45</v>
      </c>
      <c r="H39" s="152">
        <f>SUMIF($E10:$E35,$E39,$H10:$H35)</f>
        <v>0</v>
      </c>
      <c r="I39" s="152">
        <f>SUMIF($E10:$E35,$E39,$I10:$I35)</f>
        <v>59231.729999999996</v>
      </c>
      <c r="J39" s="152">
        <f>SUM(G39:I39)</f>
        <v>508659.18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4500</v>
      </c>
      <c r="AB39" s="338">
        <f>ROUND(AdjGroupVB*CECGroup,-2)</f>
        <v>600</v>
      </c>
      <c r="AC39" s="338">
        <f>SUM(AA39:AB39)</f>
        <v>5100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4.0625</v>
      </c>
      <c r="G41" s="195">
        <f>SUM($G$38:$G$40)</f>
        <v>615541.97</v>
      </c>
      <c r="H41" s="162">
        <f>SUM($H$38:$H$40)</f>
        <v>48930</v>
      </c>
      <c r="I41" s="162">
        <f>SUM($I$38:$I$40)</f>
        <v>98762.002324400004</v>
      </c>
      <c r="J41" s="162">
        <f>SUM($J$38:$J$40)</f>
        <v>763233.97232439998</v>
      </c>
      <c r="K41" s="259"/>
      <c r="L41" s="195">
        <f>SUM($L$38:$L$40)</f>
        <v>0</v>
      </c>
      <c r="M41" s="162">
        <f>SUM($M$38:$M$40)</f>
        <v>481.73210800000027</v>
      </c>
      <c r="N41" s="162">
        <f>SUM(L41:M41)</f>
        <v>481.73210800000027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0.06</v>
      </c>
      <c r="G43" s="206">
        <f>ROUND(G51-G41,-2)</f>
        <v>42000</v>
      </c>
      <c r="H43" s="159">
        <f>ROUND(H51-H41,-2)</f>
        <v>3300</v>
      </c>
      <c r="I43" s="159">
        <f>ROUND(I51-I41,-2)</f>
        <v>6700</v>
      </c>
      <c r="J43" s="159">
        <f>SUM(G43:I43)</f>
        <v>52000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6.4%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0.06</v>
      </c>
      <c r="G44" s="206">
        <f>ROUND(G60-G41,-2)</f>
        <v>42000</v>
      </c>
      <c r="H44" s="159">
        <f>ROUND(H60-H41,-2)</f>
        <v>3400</v>
      </c>
      <c r="I44" s="159">
        <f>ROUND(I60-I41,-2)</f>
        <v>6700</v>
      </c>
      <c r="J44" s="159">
        <f>SUM(G44:I44)</f>
        <v>52100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6.4%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0.06</v>
      </c>
      <c r="G45" s="206">
        <f>ROUND(G67-G41-G63,-2)</f>
        <v>42000</v>
      </c>
      <c r="H45" s="206">
        <f>ROUND(H67-H41-H63,-2)</f>
        <v>3400</v>
      </c>
      <c r="I45" s="206">
        <f>ROUND(I67-I41-I63,-2)</f>
        <v>6700</v>
      </c>
      <c r="J45" s="159">
        <f>SUM(G45:I45)</f>
        <v>52100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6.4%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815300</v>
      </c>
      <c r="F51" s="272">
        <f>AppropFTP</f>
        <v>4.12</v>
      </c>
      <c r="G51" s="274">
        <f>IF(E51=0,0,(G41/$J$41)*$E$51)</f>
        <v>657532.79641448718</v>
      </c>
      <c r="H51" s="274">
        <f>IF(E51=0,0,(H41/$J$41)*$E$51)</f>
        <v>52267.889594207292</v>
      </c>
      <c r="I51" s="275">
        <f>IF(E51=0,0,(I41/$J$41)*$E$51)</f>
        <v>105499.31399130561</v>
      </c>
      <c r="J51" s="90">
        <f>SUM(G51:I51)</f>
        <v>815300.00000000012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4.12</v>
      </c>
      <c r="G52" s="79">
        <f>ROUND(G51,-2)</f>
        <v>657500</v>
      </c>
      <c r="H52" s="79">
        <f>ROUND(H51,-2)</f>
        <v>52300</v>
      </c>
      <c r="I52" s="266">
        <f>ROUND(I51,-2)</f>
        <v>105500</v>
      </c>
      <c r="J52" s="80">
        <f>ROUND(J51,-2)</f>
        <v>815300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4.12</v>
      </c>
      <c r="G56" s="80">
        <f>SUM(G52:G55)</f>
        <v>657500</v>
      </c>
      <c r="H56" s="80">
        <f>SUM(H52:H55)</f>
        <v>52300</v>
      </c>
      <c r="I56" s="260">
        <f>SUM(I52:I55)</f>
        <v>105500</v>
      </c>
      <c r="J56" s="80">
        <f>SUM(J52:J55)</f>
        <v>815300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4.12</v>
      </c>
      <c r="G60" s="80">
        <f>SUM(G56:G59)</f>
        <v>657500</v>
      </c>
      <c r="H60" s="80">
        <f>SUM(H56:H59)</f>
        <v>52300</v>
      </c>
      <c r="I60" s="260">
        <f>SUM(I56:I59)</f>
        <v>105500</v>
      </c>
      <c r="J60" s="80">
        <f>SUM(J56:J59)</f>
        <v>815300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4.12</v>
      </c>
      <c r="G67" s="80">
        <f>SUM(G60:G64)</f>
        <v>657500</v>
      </c>
      <c r="H67" s="80">
        <f>SUM(H60:H64)</f>
        <v>52300</v>
      </c>
      <c r="I67" s="80">
        <f>SUM(I60:I64)</f>
        <v>105500</v>
      </c>
      <c r="J67" s="80">
        <f>SUM(J60:J64)</f>
        <v>815300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500</v>
      </c>
      <c r="J69" s="287">
        <f>SUM(G69:I69)</f>
        <v>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1700</v>
      </c>
      <c r="H72" s="287"/>
      <c r="I72" s="287">
        <f>ROUND(($G72*PermVBBY+$G72*Retire1BY),-2)</f>
        <v>400</v>
      </c>
      <c r="J72" s="113">
        <f>SUM(G72:I72)</f>
        <v>2100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4500</v>
      </c>
      <c r="H73" s="287"/>
      <c r="I73" s="287">
        <f>ROUND(($G73*GroupVBBY),-2)</f>
        <v>500</v>
      </c>
      <c r="J73" s="113">
        <f t="shared" si="11"/>
        <v>5000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4.12</v>
      </c>
      <c r="G75" s="80">
        <f>SUM(G67:G74)</f>
        <v>663700</v>
      </c>
      <c r="H75" s="80">
        <f>SUM(H67:H74)</f>
        <v>52300</v>
      </c>
      <c r="I75" s="80">
        <f>SUM(I67:I74)</f>
        <v>106900</v>
      </c>
      <c r="J75" s="80">
        <f>SUM(J67:K74)</f>
        <v>822900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4.12</v>
      </c>
      <c r="G80" s="80">
        <f>SUM(G75:G79)</f>
        <v>663700</v>
      </c>
      <c r="H80" s="80">
        <f>SUM(H75:H79)</f>
        <v>52300</v>
      </c>
      <c r="I80" s="80">
        <f>SUM(I75:I79)</f>
        <v>106900</v>
      </c>
      <c r="J80" s="80">
        <f>SUM(J75:J79)</f>
        <v>822900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2" priority="5">
      <formula>$J$44&lt;0</formula>
    </cfRule>
  </conditionalFormatting>
  <conditionalFormatting sqref="K43">
    <cfRule type="expression" dxfId="21" priority="4">
      <formula>$J$43&lt;0</formula>
    </cfRule>
  </conditionalFormatting>
  <conditionalFormatting sqref="L16">
    <cfRule type="expression" dxfId="20" priority="3">
      <formula>$J$16&lt;0</formula>
    </cfRule>
  </conditionalFormatting>
  <conditionalFormatting sqref="K45">
    <cfRule type="expression" dxfId="19" priority="2">
      <formula>$J$44&lt;0</formula>
    </cfRule>
  </conditionalFormatting>
  <conditionalFormatting sqref="K43:N45">
    <cfRule type="containsText" dxfId="1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1D063-C926-4DB2-B850-6FE5EEA6565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TG484"/>
  <sheetViews>
    <sheetView workbookViewId="0">
      <pane xSplit="3" ySplit="1" topLeftCell="AM431" activePane="bottomRight" state="frozen"/>
      <selection pane="topRight" activeCell="D1" sqref="D1"/>
      <selection pane="bottomLeft" activeCell="A2" sqref="A2"/>
      <selection pane="bottomRight" activeCell="AS438" sqref="AS438:BA484"/>
    </sheetView>
  </sheetViews>
  <sheetFormatPr defaultRowHeight="14.4" x14ac:dyDescent="0.3"/>
  <cols>
    <col min="45" max="53" width="15.77734375" customWidth="1"/>
    <col min="54" max="54" width="11.77734375" bestFit="1" customWidth="1"/>
    <col min="55" max="55" width="9.109375" bestFit="1" customWidth="1"/>
    <col min="56" max="56" width="11.6640625" bestFit="1" customWidth="1"/>
    <col min="57" max="57" width="10.6640625" bestFit="1" customWidth="1"/>
    <col min="58" max="58" width="11.6640625" bestFit="1" customWidth="1"/>
    <col min="59" max="60" width="10.5546875" bestFit="1" customWidth="1"/>
    <col min="61" max="61" width="9.5546875" bestFit="1" customWidth="1"/>
    <col min="62" max="62" width="10.6640625" bestFit="1" customWidth="1"/>
    <col min="63" max="63" width="9.109375" bestFit="1" customWidth="1"/>
    <col min="64" max="64" width="11.77734375" bestFit="1" customWidth="1"/>
    <col min="65" max="65" width="9.109375" bestFit="1" customWidth="1"/>
    <col min="66" max="66" width="11.77734375" bestFit="1" customWidth="1"/>
    <col min="67" max="67" width="9.109375" bestFit="1" customWidth="1"/>
    <col min="68" max="68" width="11.6640625" bestFit="1" customWidth="1"/>
    <col min="69" max="69" width="10.6640625" bestFit="1" customWidth="1"/>
    <col min="70" max="70" width="11.6640625" bestFit="1" customWidth="1"/>
    <col min="71" max="71" width="10.5546875" bestFit="1" customWidth="1"/>
    <col min="72" max="72" width="9.109375" bestFit="1" customWidth="1"/>
    <col min="73" max="73" width="9.5546875" bestFit="1" customWidth="1"/>
    <col min="74" max="74" width="10.6640625" bestFit="1" customWidth="1"/>
    <col min="75" max="75" width="9.109375" bestFit="1" customWidth="1"/>
    <col min="76" max="76" width="11.77734375" bestFit="1" customWidth="1"/>
    <col min="77" max="83" width="9.109375" bestFit="1" customWidth="1"/>
    <col min="84" max="84" width="11.21875" bestFit="1" customWidth="1"/>
    <col min="85" max="85" width="9.109375" bestFit="1" customWidth="1"/>
    <col min="86" max="86" width="10.5546875" bestFit="1" customWidth="1"/>
    <col min="87" max="87" width="9.109375" bestFit="1" customWidth="1"/>
    <col min="88" max="88" width="9.5546875" bestFit="1" customWidth="1"/>
    <col min="89" max="89" width="9.109375" bestFit="1" customWidth="1"/>
    <col min="90" max="90" width="13.44140625" bestFit="1" customWidth="1"/>
    <col min="91" max="91" width="11.6640625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1" t="s">
        <v>1042</v>
      </c>
      <c r="AT1" s="461" t="s">
        <v>1043</v>
      </c>
      <c r="AU1" s="461" t="s">
        <v>1044</v>
      </c>
      <c r="AV1" s="461" t="s">
        <v>1045</v>
      </c>
      <c r="AW1" s="461" t="s">
        <v>1046</v>
      </c>
      <c r="AX1" s="461" t="s">
        <v>1047</v>
      </c>
      <c r="AY1" s="461" t="s">
        <v>1048</v>
      </c>
      <c r="AZ1" s="461" t="s">
        <v>1049</v>
      </c>
      <c r="BA1" s="463" t="s">
        <v>1050</v>
      </c>
      <c r="BB1" s="464" t="s">
        <v>1051</v>
      </c>
      <c r="BC1" s="464" t="s">
        <v>1052</v>
      </c>
      <c r="BD1" s="464" t="s">
        <v>1053</v>
      </c>
      <c r="BE1" s="464" t="s">
        <v>1054</v>
      </c>
      <c r="BF1" s="464" t="s">
        <v>1055</v>
      </c>
      <c r="BG1" s="464" t="s">
        <v>1056</v>
      </c>
      <c r="BH1" s="464" t="s">
        <v>1057</v>
      </c>
      <c r="BI1" s="464" t="s">
        <v>1058</v>
      </c>
      <c r="BJ1" s="464" t="s">
        <v>1059</v>
      </c>
      <c r="BK1" s="464" t="s">
        <v>1060</v>
      </c>
      <c r="BL1" s="465" t="s">
        <v>1061</v>
      </c>
      <c r="BM1" s="465" t="s">
        <v>1062</v>
      </c>
      <c r="BN1" s="464" t="s">
        <v>1063</v>
      </c>
      <c r="BO1" s="464" t="s">
        <v>1064</v>
      </c>
      <c r="BP1" s="464" t="s">
        <v>1065</v>
      </c>
      <c r="BQ1" s="464" t="s">
        <v>1066</v>
      </c>
      <c r="BR1" s="464" t="s">
        <v>1067</v>
      </c>
      <c r="BS1" s="464" t="s">
        <v>1068</v>
      </c>
      <c r="BT1" s="464" t="s">
        <v>1069</v>
      </c>
      <c r="BU1" s="464" t="s">
        <v>1070</v>
      </c>
      <c r="BV1" s="464" t="s">
        <v>1071</v>
      </c>
      <c r="BW1" s="464" t="s">
        <v>1072</v>
      </c>
      <c r="BX1" s="465" t="s">
        <v>1073</v>
      </c>
      <c r="BY1" s="465" t="s">
        <v>1074</v>
      </c>
      <c r="BZ1" s="464" t="s">
        <v>1075</v>
      </c>
      <c r="CA1" s="464" t="s">
        <v>1076</v>
      </c>
      <c r="CB1" s="464" t="s">
        <v>1077</v>
      </c>
      <c r="CC1" s="464" t="s">
        <v>1078</v>
      </c>
      <c r="CD1" s="464" t="s">
        <v>1079</v>
      </c>
      <c r="CE1" s="464" t="s">
        <v>1080</v>
      </c>
      <c r="CF1" s="464" t="s">
        <v>1081</v>
      </c>
      <c r="CG1" s="464" t="s">
        <v>1082</v>
      </c>
      <c r="CH1" s="464" t="s">
        <v>1083</v>
      </c>
      <c r="CI1" s="464" t="s">
        <v>1084</v>
      </c>
      <c r="CJ1" s="465" t="s">
        <v>1085</v>
      </c>
      <c r="CK1" s="465" t="s">
        <v>1086</v>
      </c>
      <c r="CL1" s="466" t="s">
        <v>1087</v>
      </c>
      <c r="CM1" s="466" t="s">
        <v>1088</v>
      </c>
      <c r="CN1" s="466" t="s">
        <v>1089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460">
        <v>1</v>
      </c>
      <c r="Q2" s="460">
        <v>1</v>
      </c>
      <c r="R2" s="380">
        <v>80</v>
      </c>
      <c r="S2" s="460">
        <v>1</v>
      </c>
      <c r="T2" s="380">
        <v>60382.62</v>
      </c>
      <c r="U2" s="380">
        <v>0</v>
      </c>
      <c r="V2" s="380">
        <v>24888.15</v>
      </c>
      <c r="W2" s="380">
        <v>61672</v>
      </c>
      <c r="X2" s="380">
        <v>26326.05</v>
      </c>
      <c r="Y2" s="380">
        <v>61672</v>
      </c>
      <c r="Z2" s="380">
        <v>26504.9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29.65</v>
      </c>
      <c r="AI2" s="381">
        <v>7655.8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460">
        <v>1</v>
      </c>
      <c r="AQ2" s="460">
        <v>1</v>
      </c>
      <c r="AR2" s="458" t="s">
        <v>183</v>
      </c>
      <c r="AS2" s="462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462">
        <f>IF(AT2=0,"",IF(AND(AT2=1,M2="F",SUMIF(C2:C391,C2,AS2:AS391)&lt;=1),SUMIF(C2:C391,C2,AS2:AS391),IF(AND(AT2=1,M2="F",SUMIF(C2:C391,C2,AS2:AS391)&gt;1),1,"")))</f>
        <v>1</v>
      </c>
      <c r="AV2" s="462" t="str">
        <f>IF(AT2=0,"",IF(AND(AT2=3,M2="F",SUMIF(C2:C391,C2,AS2:AS391)&lt;=1),SUMIF(C2:C391,C2,AS2:AS391),IF(AND(AT2=3,M2="F",SUMIF(C2:C391,C2,AS2:AS391)&gt;1),1,"")))</f>
        <v/>
      </c>
      <c r="AW2" s="462">
        <f>SUMIF(C2:C391,C2,O2:O391)</f>
        <v>2</v>
      </c>
      <c r="AX2" s="462">
        <f>IF(AND(M2="F",AS2&lt;&gt;0),SUMIF(C2:C391,C2,W2:W391),0)</f>
        <v>61672</v>
      </c>
      <c r="AY2" s="462">
        <f>IF(AT2=1,W2,"")</f>
        <v>61672</v>
      </c>
      <c r="AZ2" s="462" t="str">
        <f>IF(AT2=3,W2,"")</f>
        <v/>
      </c>
      <c r="BA2" s="462">
        <f>IF(AT2=1,Y2-W2,0)</f>
        <v>0</v>
      </c>
      <c r="BB2" s="462">
        <f>IF(AND(AT2=1,AK2="E",AU2&gt;=0.75,AW2=1),Health,IF(AND(AT2=1,AK2="E",AU2&gt;=0.75),Health*P2,IF(AND(AT2=1,AK2="E",AU2&gt;=0.5,AW2=1),PTHealth,IF(AND(AT2=1,AK2="E",AU2&gt;=0.5),PTHealth*P2,0))))</f>
        <v>11650</v>
      </c>
      <c r="BC2" s="462">
        <f>IF(AND(AT2=3,AK2="E",AV2&gt;=0.75,AW2=1),Health,IF(AND(AT2=3,AK2="E",AV2&gt;=0.75),Health*P2,IF(AND(AT2=3,AK2="E",AV2&gt;=0.5,AW2=1),PTHealth,IF(AND(AT2=3,AK2="E",AV2&gt;=0.5),PTHealth*P2,0))))</f>
        <v>0</v>
      </c>
      <c r="BD2" s="462">
        <f>IF(AND(AT2&lt;&gt;0,AX2&gt;=MAXSSDI),SSDI*MAXSSDI*P2,IF(AT2&lt;&gt;0,SSDI*W2,0))</f>
        <v>3823.6639999999998</v>
      </c>
      <c r="BE2" s="462">
        <f>IF(AT2&lt;&gt;0,SSHI*W2,0)</f>
        <v>894.24400000000003</v>
      </c>
      <c r="BF2" s="462">
        <f>IF(AND(AT2&lt;&gt;0,AN2&lt;&gt;"NE"),VLOOKUP(AN2,Retirement_Rates,3,FALSE)*W2,0)</f>
        <v>7363.6368000000002</v>
      </c>
      <c r="BG2" s="462">
        <f>IF(AND(AT2&lt;&gt;0,AJ2&lt;&gt;"PF"),Life*W2,0)</f>
        <v>444.65512000000001</v>
      </c>
      <c r="BH2" s="462">
        <f>IF(AND(AT2&lt;&gt;0,AM2="Y"),UI*W2,0)</f>
        <v>302.19279999999998</v>
      </c>
      <c r="BI2" s="462">
        <f>IF(AND(AT2&lt;&gt;0,N2&lt;&gt;"NR"),DHR*W2,0)</f>
        <v>188.71632</v>
      </c>
      <c r="BJ2" s="462">
        <f>IF(AT2&lt;&gt;0,WC*W2,0)</f>
        <v>1658.9767999999999</v>
      </c>
      <c r="BK2" s="462">
        <f>IF(OR(AND(AT2&lt;&gt;0,AJ2&lt;&gt;"PF",AN2&lt;&gt;"NE",AG2&lt;&gt;"A"),AND(AL2="E",OR(AT2=1,AT2=3))),Sick*W2,0)</f>
        <v>0</v>
      </c>
      <c r="BL2" s="462">
        <f>IF(AT2=1,SUM(BD2:BK2),0)</f>
        <v>14676.08584</v>
      </c>
      <c r="BM2" s="462">
        <f>IF(AT2=3,SUM(BD2:BK2),0)</f>
        <v>0</v>
      </c>
      <c r="BN2" s="462">
        <f>IF(AND(AT2=1,AK2="E",AU2&gt;=0.75,AW2=1),HealthBY,IF(AND(AT2=1,AK2="E",AU2&gt;=0.75),HealthBY*P2,IF(AND(AT2=1,AK2="E",AU2&gt;=0.5,AW2=1),PTHealthBY,IF(AND(AT2=1,AK2="E",AU2&gt;=0.5),PTHealthBY*P2,0))))</f>
        <v>11650</v>
      </c>
      <c r="BO2" s="462">
        <f>IF(AND(AT2=3,AK2="E",AV2&gt;=0.75,AW2=1),HealthBY,IF(AND(AT2=3,AK2="E",AV2&gt;=0.75),HealthBY*P2,IF(AND(AT2=3,AK2="E",AV2&gt;=0.5,AW2=1),PTHealthBY,IF(AND(AT2=3,AK2="E",AV2&gt;=0.5),PTHealthBY*P2,0))))</f>
        <v>0</v>
      </c>
      <c r="BP2" s="462">
        <f>IF(AND(AT2&lt;&gt;0,(AX2+BA2)&gt;=MAXSSDIBY),SSDIBY*MAXSSDIBY*P2,IF(AT2&lt;&gt;0,SSDIBY*W2,0))</f>
        <v>3823.6639999999998</v>
      </c>
      <c r="BQ2" s="462">
        <f>IF(AT2&lt;&gt;0,SSHIBY*W2,0)</f>
        <v>894.24400000000003</v>
      </c>
      <c r="BR2" s="462">
        <f>IF(AND(AT2&lt;&gt;0,AN2&lt;&gt;"NE"),VLOOKUP(AN2,Retirement_Rates,4,FALSE)*W2,0)</f>
        <v>7363.6368000000002</v>
      </c>
      <c r="BS2" s="462">
        <f>IF(AND(AT2&lt;&gt;0,AJ2&lt;&gt;"PF"),LifeBY*W2,0)</f>
        <v>444.65512000000001</v>
      </c>
      <c r="BT2" s="462">
        <f>IF(AND(AT2&lt;&gt;0,AM2="Y"),UIBY*W2,0)</f>
        <v>0</v>
      </c>
      <c r="BU2" s="462">
        <f>IF(AND(AT2&lt;&gt;0,N2&lt;&gt;"NR"),DHRBY*W2,0)</f>
        <v>188.71632</v>
      </c>
      <c r="BV2" s="462">
        <f>IF(AT2&lt;&gt;0,WCBY*W2,0)</f>
        <v>2140.0183999999999</v>
      </c>
      <c r="BW2" s="462">
        <f>IF(OR(AND(AT2&lt;&gt;0,AJ2&lt;&gt;"PF",AN2&lt;&gt;"NE",AG2&lt;&gt;"A"),AND(AL2="E",OR(AT2=1,AT2=3))),SickBY*W2,0)</f>
        <v>0</v>
      </c>
      <c r="BX2" s="462">
        <f>IF(AT2=1,SUM(BP2:BW2),0)</f>
        <v>14854.934639999999</v>
      </c>
      <c r="BY2" s="462">
        <f>IF(AT2=3,SUM(BP2:BW2),0)</f>
        <v>0</v>
      </c>
      <c r="BZ2" s="462">
        <f>IF(AT2=1,BN2-BB2,0)</f>
        <v>0</v>
      </c>
      <c r="CA2" s="462">
        <f>IF(AT2=3,BO2-BC2,0)</f>
        <v>0</v>
      </c>
      <c r="CB2" s="462">
        <f>BP2-BD2</f>
        <v>0</v>
      </c>
      <c r="CC2" s="462">
        <f>IF(AT2&lt;&gt;0,SSHICHG*Y2,0)</f>
        <v>0</v>
      </c>
      <c r="CD2" s="462">
        <f>IF(AND(AT2&lt;&gt;0,AN2&lt;&gt;"NE"),VLOOKUP(AN2,Retirement_Rates,5,FALSE)*Y2,0)</f>
        <v>0</v>
      </c>
      <c r="CE2" s="462">
        <f>IF(AND(AT2&lt;&gt;0,AJ2&lt;&gt;"PF"),LifeCHG*Y2,0)</f>
        <v>0</v>
      </c>
      <c r="CF2" s="462">
        <f>IF(AND(AT2&lt;&gt;0,AM2="Y"),UICHG*Y2,0)</f>
        <v>-302.19279999999998</v>
      </c>
      <c r="CG2" s="462">
        <f>IF(AND(AT2&lt;&gt;0,N2&lt;&gt;"NR"),DHRCHG*Y2,0)</f>
        <v>0</v>
      </c>
      <c r="CH2" s="462">
        <f>IF(AT2&lt;&gt;0,WCCHG*Y2,0)</f>
        <v>481.04160000000007</v>
      </c>
      <c r="CI2" s="462">
        <f>IF(OR(AND(AT2&lt;&gt;0,AJ2&lt;&gt;"PF",AN2&lt;&gt;"NE",AG2&lt;&gt;"A"),AND(AL2="E",OR(AT2=1,AT2=3))),SickCHG*Y2,0)</f>
        <v>0</v>
      </c>
      <c r="CJ2" s="462">
        <f>IF(AT2=1,SUM(CB2:CI2),0)</f>
        <v>178.8488000000001</v>
      </c>
      <c r="CK2" s="462" t="str">
        <f>IF(AT2=3,SUM(CB2:CI2),"")</f>
        <v/>
      </c>
      <c r="CL2" s="462" t="str">
        <f>IF(OR(N2="NG",AG2="D"),(T2+U2),"")</f>
        <v/>
      </c>
      <c r="CM2" s="462" t="str">
        <f>IF(OR(N2="NG",AG2="D"),V2,"")</f>
        <v/>
      </c>
      <c r="CN2" s="462" t="str">
        <f>E2 &amp; "-" &amp; F2</f>
        <v>0001-00</v>
      </c>
    </row>
    <row r="3" spans="1:92" ht="15" thickBot="1" x14ac:dyDescent="0.35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178</v>
      </c>
      <c r="M3" s="376" t="s">
        <v>171</v>
      </c>
      <c r="N3" s="376" t="s">
        <v>172</v>
      </c>
      <c r="O3" s="379">
        <v>1</v>
      </c>
      <c r="P3" s="460">
        <v>1</v>
      </c>
      <c r="Q3" s="460">
        <v>1</v>
      </c>
      <c r="R3" s="380">
        <v>80</v>
      </c>
      <c r="S3" s="460">
        <v>1</v>
      </c>
      <c r="T3" s="380">
        <v>39011.08</v>
      </c>
      <c r="U3" s="380">
        <v>0</v>
      </c>
      <c r="V3" s="380">
        <v>19742.23</v>
      </c>
      <c r="W3" s="380">
        <v>39936</v>
      </c>
      <c r="X3" s="380">
        <v>21153.53</v>
      </c>
      <c r="Y3" s="380">
        <v>39936</v>
      </c>
      <c r="Z3" s="380">
        <v>21269.35</v>
      </c>
      <c r="AA3" s="376" t="s">
        <v>187</v>
      </c>
      <c r="AB3" s="376" t="s">
        <v>188</v>
      </c>
      <c r="AC3" s="376" t="s">
        <v>189</v>
      </c>
      <c r="AD3" s="376" t="s">
        <v>176</v>
      </c>
      <c r="AE3" s="376" t="s">
        <v>186</v>
      </c>
      <c r="AF3" s="376" t="s">
        <v>190</v>
      </c>
      <c r="AG3" s="376" t="s">
        <v>178</v>
      </c>
      <c r="AH3" s="381">
        <v>19.2</v>
      </c>
      <c r="AI3" s="379">
        <v>32913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460">
        <v>1</v>
      </c>
      <c r="AQ3" s="460">
        <v>1</v>
      </c>
      <c r="AR3" s="458" t="s">
        <v>183</v>
      </c>
      <c r="AS3" s="462">
        <f t="shared" ref="AS3:AS66" si="0">IF(((AO3/80)*AP3*P3)&gt;1,AQ3,((AO3/80)*AP3*P3))</f>
        <v>1</v>
      </c>
      <c r="AT3">
        <f t="shared" ref="AT3:AT66" si="1">IF(AND(M3="F",N3&lt;&gt;"NG",AS3&lt;&gt;0,AND(AR3&lt;&gt;6,AR3&lt;&gt;36,AR3&lt;&gt;56),AG3&lt;&gt;"A",OR(AG3="H",AJ3="FS")),1,IF(AND(M3="F",N3&lt;&gt;"NG",AS3&lt;&gt;0,AG3="A"),3,0))</f>
        <v>1</v>
      </c>
      <c r="AU3" s="462">
        <f>IF(AT3=0,"",IF(AND(AT3=1,M3="F",SUMIF(C2:C391,C3,AS2:AS391)&lt;=1),SUMIF(C2:C391,C3,AS2:AS391),IF(AND(AT3=1,M3="F",SUMIF(C2:C391,C3,AS2:AS391)&gt;1),1,"")))</f>
        <v>1</v>
      </c>
      <c r="AV3" s="462" t="str">
        <f>IF(AT3=0,"",IF(AND(AT3=3,M3="F",SUMIF(C2:C391,C3,AS2:AS391)&lt;=1),SUMIF(C2:C391,C3,AS2:AS391),IF(AND(AT3=3,M3="F",SUMIF(C2:C391,C3,AS2:AS391)&gt;1),1,"")))</f>
        <v/>
      </c>
      <c r="AW3" s="462">
        <f>SUMIF(C2:C391,C3,O2:O391)</f>
        <v>1</v>
      </c>
      <c r="AX3" s="462">
        <f>IF(AND(M3="F",AS3&lt;&gt;0),SUMIF(C2:C391,C3,W2:W391),0)</f>
        <v>39936</v>
      </c>
      <c r="AY3" s="462">
        <f t="shared" ref="AY3:AY66" si="2">IF(AT3=1,W3,"")</f>
        <v>39936</v>
      </c>
      <c r="AZ3" s="462" t="str">
        <f t="shared" ref="AZ3:AZ66" si="3">IF(AT3=3,W3,"")</f>
        <v/>
      </c>
      <c r="BA3" s="462">
        <f t="shared" ref="BA3:BA66" si="4">IF(AT3=1,Y3-W3,0)</f>
        <v>0</v>
      </c>
      <c r="BB3" s="462">
        <f>IF(AND(AT3=1,AK3="E",AU3&gt;=0.75,AW3=1),Health,IF(AND(AT3=1,AK3="E",AU3&gt;=0.75),Health*P3,IF(AND(AT3=1,AK3="E",AU3&gt;=0.5,AW3=1),PTHealth,IF(AND(AT3=1,AK3="E",AU3&gt;=0.5),PTHealth*P3,0))))</f>
        <v>11650</v>
      </c>
      <c r="BC3" s="462">
        <f>IF(AND(AT3=3,AK3="E",AV3&gt;=0.75,AW3=1),Health,IF(AND(AT3=3,AK3="E",AV3&gt;=0.75),Health*P3,IF(AND(AT3=3,AK3="E",AV3&gt;=0.5,AW3=1),PTHealth,IF(AND(AT3=3,AK3="E",AV3&gt;=0.5),PTHealth*P3,0))))</f>
        <v>0</v>
      </c>
      <c r="BD3" s="462">
        <f>IF(AND(AT3&lt;&gt;0,AX3&gt;=MAXSSDI),SSDI*MAXSSDI*P3,IF(AT3&lt;&gt;0,SSDI*W3,0))</f>
        <v>2476.0320000000002</v>
      </c>
      <c r="BE3" s="462">
        <f>IF(AT3&lt;&gt;0,SSHI*W3,0)</f>
        <v>579.072</v>
      </c>
      <c r="BF3" s="462">
        <f>IF(AND(AT3&lt;&gt;0,AN3&lt;&gt;"NE"),VLOOKUP(AN3,Retirement_Rates,3,FALSE)*W3,0)</f>
        <v>4768.3584000000001</v>
      </c>
      <c r="BG3" s="462">
        <f>IF(AND(AT3&lt;&gt;0,AJ3&lt;&gt;"PF"),Life*W3,0)</f>
        <v>287.93856</v>
      </c>
      <c r="BH3" s="462">
        <f>IF(AND(AT3&lt;&gt;0,AM3="Y"),UI*W3,0)</f>
        <v>195.68639999999999</v>
      </c>
      <c r="BI3" s="462">
        <f>IF(AND(AT3&lt;&gt;0,N3&lt;&gt;"NR"),DHR*W3,0)</f>
        <v>122.20415999999999</v>
      </c>
      <c r="BJ3" s="462">
        <f>IF(AT3&lt;&gt;0,WC*W3,0)</f>
        <v>1074.2783999999999</v>
      </c>
      <c r="BK3" s="462">
        <f>IF(OR(AND(AT3&lt;&gt;0,AJ3&lt;&gt;"PF",AN3&lt;&gt;"NE",AG3&lt;&gt;"A"),AND(AL3="E",OR(AT3=1,AT3=3))),Sick*W3,0)</f>
        <v>0</v>
      </c>
      <c r="BL3" s="462">
        <f t="shared" ref="BL3:BL66" si="5">IF(AT3=1,SUM(BD3:BK3),0)</f>
        <v>9503.5699199999981</v>
      </c>
      <c r="BM3" s="462">
        <f t="shared" ref="BM3:BM66" si="6">IF(AT3=3,SUM(BD3:BK3),0)</f>
        <v>0</v>
      </c>
      <c r="BN3" s="462">
        <f>IF(AND(AT3=1,AK3="E",AU3&gt;=0.75,AW3=1),HealthBY,IF(AND(AT3=1,AK3="E",AU3&gt;=0.75),HealthBY*P3,IF(AND(AT3=1,AK3="E",AU3&gt;=0.5,AW3=1),PTHealthBY,IF(AND(AT3=1,AK3="E",AU3&gt;=0.5),PTHealthBY*P3,0))))</f>
        <v>11650</v>
      </c>
      <c r="BO3" s="462">
        <f>IF(AND(AT3=3,AK3="E",AV3&gt;=0.75,AW3=1),HealthBY,IF(AND(AT3=3,AK3="E",AV3&gt;=0.75),HealthBY*P3,IF(AND(AT3=3,AK3="E",AV3&gt;=0.5,AW3=1),PTHealthBY,IF(AND(AT3=3,AK3="E",AV3&gt;=0.5),PTHealthBY*P3,0))))</f>
        <v>0</v>
      </c>
      <c r="BP3" s="462">
        <f>IF(AND(AT3&lt;&gt;0,(AX3+BA3)&gt;=MAXSSDIBY),SSDIBY*MAXSSDIBY*P3,IF(AT3&lt;&gt;0,SSDIBY*W3,0))</f>
        <v>2476.0320000000002</v>
      </c>
      <c r="BQ3" s="462">
        <f>IF(AT3&lt;&gt;0,SSHIBY*W3,0)</f>
        <v>579.072</v>
      </c>
      <c r="BR3" s="462">
        <f>IF(AND(AT3&lt;&gt;0,AN3&lt;&gt;"NE"),VLOOKUP(AN3,Retirement_Rates,4,FALSE)*W3,0)</f>
        <v>4768.3584000000001</v>
      </c>
      <c r="BS3" s="462">
        <f>IF(AND(AT3&lt;&gt;0,AJ3&lt;&gt;"PF"),LifeBY*W3,0)</f>
        <v>287.93856</v>
      </c>
      <c r="BT3" s="462">
        <f>IF(AND(AT3&lt;&gt;0,AM3="Y"),UIBY*W3,0)</f>
        <v>0</v>
      </c>
      <c r="BU3" s="462">
        <f>IF(AND(AT3&lt;&gt;0,N3&lt;&gt;"NR"),DHRBY*W3,0)</f>
        <v>122.20415999999999</v>
      </c>
      <c r="BV3" s="462">
        <f>IF(AT3&lt;&gt;0,WCBY*W3,0)</f>
        <v>1385.7792000000002</v>
      </c>
      <c r="BW3" s="462">
        <f>IF(OR(AND(AT3&lt;&gt;0,AJ3&lt;&gt;"PF",AN3&lt;&gt;"NE",AG3&lt;&gt;"A"),AND(AL3="E",OR(AT3=1,AT3=3))),SickBY*W3,0)</f>
        <v>0</v>
      </c>
      <c r="BX3" s="462">
        <f t="shared" ref="BX3:BX66" si="7">IF(AT3=1,SUM(BP3:BW3),0)</f>
        <v>9619.384320000001</v>
      </c>
      <c r="BY3" s="462">
        <f t="shared" ref="BY3:BY66" si="8">IF(AT3=3,SUM(BP3:BW3),0)</f>
        <v>0</v>
      </c>
      <c r="BZ3" s="462">
        <f t="shared" ref="BZ3:BZ66" si="9">IF(AT3=1,BN3-BB3,0)</f>
        <v>0</v>
      </c>
      <c r="CA3" s="462">
        <f t="shared" ref="CA3:CA66" si="10">IF(AT3=3,BO3-BC3,0)</f>
        <v>0</v>
      </c>
      <c r="CB3" s="462">
        <f t="shared" ref="CB3:CB66" si="11">BP3-BD3</f>
        <v>0</v>
      </c>
      <c r="CC3" s="462">
        <f>IF(AT3&lt;&gt;0,SSHICHG*Y3,0)</f>
        <v>0</v>
      </c>
      <c r="CD3" s="462">
        <f>IF(AND(AT3&lt;&gt;0,AN3&lt;&gt;"NE"),VLOOKUP(AN3,Retirement_Rates,5,FALSE)*Y3,0)</f>
        <v>0</v>
      </c>
      <c r="CE3" s="462">
        <f>IF(AND(AT3&lt;&gt;0,AJ3&lt;&gt;"PF"),LifeCHG*Y3,0)</f>
        <v>0</v>
      </c>
      <c r="CF3" s="462">
        <f>IF(AND(AT3&lt;&gt;0,AM3="Y"),UICHG*Y3,0)</f>
        <v>-195.68639999999999</v>
      </c>
      <c r="CG3" s="462">
        <f>IF(AND(AT3&lt;&gt;0,N3&lt;&gt;"NR"),DHRCHG*Y3,0)</f>
        <v>0</v>
      </c>
      <c r="CH3" s="462">
        <f>IF(AT3&lt;&gt;0,WCCHG*Y3,0)</f>
        <v>311.50080000000003</v>
      </c>
      <c r="CI3" s="462">
        <f>IF(OR(AND(AT3&lt;&gt;0,AJ3&lt;&gt;"PF",AN3&lt;&gt;"NE",AG3&lt;&gt;"A"),AND(AL3="E",OR(AT3=1,AT3=3))),SickCHG*Y3,0)</f>
        <v>0</v>
      </c>
      <c r="CJ3" s="462">
        <f t="shared" ref="CJ3:CJ66" si="12">IF(AT3=1,SUM(CB3:CI3),0)</f>
        <v>115.81440000000003</v>
      </c>
      <c r="CK3" s="462" t="str">
        <f t="shared" ref="CK3:CK66" si="13">IF(AT3=3,SUM(CB3:CI3),"")</f>
        <v/>
      </c>
      <c r="CL3" s="462" t="str">
        <f t="shared" ref="CL3:CL66" si="14">IF(OR(N3="NG",AG3="D"),(T3+U3),"")</f>
        <v/>
      </c>
      <c r="CM3" s="462" t="str">
        <f t="shared" ref="CM3:CM66" si="15">IF(OR(N3="NG",AG3="D"),V3,"")</f>
        <v/>
      </c>
      <c r="CN3" s="462" t="str">
        <f t="shared" ref="CN3:CN66" si="16">E3 &amp; "-" &amp; F3</f>
        <v>0001-00</v>
      </c>
    </row>
    <row r="4" spans="1:92" ht="15" thickBot="1" x14ac:dyDescent="0.35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193</v>
      </c>
      <c r="K4" s="376" t="s">
        <v>194</v>
      </c>
      <c r="L4" s="376" t="s">
        <v>195</v>
      </c>
      <c r="M4" s="376" t="s">
        <v>171</v>
      </c>
      <c r="N4" s="376" t="s">
        <v>172</v>
      </c>
      <c r="O4" s="379">
        <v>1</v>
      </c>
      <c r="P4" s="460">
        <v>0</v>
      </c>
      <c r="Q4" s="460">
        <v>0</v>
      </c>
      <c r="R4" s="380">
        <v>80</v>
      </c>
      <c r="S4" s="460">
        <v>0</v>
      </c>
      <c r="T4" s="380">
        <v>9980.91</v>
      </c>
      <c r="U4" s="380">
        <v>0</v>
      </c>
      <c r="V4" s="380">
        <v>4536.1899999999996</v>
      </c>
      <c r="W4" s="380">
        <v>0</v>
      </c>
      <c r="X4" s="380">
        <v>0</v>
      </c>
      <c r="Y4" s="380">
        <v>0</v>
      </c>
      <c r="Z4" s="380">
        <v>0</v>
      </c>
      <c r="AA4" s="376" t="s">
        <v>196</v>
      </c>
      <c r="AB4" s="376" t="s">
        <v>197</v>
      </c>
      <c r="AC4" s="376" t="s">
        <v>198</v>
      </c>
      <c r="AD4" s="376" t="s">
        <v>176</v>
      </c>
      <c r="AE4" s="376" t="s">
        <v>194</v>
      </c>
      <c r="AF4" s="376" t="s">
        <v>199</v>
      </c>
      <c r="AG4" s="376" t="s">
        <v>178</v>
      </c>
      <c r="AH4" s="381">
        <v>25.76</v>
      </c>
      <c r="AI4" s="381">
        <v>4232.5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460">
        <v>1</v>
      </c>
      <c r="AQ4" s="460">
        <v>0</v>
      </c>
      <c r="AR4" s="458" t="s">
        <v>183</v>
      </c>
      <c r="AS4" s="462">
        <f t="shared" si="0"/>
        <v>0</v>
      </c>
      <c r="AT4">
        <f t="shared" si="1"/>
        <v>0</v>
      </c>
      <c r="AU4" s="462" t="str">
        <f>IF(AT4=0,"",IF(AND(AT4=1,M4="F",SUMIF(C2:C391,C4,AS2:AS391)&lt;=1),SUMIF(C2:C391,C4,AS2:AS391),IF(AND(AT4=1,M4="F",SUMIF(C2:C391,C4,AS2:AS391)&gt;1),1,"")))</f>
        <v/>
      </c>
      <c r="AV4" s="462" t="str">
        <f>IF(AT4=0,"",IF(AND(AT4=3,M4="F",SUMIF(C2:C391,C4,AS2:AS391)&lt;=1),SUMIF(C2:C391,C4,AS2:AS391),IF(AND(AT4=3,M4="F",SUMIF(C2:C391,C4,AS2:AS391)&gt;1),1,"")))</f>
        <v/>
      </c>
      <c r="AW4" s="462">
        <f>SUMIF(C2:C391,C4,O2:O391)</f>
        <v>3</v>
      </c>
      <c r="AX4" s="462">
        <f>IF(AND(M4="F",AS4&lt;&gt;0),SUMIF(C2:C391,C4,W2:W391),0)</f>
        <v>0</v>
      </c>
      <c r="AY4" s="462" t="str">
        <f t="shared" si="2"/>
        <v/>
      </c>
      <c r="AZ4" s="462" t="str">
        <f t="shared" si="3"/>
        <v/>
      </c>
      <c r="BA4" s="462">
        <f t="shared" si="4"/>
        <v>0</v>
      </c>
      <c r="BB4" s="462">
        <f>IF(AND(AT4=1,AK4="E",AU4&gt;=0.75,AW4=1),Health,IF(AND(AT4=1,AK4="E",AU4&gt;=0.75),Health*P4,IF(AND(AT4=1,AK4="E",AU4&gt;=0.5,AW4=1),PTHealth,IF(AND(AT4=1,AK4="E",AU4&gt;=0.5),PTHealth*P4,0))))</f>
        <v>0</v>
      </c>
      <c r="BC4" s="462">
        <f>IF(AND(AT4=3,AK4="E",AV4&gt;=0.75,AW4=1),Health,IF(AND(AT4=3,AK4="E",AV4&gt;=0.75),Health*P4,IF(AND(AT4=3,AK4="E",AV4&gt;=0.5,AW4=1),PTHealth,IF(AND(AT4=3,AK4="E",AV4&gt;=0.5),PTHealth*P4,0))))</f>
        <v>0</v>
      </c>
      <c r="BD4" s="462">
        <f>IF(AND(AT4&lt;&gt;0,AX4&gt;=MAXSSDI),SSDI*MAXSSDI*P4,IF(AT4&lt;&gt;0,SSDI*W4,0))</f>
        <v>0</v>
      </c>
      <c r="BE4" s="462">
        <f>IF(AT4&lt;&gt;0,SSHI*W4,0)</f>
        <v>0</v>
      </c>
      <c r="BF4" s="462">
        <f>IF(AND(AT4&lt;&gt;0,AN4&lt;&gt;"NE"),VLOOKUP(AN4,Retirement_Rates,3,FALSE)*W4,0)</f>
        <v>0</v>
      </c>
      <c r="BG4" s="462">
        <f>IF(AND(AT4&lt;&gt;0,AJ4&lt;&gt;"PF"),Life*W4,0)</f>
        <v>0</v>
      </c>
      <c r="BH4" s="462">
        <f>IF(AND(AT4&lt;&gt;0,AM4="Y"),UI*W4,0)</f>
        <v>0</v>
      </c>
      <c r="BI4" s="462">
        <f>IF(AND(AT4&lt;&gt;0,N4&lt;&gt;"NR"),DHR*W4,0)</f>
        <v>0</v>
      </c>
      <c r="BJ4" s="462">
        <f>IF(AT4&lt;&gt;0,WC*W4,0)</f>
        <v>0</v>
      </c>
      <c r="BK4" s="462">
        <f>IF(OR(AND(AT4&lt;&gt;0,AJ4&lt;&gt;"PF",AN4&lt;&gt;"NE",AG4&lt;&gt;"A"),AND(AL4="E",OR(AT4=1,AT4=3))),Sick*W4,0)</f>
        <v>0</v>
      </c>
      <c r="BL4" s="462">
        <f t="shared" si="5"/>
        <v>0</v>
      </c>
      <c r="BM4" s="462">
        <f t="shared" si="6"/>
        <v>0</v>
      </c>
      <c r="BN4" s="462">
        <f>IF(AND(AT4=1,AK4="E",AU4&gt;=0.75,AW4=1),HealthBY,IF(AND(AT4=1,AK4="E",AU4&gt;=0.75),HealthBY*P4,IF(AND(AT4=1,AK4="E",AU4&gt;=0.5,AW4=1),PTHealthBY,IF(AND(AT4=1,AK4="E",AU4&gt;=0.5),PTHealthBY*P4,0))))</f>
        <v>0</v>
      </c>
      <c r="BO4" s="462">
        <f>IF(AND(AT4=3,AK4="E",AV4&gt;=0.75,AW4=1),HealthBY,IF(AND(AT4=3,AK4="E",AV4&gt;=0.75),HealthBY*P4,IF(AND(AT4=3,AK4="E",AV4&gt;=0.5,AW4=1),PTHealthBY,IF(AND(AT4=3,AK4="E",AV4&gt;=0.5),PTHealthBY*P4,0))))</f>
        <v>0</v>
      </c>
      <c r="BP4" s="462">
        <f>IF(AND(AT4&lt;&gt;0,(AX4+BA4)&gt;=MAXSSDIBY),SSDIBY*MAXSSDIBY*P4,IF(AT4&lt;&gt;0,SSDIBY*W4,0))</f>
        <v>0</v>
      </c>
      <c r="BQ4" s="462">
        <f>IF(AT4&lt;&gt;0,SSHIBY*W4,0)</f>
        <v>0</v>
      </c>
      <c r="BR4" s="462">
        <f>IF(AND(AT4&lt;&gt;0,AN4&lt;&gt;"NE"),VLOOKUP(AN4,Retirement_Rates,4,FALSE)*W4,0)</f>
        <v>0</v>
      </c>
      <c r="BS4" s="462">
        <f>IF(AND(AT4&lt;&gt;0,AJ4&lt;&gt;"PF"),LifeBY*W4,0)</f>
        <v>0</v>
      </c>
      <c r="BT4" s="462">
        <f>IF(AND(AT4&lt;&gt;0,AM4="Y"),UIBY*W4,0)</f>
        <v>0</v>
      </c>
      <c r="BU4" s="462">
        <f>IF(AND(AT4&lt;&gt;0,N4&lt;&gt;"NR"),DHRBY*W4,0)</f>
        <v>0</v>
      </c>
      <c r="BV4" s="462">
        <f>IF(AT4&lt;&gt;0,WCBY*W4,0)</f>
        <v>0</v>
      </c>
      <c r="BW4" s="462">
        <f>IF(OR(AND(AT4&lt;&gt;0,AJ4&lt;&gt;"PF",AN4&lt;&gt;"NE",AG4&lt;&gt;"A"),AND(AL4="E",OR(AT4=1,AT4=3))),SickBY*W4,0)</f>
        <v>0</v>
      </c>
      <c r="BX4" s="462">
        <f t="shared" si="7"/>
        <v>0</v>
      </c>
      <c r="BY4" s="462">
        <f t="shared" si="8"/>
        <v>0</v>
      </c>
      <c r="BZ4" s="462">
        <f t="shared" si="9"/>
        <v>0</v>
      </c>
      <c r="CA4" s="462">
        <f t="shared" si="10"/>
        <v>0</v>
      </c>
      <c r="CB4" s="462">
        <f t="shared" si="11"/>
        <v>0</v>
      </c>
      <c r="CC4" s="462">
        <f>IF(AT4&lt;&gt;0,SSHICHG*Y4,0)</f>
        <v>0</v>
      </c>
      <c r="CD4" s="462">
        <f>IF(AND(AT4&lt;&gt;0,AN4&lt;&gt;"NE"),VLOOKUP(AN4,Retirement_Rates,5,FALSE)*Y4,0)</f>
        <v>0</v>
      </c>
      <c r="CE4" s="462">
        <f>IF(AND(AT4&lt;&gt;0,AJ4&lt;&gt;"PF"),LifeCHG*Y4,0)</f>
        <v>0</v>
      </c>
      <c r="CF4" s="462">
        <f>IF(AND(AT4&lt;&gt;0,AM4="Y"),UICHG*Y4,0)</f>
        <v>0</v>
      </c>
      <c r="CG4" s="462">
        <f>IF(AND(AT4&lt;&gt;0,N4&lt;&gt;"NR"),DHRCHG*Y4,0)</f>
        <v>0</v>
      </c>
      <c r="CH4" s="462">
        <f>IF(AT4&lt;&gt;0,WCCHG*Y4,0)</f>
        <v>0</v>
      </c>
      <c r="CI4" s="462">
        <f>IF(OR(AND(AT4&lt;&gt;0,AJ4&lt;&gt;"PF",AN4&lt;&gt;"NE",AG4&lt;&gt;"A"),AND(AL4="E",OR(AT4=1,AT4=3))),SickCHG*Y4,0)</f>
        <v>0</v>
      </c>
      <c r="CJ4" s="462">
        <f t="shared" si="12"/>
        <v>0</v>
      </c>
      <c r="CK4" s="462" t="str">
        <f t="shared" si="13"/>
        <v/>
      </c>
      <c r="CL4" s="462" t="str">
        <f t="shared" si="14"/>
        <v/>
      </c>
      <c r="CM4" s="462" t="str">
        <f t="shared" si="15"/>
        <v/>
      </c>
      <c r="CN4" s="462" t="str">
        <f t="shared" si="16"/>
        <v>0001-00</v>
      </c>
    </row>
    <row r="5" spans="1:92" ht="15" thickBot="1" x14ac:dyDescent="0.35">
      <c r="A5" s="376" t="s">
        <v>161</v>
      </c>
      <c r="B5" s="376" t="s">
        <v>162</v>
      </c>
      <c r="C5" s="376" t="s">
        <v>200</v>
      </c>
      <c r="D5" s="376" t="s">
        <v>201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202</v>
      </c>
      <c r="L5" s="376" t="s">
        <v>181</v>
      </c>
      <c r="M5" s="376" t="s">
        <v>171</v>
      </c>
      <c r="N5" s="376" t="s">
        <v>172</v>
      </c>
      <c r="O5" s="379">
        <v>1</v>
      </c>
      <c r="P5" s="460">
        <v>1</v>
      </c>
      <c r="Q5" s="460">
        <v>1</v>
      </c>
      <c r="R5" s="380">
        <v>80</v>
      </c>
      <c r="S5" s="460">
        <v>1</v>
      </c>
      <c r="T5" s="380">
        <v>70041.77</v>
      </c>
      <c r="U5" s="380">
        <v>0</v>
      </c>
      <c r="V5" s="380">
        <v>26060.87</v>
      </c>
      <c r="W5" s="380">
        <v>70678.399999999994</v>
      </c>
      <c r="X5" s="380">
        <v>28469.31</v>
      </c>
      <c r="Y5" s="380">
        <v>70678.399999999994</v>
      </c>
      <c r="Z5" s="380">
        <v>28674.29</v>
      </c>
      <c r="AA5" s="376" t="s">
        <v>203</v>
      </c>
      <c r="AB5" s="376" t="s">
        <v>204</v>
      </c>
      <c r="AC5" s="376" t="s">
        <v>205</v>
      </c>
      <c r="AD5" s="376" t="s">
        <v>170</v>
      </c>
      <c r="AE5" s="376" t="s">
        <v>202</v>
      </c>
      <c r="AF5" s="376" t="s">
        <v>206</v>
      </c>
      <c r="AG5" s="376" t="s">
        <v>178</v>
      </c>
      <c r="AH5" s="381">
        <v>33.979999999999997</v>
      </c>
      <c r="AI5" s="379">
        <v>27647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460">
        <v>1</v>
      </c>
      <c r="AQ5" s="460">
        <v>1</v>
      </c>
      <c r="AR5" s="458" t="s">
        <v>183</v>
      </c>
      <c r="AS5" s="462">
        <f t="shared" si="0"/>
        <v>1</v>
      </c>
      <c r="AT5">
        <f t="shared" si="1"/>
        <v>1</v>
      </c>
      <c r="AU5" s="462">
        <f>IF(AT5=0,"",IF(AND(AT5=1,M5="F",SUMIF(C2:C391,C5,AS2:AS391)&lt;=1),SUMIF(C2:C391,C5,AS2:AS391),IF(AND(AT5=1,M5="F",SUMIF(C2:C391,C5,AS2:AS391)&gt;1),1,"")))</f>
        <v>1</v>
      </c>
      <c r="AV5" s="462" t="str">
        <f>IF(AT5=0,"",IF(AND(AT5=3,M5="F",SUMIF(C2:C391,C5,AS2:AS391)&lt;=1),SUMIF(C2:C391,C5,AS2:AS391),IF(AND(AT5=3,M5="F",SUMIF(C2:C391,C5,AS2:AS391)&gt;1),1,"")))</f>
        <v/>
      </c>
      <c r="AW5" s="462">
        <f>SUMIF(C2:C391,C5,O2:O391)</f>
        <v>1</v>
      </c>
      <c r="AX5" s="462">
        <f>IF(AND(M5="F",AS5&lt;&gt;0),SUMIF(C2:C391,C5,W2:W391),0)</f>
        <v>70678.399999999994</v>
      </c>
      <c r="AY5" s="462">
        <f t="shared" si="2"/>
        <v>70678.399999999994</v>
      </c>
      <c r="AZ5" s="462" t="str">
        <f t="shared" si="3"/>
        <v/>
      </c>
      <c r="BA5" s="462">
        <f t="shared" si="4"/>
        <v>0</v>
      </c>
      <c r="BB5" s="462">
        <f>IF(AND(AT5=1,AK5="E",AU5&gt;=0.75,AW5=1),Health,IF(AND(AT5=1,AK5="E",AU5&gt;=0.75),Health*P5,IF(AND(AT5=1,AK5="E",AU5&gt;=0.5,AW5=1),PTHealth,IF(AND(AT5=1,AK5="E",AU5&gt;=0.5),PTHealth*P5,0))))</f>
        <v>11650</v>
      </c>
      <c r="BC5" s="462">
        <f>IF(AND(AT5=3,AK5="E",AV5&gt;=0.75,AW5=1),Health,IF(AND(AT5=3,AK5="E",AV5&gt;=0.75),Health*P5,IF(AND(AT5=3,AK5="E",AV5&gt;=0.5,AW5=1),PTHealth,IF(AND(AT5=3,AK5="E",AV5&gt;=0.5),PTHealth*P5,0))))</f>
        <v>0</v>
      </c>
      <c r="BD5" s="462">
        <f>IF(AND(AT5&lt;&gt;0,AX5&gt;=MAXSSDI),SSDI*MAXSSDI*P5,IF(AT5&lt;&gt;0,SSDI*W5,0))</f>
        <v>4382.0607999999993</v>
      </c>
      <c r="BE5" s="462">
        <f>IF(AT5&lt;&gt;0,SSHI*W5,0)</f>
        <v>1024.8368</v>
      </c>
      <c r="BF5" s="462">
        <f>IF(AND(AT5&lt;&gt;0,AN5&lt;&gt;"NE"),VLOOKUP(AN5,Retirement_Rates,3,FALSE)*W5,0)</f>
        <v>8439.0009599999994</v>
      </c>
      <c r="BG5" s="462">
        <f>IF(AND(AT5&lt;&gt;0,AJ5&lt;&gt;"PF"),Life*W5,0)</f>
        <v>509.59126399999997</v>
      </c>
      <c r="BH5" s="462">
        <f>IF(AND(AT5&lt;&gt;0,AM5="Y"),UI*W5,0)</f>
        <v>346.32415999999995</v>
      </c>
      <c r="BI5" s="462">
        <f>IF(AND(AT5&lt;&gt;0,N5&lt;&gt;"NR"),DHR*W5,0)</f>
        <v>216.27590399999997</v>
      </c>
      <c r="BJ5" s="462">
        <f>IF(AT5&lt;&gt;0,WC*W5,0)</f>
        <v>1901.2489599999999</v>
      </c>
      <c r="BK5" s="462">
        <f>IF(OR(AND(AT5&lt;&gt;0,AJ5&lt;&gt;"PF",AN5&lt;&gt;"NE",AG5&lt;&gt;"A"),AND(AL5="E",OR(AT5=1,AT5=3))),Sick*W5,0)</f>
        <v>0</v>
      </c>
      <c r="BL5" s="462">
        <f t="shared" si="5"/>
        <v>16819.338847999999</v>
      </c>
      <c r="BM5" s="462">
        <f t="shared" si="6"/>
        <v>0</v>
      </c>
      <c r="BN5" s="462">
        <f>IF(AND(AT5=1,AK5="E",AU5&gt;=0.75,AW5=1),HealthBY,IF(AND(AT5=1,AK5="E",AU5&gt;=0.75),HealthBY*P5,IF(AND(AT5=1,AK5="E",AU5&gt;=0.5,AW5=1),PTHealthBY,IF(AND(AT5=1,AK5="E",AU5&gt;=0.5),PTHealthBY*P5,0))))</f>
        <v>11650</v>
      </c>
      <c r="BO5" s="462">
        <f>IF(AND(AT5=3,AK5="E",AV5&gt;=0.75,AW5=1),HealthBY,IF(AND(AT5=3,AK5="E",AV5&gt;=0.75),HealthBY*P5,IF(AND(AT5=3,AK5="E",AV5&gt;=0.5,AW5=1),PTHealthBY,IF(AND(AT5=3,AK5="E",AV5&gt;=0.5),PTHealthBY*P5,0))))</f>
        <v>0</v>
      </c>
      <c r="BP5" s="462">
        <f>IF(AND(AT5&lt;&gt;0,(AX5+BA5)&gt;=MAXSSDIBY),SSDIBY*MAXSSDIBY*P5,IF(AT5&lt;&gt;0,SSDIBY*W5,0))</f>
        <v>4382.0607999999993</v>
      </c>
      <c r="BQ5" s="462">
        <f>IF(AT5&lt;&gt;0,SSHIBY*W5,0)</f>
        <v>1024.8368</v>
      </c>
      <c r="BR5" s="462">
        <f>IF(AND(AT5&lt;&gt;0,AN5&lt;&gt;"NE"),VLOOKUP(AN5,Retirement_Rates,4,FALSE)*W5,0)</f>
        <v>8439.0009599999994</v>
      </c>
      <c r="BS5" s="462">
        <f>IF(AND(AT5&lt;&gt;0,AJ5&lt;&gt;"PF"),LifeBY*W5,0)</f>
        <v>509.59126399999997</v>
      </c>
      <c r="BT5" s="462">
        <f>IF(AND(AT5&lt;&gt;0,AM5="Y"),UIBY*W5,0)</f>
        <v>0</v>
      </c>
      <c r="BU5" s="462">
        <f>IF(AND(AT5&lt;&gt;0,N5&lt;&gt;"NR"),DHRBY*W5,0)</f>
        <v>216.27590399999997</v>
      </c>
      <c r="BV5" s="462">
        <f>IF(AT5&lt;&gt;0,WCBY*W5,0)</f>
        <v>2452.5404800000001</v>
      </c>
      <c r="BW5" s="462">
        <f>IF(OR(AND(AT5&lt;&gt;0,AJ5&lt;&gt;"PF",AN5&lt;&gt;"NE",AG5&lt;&gt;"A"),AND(AL5="E",OR(AT5=1,AT5=3))),SickBY*W5,0)</f>
        <v>0</v>
      </c>
      <c r="BX5" s="462">
        <f t="shared" si="7"/>
        <v>17024.306207999998</v>
      </c>
      <c r="BY5" s="462">
        <f t="shared" si="8"/>
        <v>0</v>
      </c>
      <c r="BZ5" s="462">
        <f t="shared" si="9"/>
        <v>0</v>
      </c>
      <c r="CA5" s="462">
        <f t="shared" si="10"/>
        <v>0</v>
      </c>
      <c r="CB5" s="462">
        <f t="shared" si="11"/>
        <v>0</v>
      </c>
      <c r="CC5" s="462">
        <f>IF(AT5&lt;&gt;0,SSHICHG*Y5,0)</f>
        <v>0</v>
      </c>
      <c r="CD5" s="462">
        <f>IF(AND(AT5&lt;&gt;0,AN5&lt;&gt;"NE"),VLOOKUP(AN5,Retirement_Rates,5,FALSE)*Y5,0)</f>
        <v>0</v>
      </c>
      <c r="CE5" s="462">
        <f>IF(AND(AT5&lt;&gt;0,AJ5&lt;&gt;"PF"),LifeCHG*Y5,0)</f>
        <v>0</v>
      </c>
      <c r="CF5" s="462">
        <f>IF(AND(AT5&lt;&gt;0,AM5="Y"),UICHG*Y5,0)</f>
        <v>-346.32415999999995</v>
      </c>
      <c r="CG5" s="462">
        <f>IF(AND(AT5&lt;&gt;0,N5&lt;&gt;"NR"),DHRCHG*Y5,0)</f>
        <v>0</v>
      </c>
      <c r="CH5" s="462">
        <f>IF(AT5&lt;&gt;0,WCCHG*Y5,0)</f>
        <v>551.29152000000011</v>
      </c>
      <c r="CI5" s="462">
        <f>IF(OR(AND(AT5&lt;&gt;0,AJ5&lt;&gt;"PF",AN5&lt;&gt;"NE",AG5&lt;&gt;"A"),AND(AL5="E",OR(AT5=1,AT5=3))),SickCHG*Y5,0)</f>
        <v>0</v>
      </c>
      <c r="CJ5" s="462">
        <f t="shared" si="12"/>
        <v>204.96736000000016</v>
      </c>
      <c r="CK5" s="462" t="str">
        <f t="shared" si="13"/>
        <v/>
      </c>
      <c r="CL5" s="462" t="str">
        <f t="shared" si="14"/>
        <v/>
      </c>
      <c r="CM5" s="462" t="str">
        <f t="shared" si="15"/>
        <v/>
      </c>
      <c r="CN5" s="462" t="str">
        <f t="shared" si="16"/>
        <v>0001-00</v>
      </c>
    </row>
    <row r="6" spans="1:92" ht="15" thickBot="1" x14ac:dyDescent="0.35">
      <c r="A6" s="376" t="s">
        <v>161</v>
      </c>
      <c r="B6" s="376" t="s">
        <v>162</v>
      </c>
      <c r="C6" s="376" t="s">
        <v>207</v>
      </c>
      <c r="D6" s="376" t="s">
        <v>192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194</v>
      </c>
      <c r="L6" s="376" t="s">
        <v>195</v>
      </c>
      <c r="M6" s="376" t="s">
        <v>171</v>
      </c>
      <c r="N6" s="376" t="s">
        <v>172</v>
      </c>
      <c r="O6" s="379">
        <v>1</v>
      </c>
      <c r="P6" s="460">
        <v>1</v>
      </c>
      <c r="Q6" s="460">
        <v>1</v>
      </c>
      <c r="R6" s="380">
        <v>80</v>
      </c>
      <c r="S6" s="460">
        <v>1</v>
      </c>
      <c r="T6" s="380">
        <v>50075.98</v>
      </c>
      <c r="U6" s="380">
        <v>0</v>
      </c>
      <c r="V6" s="380">
        <v>22920.25</v>
      </c>
      <c r="W6" s="380">
        <v>53580.800000000003</v>
      </c>
      <c r="X6" s="380">
        <v>24400.58</v>
      </c>
      <c r="Y6" s="380">
        <v>53580.800000000003</v>
      </c>
      <c r="Z6" s="380">
        <v>24555.97</v>
      </c>
      <c r="AA6" s="376" t="s">
        <v>208</v>
      </c>
      <c r="AB6" s="376" t="s">
        <v>209</v>
      </c>
      <c r="AC6" s="376" t="s">
        <v>210</v>
      </c>
      <c r="AD6" s="376" t="s">
        <v>211</v>
      </c>
      <c r="AE6" s="376" t="s">
        <v>194</v>
      </c>
      <c r="AF6" s="376" t="s">
        <v>199</v>
      </c>
      <c r="AG6" s="376" t="s">
        <v>178</v>
      </c>
      <c r="AH6" s="381">
        <v>25.76</v>
      </c>
      <c r="AI6" s="381">
        <v>20492.400000000001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460">
        <v>1</v>
      </c>
      <c r="AQ6" s="460">
        <v>1</v>
      </c>
      <c r="AR6" s="458" t="s">
        <v>183</v>
      </c>
      <c r="AS6" s="462">
        <f t="shared" si="0"/>
        <v>1</v>
      </c>
      <c r="AT6">
        <f t="shared" si="1"/>
        <v>1</v>
      </c>
      <c r="AU6" s="462">
        <f>IF(AT6=0,"",IF(AND(AT6=1,M6="F",SUMIF(C2:C391,C6,AS2:AS391)&lt;=1),SUMIF(C2:C391,C6,AS2:AS391),IF(AND(AT6=1,M6="F",SUMIF(C2:C391,C6,AS2:AS391)&gt;1),1,"")))</f>
        <v>1</v>
      </c>
      <c r="AV6" s="462" t="str">
        <f>IF(AT6=0,"",IF(AND(AT6=3,M6="F",SUMIF(C2:C391,C6,AS2:AS391)&lt;=1),SUMIF(C2:C391,C6,AS2:AS391),IF(AND(AT6=3,M6="F",SUMIF(C2:C391,C6,AS2:AS391)&gt;1),1,"")))</f>
        <v/>
      </c>
      <c r="AW6" s="462">
        <f>SUMIF(C2:C391,C6,O2:O391)</f>
        <v>1</v>
      </c>
      <c r="AX6" s="462">
        <f>IF(AND(M6="F",AS6&lt;&gt;0),SUMIF(C2:C391,C6,W2:W391),0)</f>
        <v>53580.800000000003</v>
      </c>
      <c r="AY6" s="462">
        <f t="shared" si="2"/>
        <v>53580.800000000003</v>
      </c>
      <c r="AZ6" s="462" t="str">
        <f t="shared" si="3"/>
        <v/>
      </c>
      <c r="BA6" s="462">
        <f t="shared" si="4"/>
        <v>0</v>
      </c>
      <c r="BB6" s="462">
        <f>IF(AND(AT6=1,AK6="E",AU6&gt;=0.75,AW6=1),Health,IF(AND(AT6=1,AK6="E",AU6&gt;=0.75),Health*P6,IF(AND(AT6=1,AK6="E",AU6&gt;=0.5,AW6=1),PTHealth,IF(AND(AT6=1,AK6="E",AU6&gt;=0.5),PTHealth*P6,0))))</f>
        <v>11650</v>
      </c>
      <c r="BC6" s="462">
        <f>IF(AND(AT6=3,AK6="E",AV6&gt;=0.75,AW6=1),Health,IF(AND(AT6=3,AK6="E",AV6&gt;=0.75),Health*P6,IF(AND(AT6=3,AK6="E",AV6&gt;=0.5,AW6=1),PTHealth,IF(AND(AT6=3,AK6="E",AV6&gt;=0.5),PTHealth*P6,0))))</f>
        <v>0</v>
      </c>
      <c r="BD6" s="462">
        <f>IF(AND(AT6&lt;&gt;0,AX6&gt;=MAXSSDI),SSDI*MAXSSDI*P6,IF(AT6&lt;&gt;0,SSDI*W6,0))</f>
        <v>3322.0096000000003</v>
      </c>
      <c r="BE6" s="462">
        <f>IF(AT6&lt;&gt;0,SSHI*W6,0)</f>
        <v>776.92160000000013</v>
      </c>
      <c r="BF6" s="462">
        <f>IF(AND(AT6&lt;&gt;0,AN6&lt;&gt;"NE"),VLOOKUP(AN6,Retirement_Rates,3,FALSE)*W6,0)</f>
        <v>6397.547520000001</v>
      </c>
      <c r="BG6" s="462">
        <f>IF(AND(AT6&lt;&gt;0,AJ6&lt;&gt;"PF"),Life*W6,0)</f>
        <v>386.31756800000005</v>
      </c>
      <c r="BH6" s="462">
        <f>IF(AND(AT6&lt;&gt;0,AM6="Y"),UI*W6,0)</f>
        <v>262.54592000000002</v>
      </c>
      <c r="BI6" s="462">
        <f>IF(AND(AT6&lt;&gt;0,N6&lt;&gt;"NR"),DHR*W6,0)</f>
        <v>163.95724799999999</v>
      </c>
      <c r="BJ6" s="462">
        <f>IF(AT6&lt;&gt;0,WC*W6,0)</f>
        <v>1441.3235200000001</v>
      </c>
      <c r="BK6" s="462">
        <f>IF(OR(AND(AT6&lt;&gt;0,AJ6&lt;&gt;"PF",AN6&lt;&gt;"NE",AG6&lt;&gt;"A"),AND(AL6="E",OR(AT6=1,AT6=3))),Sick*W6,0)</f>
        <v>0</v>
      </c>
      <c r="BL6" s="462">
        <f t="shared" si="5"/>
        <v>12750.622976000004</v>
      </c>
      <c r="BM6" s="462">
        <f t="shared" si="6"/>
        <v>0</v>
      </c>
      <c r="BN6" s="462">
        <f>IF(AND(AT6=1,AK6="E",AU6&gt;=0.75,AW6=1),HealthBY,IF(AND(AT6=1,AK6="E",AU6&gt;=0.75),HealthBY*P6,IF(AND(AT6=1,AK6="E",AU6&gt;=0.5,AW6=1),PTHealthBY,IF(AND(AT6=1,AK6="E",AU6&gt;=0.5),PTHealthBY*P6,0))))</f>
        <v>11650</v>
      </c>
      <c r="BO6" s="462">
        <f>IF(AND(AT6=3,AK6="E",AV6&gt;=0.75,AW6=1),HealthBY,IF(AND(AT6=3,AK6="E",AV6&gt;=0.75),HealthBY*P6,IF(AND(AT6=3,AK6="E",AV6&gt;=0.5,AW6=1),PTHealthBY,IF(AND(AT6=3,AK6="E",AV6&gt;=0.5),PTHealthBY*P6,0))))</f>
        <v>0</v>
      </c>
      <c r="BP6" s="462">
        <f>IF(AND(AT6&lt;&gt;0,(AX6+BA6)&gt;=MAXSSDIBY),SSDIBY*MAXSSDIBY*P6,IF(AT6&lt;&gt;0,SSDIBY*W6,0))</f>
        <v>3322.0096000000003</v>
      </c>
      <c r="BQ6" s="462">
        <f>IF(AT6&lt;&gt;0,SSHIBY*W6,0)</f>
        <v>776.92160000000013</v>
      </c>
      <c r="BR6" s="462">
        <f>IF(AND(AT6&lt;&gt;0,AN6&lt;&gt;"NE"),VLOOKUP(AN6,Retirement_Rates,4,FALSE)*W6,0)</f>
        <v>6397.547520000001</v>
      </c>
      <c r="BS6" s="462">
        <f>IF(AND(AT6&lt;&gt;0,AJ6&lt;&gt;"PF"),LifeBY*W6,0)</f>
        <v>386.31756800000005</v>
      </c>
      <c r="BT6" s="462">
        <f>IF(AND(AT6&lt;&gt;0,AM6="Y"),UIBY*W6,0)</f>
        <v>0</v>
      </c>
      <c r="BU6" s="462">
        <f>IF(AND(AT6&lt;&gt;0,N6&lt;&gt;"NR"),DHRBY*W6,0)</f>
        <v>163.95724799999999</v>
      </c>
      <c r="BV6" s="462">
        <f>IF(AT6&lt;&gt;0,WCBY*W6,0)</f>
        <v>1859.2537600000003</v>
      </c>
      <c r="BW6" s="462">
        <f>IF(OR(AND(AT6&lt;&gt;0,AJ6&lt;&gt;"PF",AN6&lt;&gt;"NE",AG6&lt;&gt;"A"),AND(AL6="E",OR(AT6=1,AT6=3))),SickBY*W6,0)</f>
        <v>0</v>
      </c>
      <c r="BX6" s="462">
        <f t="shared" si="7"/>
        <v>12906.007296000003</v>
      </c>
      <c r="BY6" s="462">
        <f t="shared" si="8"/>
        <v>0</v>
      </c>
      <c r="BZ6" s="462">
        <f t="shared" si="9"/>
        <v>0</v>
      </c>
      <c r="CA6" s="462">
        <f t="shared" si="10"/>
        <v>0</v>
      </c>
      <c r="CB6" s="462">
        <f t="shared" si="11"/>
        <v>0</v>
      </c>
      <c r="CC6" s="462">
        <f>IF(AT6&lt;&gt;0,SSHICHG*Y6,0)</f>
        <v>0</v>
      </c>
      <c r="CD6" s="462">
        <f>IF(AND(AT6&lt;&gt;0,AN6&lt;&gt;"NE"),VLOOKUP(AN6,Retirement_Rates,5,FALSE)*Y6,0)</f>
        <v>0</v>
      </c>
      <c r="CE6" s="462">
        <f>IF(AND(AT6&lt;&gt;0,AJ6&lt;&gt;"PF"),LifeCHG*Y6,0)</f>
        <v>0</v>
      </c>
      <c r="CF6" s="462">
        <f>IF(AND(AT6&lt;&gt;0,AM6="Y"),UICHG*Y6,0)</f>
        <v>-262.54592000000002</v>
      </c>
      <c r="CG6" s="462">
        <f>IF(AND(AT6&lt;&gt;0,N6&lt;&gt;"NR"),DHRCHG*Y6,0)</f>
        <v>0</v>
      </c>
      <c r="CH6" s="462">
        <f>IF(AT6&lt;&gt;0,WCCHG*Y6,0)</f>
        <v>417.93024000000008</v>
      </c>
      <c r="CI6" s="462">
        <f>IF(OR(AND(AT6&lt;&gt;0,AJ6&lt;&gt;"PF",AN6&lt;&gt;"NE",AG6&lt;&gt;"A"),AND(AL6="E",OR(AT6=1,AT6=3))),SickCHG*Y6,0)</f>
        <v>0</v>
      </c>
      <c r="CJ6" s="462">
        <f t="shared" si="12"/>
        <v>155.38432000000006</v>
      </c>
      <c r="CK6" s="462" t="str">
        <f t="shared" si="13"/>
        <v/>
      </c>
      <c r="CL6" s="462" t="str">
        <f t="shared" si="14"/>
        <v/>
      </c>
      <c r="CM6" s="462" t="str">
        <f t="shared" si="15"/>
        <v/>
      </c>
      <c r="CN6" s="462" t="str">
        <f t="shared" si="16"/>
        <v>0001-00</v>
      </c>
    </row>
    <row r="7" spans="1:92" ht="15" thickBot="1" x14ac:dyDescent="0.35">
      <c r="A7" s="376" t="s">
        <v>161</v>
      </c>
      <c r="B7" s="376" t="s">
        <v>162</v>
      </c>
      <c r="C7" s="376" t="s">
        <v>212</v>
      </c>
      <c r="D7" s="376" t="s">
        <v>213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193</v>
      </c>
      <c r="K7" s="376" t="s">
        <v>214</v>
      </c>
      <c r="L7" s="376" t="s">
        <v>215</v>
      </c>
      <c r="M7" s="376" t="s">
        <v>171</v>
      </c>
      <c r="N7" s="376" t="s">
        <v>172</v>
      </c>
      <c r="O7" s="379">
        <v>1</v>
      </c>
      <c r="P7" s="460">
        <v>0.7</v>
      </c>
      <c r="Q7" s="460">
        <v>0.7</v>
      </c>
      <c r="R7" s="380">
        <v>80</v>
      </c>
      <c r="S7" s="460">
        <v>0.7</v>
      </c>
      <c r="T7" s="380">
        <v>38090.65</v>
      </c>
      <c r="U7" s="380">
        <v>0</v>
      </c>
      <c r="V7" s="380">
        <v>13372.85</v>
      </c>
      <c r="W7" s="380">
        <v>51804.480000000003</v>
      </c>
      <c r="X7" s="380">
        <v>20482.88</v>
      </c>
      <c r="Y7" s="380">
        <v>51804.480000000003</v>
      </c>
      <c r="Z7" s="380">
        <v>20633.12</v>
      </c>
      <c r="AA7" s="376" t="s">
        <v>216</v>
      </c>
      <c r="AB7" s="376" t="s">
        <v>217</v>
      </c>
      <c r="AC7" s="376" t="s">
        <v>218</v>
      </c>
      <c r="AD7" s="376" t="s">
        <v>176</v>
      </c>
      <c r="AE7" s="376" t="s">
        <v>214</v>
      </c>
      <c r="AF7" s="376" t="s">
        <v>219</v>
      </c>
      <c r="AG7" s="376" t="s">
        <v>178</v>
      </c>
      <c r="AH7" s="381">
        <v>35.58</v>
      </c>
      <c r="AI7" s="379">
        <v>5840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460">
        <v>1</v>
      </c>
      <c r="AQ7" s="460">
        <v>0.7</v>
      </c>
      <c r="AR7" s="458" t="s">
        <v>183</v>
      </c>
      <c r="AS7" s="462">
        <f t="shared" si="0"/>
        <v>0.7</v>
      </c>
      <c r="AT7">
        <f t="shared" si="1"/>
        <v>1</v>
      </c>
      <c r="AU7" s="462">
        <f>IF(AT7=0,"",IF(AND(AT7=1,M7="F",SUMIF(C2:C391,C7,AS2:AS391)&lt;=1),SUMIF(C2:C391,C7,AS2:AS391),IF(AND(AT7=1,M7="F",SUMIF(C2:C391,C7,AS2:AS391)&gt;1),1,"")))</f>
        <v>1</v>
      </c>
      <c r="AV7" s="462" t="str">
        <f>IF(AT7=0,"",IF(AND(AT7=3,M7="F",SUMIF(C2:C391,C7,AS2:AS391)&lt;=1),SUMIF(C2:C391,C7,AS2:AS391),IF(AND(AT7=3,M7="F",SUMIF(C2:C391,C7,AS2:AS391)&gt;1),1,"")))</f>
        <v/>
      </c>
      <c r="AW7" s="462">
        <f>SUMIF(C2:C391,C7,O2:O391)</f>
        <v>2</v>
      </c>
      <c r="AX7" s="462">
        <f>IF(AND(M7="F",AS7&lt;&gt;0),SUMIF(C2:C391,C7,W2:W391),0)</f>
        <v>74006.399999999994</v>
      </c>
      <c r="AY7" s="462">
        <f t="shared" si="2"/>
        <v>51804.480000000003</v>
      </c>
      <c r="AZ7" s="462" t="str">
        <f t="shared" si="3"/>
        <v/>
      </c>
      <c r="BA7" s="462">
        <f t="shared" si="4"/>
        <v>0</v>
      </c>
      <c r="BB7" s="462">
        <f>IF(AND(AT7=1,AK7="E",AU7&gt;=0.75,AW7=1),Health,IF(AND(AT7=1,AK7="E",AU7&gt;=0.75),Health*P7,IF(AND(AT7=1,AK7="E",AU7&gt;=0.5,AW7=1),PTHealth,IF(AND(AT7=1,AK7="E",AU7&gt;=0.5),PTHealth*P7,0))))</f>
        <v>8154.9999999999991</v>
      </c>
      <c r="BC7" s="462">
        <f>IF(AND(AT7=3,AK7="E",AV7&gt;=0.75,AW7=1),Health,IF(AND(AT7=3,AK7="E",AV7&gt;=0.75),Health*P7,IF(AND(AT7=3,AK7="E",AV7&gt;=0.5,AW7=1),PTHealth,IF(AND(AT7=3,AK7="E",AV7&gt;=0.5),PTHealth*P7,0))))</f>
        <v>0</v>
      </c>
      <c r="BD7" s="462">
        <f>IF(AND(AT7&lt;&gt;0,AX7&gt;=MAXSSDI),SSDI*MAXSSDI*P7,IF(AT7&lt;&gt;0,SSDI*W7,0))</f>
        <v>3211.8777600000003</v>
      </c>
      <c r="BE7" s="462">
        <f>IF(AT7&lt;&gt;0,SSHI*W7,0)</f>
        <v>751.16496000000006</v>
      </c>
      <c r="BF7" s="462">
        <f>IF(AND(AT7&lt;&gt;0,AN7&lt;&gt;"NE"),VLOOKUP(AN7,Retirement_Rates,3,FALSE)*W7,0)</f>
        <v>6185.4549120000011</v>
      </c>
      <c r="BG7" s="462">
        <f>IF(AND(AT7&lt;&gt;0,AJ7&lt;&gt;"PF"),Life*W7,0)</f>
        <v>373.51030080000004</v>
      </c>
      <c r="BH7" s="462">
        <f>IF(AND(AT7&lt;&gt;0,AM7="Y"),UI*W7,0)</f>
        <v>253.84195200000002</v>
      </c>
      <c r="BI7" s="462">
        <f>IF(AND(AT7&lt;&gt;0,N7&lt;&gt;"NR"),DHR*W7,0)</f>
        <v>158.5217088</v>
      </c>
      <c r="BJ7" s="462">
        <f>IF(AT7&lt;&gt;0,WC*W7,0)</f>
        <v>1393.540512</v>
      </c>
      <c r="BK7" s="462">
        <f>IF(OR(AND(AT7&lt;&gt;0,AJ7&lt;&gt;"PF",AN7&lt;&gt;"NE",AG7&lt;&gt;"A"),AND(AL7="E",OR(AT7=1,AT7=3))),Sick*W7,0)</f>
        <v>0</v>
      </c>
      <c r="BL7" s="462">
        <f t="shared" si="5"/>
        <v>12327.912105600004</v>
      </c>
      <c r="BM7" s="462">
        <f t="shared" si="6"/>
        <v>0</v>
      </c>
      <c r="BN7" s="462">
        <f>IF(AND(AT7=1,AK7="E",AU7&gt;=0.75,AW7=1),HealthBY,IF(AND(AT7=1,AK7="E",AU7&gt;=0.75),HealthBY*P7,IF(AND(AT7=1,AK7="E",AU7&gt;=0.5,AW7=1),PTHealthBY,IF(AND(AT7=1,AK7="E",AU7&gt;=0.5),PTHealthBY*P7,0))))</f>
        <v>8154.9999999999991</v>
      </c>
      <c r="BO7" s="462">
        <f>IF(AND(AT7=3,AK7="E",AV7&gt;=0.75,AW7=1),HealthBY,IF(AND(AT7=3,AK7="E",AV7&gt;=0.75),HealthBY*P7,IF(AND(AT7=3,AK7="E",AV7&gt;=0.5,AW7=1),PTHealthBY,IF(AND(AT7=3,AK7="E",AV7&gt;=0.5),PTHealthBY*P7,0))))</f>
        <v>0</v>
      </c>
      <c r="BP7" s="462">
        <f>IF(AND(AT7&lt;&gt;0,(AX7+BA7)&gt;=MAXSSDIBY),SSDIBY*MAXSSDIBY*P7,IF(AT7&lt;&gt;0,SSDIBY*W7,0))</f>
        <v>3211.8777600000003</v>
      </c>
      <c r="BQ7" s="462">
        <f>IF(AT7&lt;&gt;0,SSHIBY*W7,0)</f>
        <v>751.16496000000006</v>
      </c>
      <c r="BR7" s="462">
        <f>IF(AND(AT7&lt;&gt;0,AN7&lt;&gt;"NE"),VLOOKUP(AN7,Retirement_Rates,4,FALSE)*W7,0)</f>
        <v>6185.4549120000011</v>
      </c>
      <c r="BS7" s="462">
        <f>IF(AND(AT7&lt;&gt;0,AJ7&lt;&gt;"PF"),LifeBY*W7,0)</f>
        <v>373.51030080000004</v>
      </c>
      <c r="BT7" s="462">
        <f>IF(AND(AT7&lt;&gt;0,AM7="Y"),UIBY*W7,0)</f>
        <v>0</v>
      </c>
      <c r="BU7" s="462">
        <f>IF(AND(AT7&lt;&gt;0,N7&lt;&gt;"NR"),DHRBY*W7,0)</f>
        <v>158.5217088</v>
      </c>
      <c r="BV7" s="462">
        <f>IF(AT7&lt;&gt;0,WCBY*W7,0)</f>
        <v>1797.6154560000002</v>
      </c>
      <c r="BW7" s="462">
        <f>IF(OR(AND(AT7&lt;&gt;0,AJ7&lt;&gt;"PF",AN7&lt;&gt;"NE",AG7&lt;&gt;"A"),AND(AL7="E",OR(AT7=1,AT7=3))),SickBY*W7,0)</f>
        <v>0</v>
      </c>
      <c r="BX7" s="462">
        <f t="shared" si="7"/>
        <v>12478.145097600003</v>
      </c>
      <c r="BY7" s="462">
        <f t="shared" si="8"/>
        <v>0</v>
      </c>
      <c r="BZ7" s="462">
        <f t="shared" si="9"/>
        <v>0</v>
      </c>
      <c r="CA7" s="462">
        <f t="shared" si="10"/>
        <v>0</v>
      </c>
      <c r="CB7" s="462">
        <f t="shared" si="11"/>
        <v>0</v>
      </c>
      <c r="CC7" s="462">
        <f>IF(AT7&lt;&gt;0,SSHICHG*Y7,0)</f>
        <v>0</v>
      </c>
      <c r="CD7" s="462">
        <f>IF(AND(AT7&lt;&gt;0,AN7&lt;&gt;"NE"),VLOOKUP(AN7,Retirement_Rates,5,FALSE)*Y7,0)</f>
        <v>0</v>
      </c>
      <c r="CE7" s="462">
        <f>IF(AND(AT7&lt;&gt;0,AJ7&lt;&gt;"PF"),LifeCHG*Y7,0)</f>
        <v>0</v>
      </c>
      <c r="CF7" s="462">
        <f>IF(AND(AT7&lt;&gt;0,AM7="Y"),UICHG*Y7,0)</f>
        <v>-253.84195200000002</v>
      </c>
      <c r="CG7" s="462">
        <f>IF(AND(AT7&lt;&gt;0,N7&lt;&gt;"NR"),DHRCHG*Y7,0)</f>
        <v>0</v>
      </c>
      <c r="CH7" s="462">
        <f>IF(AT7&lt;&gt;0,WCCHG*Y7,0)</f>
        <v>404.07494400000007</v>
      </c>
      <c r="CI7" s="462">
        <f>IF(OR(AND(AT7&lt;&gt;0,AJ7&lt;&gt;"PF",AN7&lt;&gt;"NE",AG7&lt;&gt;"A"),AND(AL7="E",OR(AT7=1,AT7=3))),SickCHG*Y7,0)</f>
        <v>0</v>
      </c>
      <c r="CJ7" s="462">
        <f t="shared" si="12"/>
        <v>150.23299200000005</v>
      </c>
      <c r="CK7" s="462" t="str">
        <f t="shared" si="13"/>
        <v/>
      </c>
      <c r="CL7" s="462" t="str">
        <f t="shared" si="14"/>
        <v/>
      </c>
      <c r="CM7" s="462" t="str">
        <f t="shared" si="15"/>
        <v/>
      </c>
      <c r="CN7" s="462" t="str">
        <f t="shared" si="16"/>
        <v>0001-00</v>
      </c>
    </row>
    <row r="8" spans="1:92" ht="15" thickBot="1" x14ac:dyDescent="0.35">
      <c r="A8" s="376" t="s">
        <v>161</v>
      </c>
      <c r="B8" s="376" t="s">
        <v>162</v>
      </c>
      <c r="C8" s="376" t="s">
        <v>220</v>
      </c>
      <c r="D8" s="376" t="s">
        <v>221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193</v>
      </c>
      <c r="K8" s="376" t="s">
        <v>222</v>
      </c>
      <c r="L8" s="376" t="s">
        <v>166</v>
      </c>
      <c r="M8" s="376" t="s">
        <v>171</v>
      </c>
      <c r="N8" s="376" t="s">
        <v>223</v>
      </c>
      <c r="O8" s="379">
        <v>0</v>
      </c>
      <c r="P8" s="460">
        <v>0</v>
      </c>
      <c r="Q8" s="460">
        <v>0</v>
      </c>
      <c r="R8" s="380">
        <v>0</v>
      </c>
      <c r="S8" s="460">
        <v>0</v>
      </c>
      <c r="T8" s="380">
        <v>10095</v>
      </c>
      <c r="U8" s="380">
        <v>0</v>
      </c>
      <c r="V8" s="380">
        <v>2201.4499999999998</v>
      </c>
      <c r="W8" s="380">
        <v>0</v>
      </c>
      <c r="X8" s="380">
        <v>0</v>
      </c>
      <c r="Y8" s="380">
        <v>0</v>
      </c>
      <c r="Z8" s="380">
        <v>0</v>
      </c>
      <c r="AA8" s="378"/>
      <c r="AB8" s="376" t="s">
        <v>45</v>
      </c>
      <c r="AC8" s="376" t="s">
        <v>45</v>
      </c>
      <c r="AD8" s="378"/>
      <c r="AE8" s="378"/>
      <c r="AF8" s="378"/>
      <c r="AG8" s="378"/>
      <c r="AH8" s="379">
        <v>0</v>
      </c>
      <c r="AI8" s="379">
        <v>0</v>
      </c>
      <c r="AJ8" s="378"/>
      <c r="AK8" s="378"/>
      <c r="AL8" s="376" t="s">
        <v>181</v>
      </c>
      <c r="AM8" s="378"/>
      <c r="AN8" s="378"/>
      <c r="AO8" s="379">
        <v>0</v>
      </c>
      <c r="AP8" s="460">
        <v>0</v>
      </c>
      <c r="AQ8" s="460">
        <v>0</v>
      </c>
      <c r="AR8" s="459"/>
      <c r="AS8" s="462">
        <f t="shared" si="0"/>
        <v>0</v>
      </c>
      <c r="AT8">
        <f t="shared" si="1"/>
        <v>0</v>
      </c>
      <c r="AU8" s="462" t="str">
        <f>IF(AT8=0,"",IF(AND(AT8=1,M8="F",SUMIF(C2:C391,C8,AS2:AS391)&lt;=1),SUMIF(C2:C391,C8,AS2:AS391),IF(AND(AT8=1,M8="F",SUMIF(C2:C391,C8,AS2:AS391)&gt;1),1,"")))</f>
        <v/>
      </c>
      <c r="AV8" s="462" t="str">
        <f>IF(AT8=0,"",IF(AND(AT8=3,M8="F",SUMIF(C2:C391,C8,AS2:AS391)&lt;=1),SUMIF(C2:C391,C8,AS2:AS391),IF(AND(AT8=3,M8="F",SUMIF(C2:C391,C8,AS2:AS391)&gt;1),1,"")))</f>
        <v/>
      </c>
      <c r="AW8" s="462">
        <f>SUMIF(C2:C391,C8,O2:O391)</f>
        <v>0</v>
      </c>
      <c r="AX8" s="462">
        <f>IF(AND(M8="F",AS8&lt;&gt;0),SUMIF(C2:C391,C8,W2:W391),0)</f>
        <v>0</v>
      </c>
      <c r="AY8" s="462" t="str">
        <f t="shared" si="2"/>
        <v/>
      </c>
      <c r="AZ8" s="462" t="str">
        <f t="shared" si="3"/>
        <v/>
      </c>
      <c r="BA8" s="462">
        <f t="shared" si="4"/>
        <v>0</v>
      </c>
      <c r="BB8" s="462">
        <f>IF(AND(AT8=1,AK8="E",AU8&gt;=0.75,AW8=1),Health,IF(AND(AT8=1,AK8="E",AU8&gt;=0.75),Health*P8,IF(AND(AT8=1,AK8="E",AU8&gt;=0.5,AW8=1),PTHealth,IF(AND(AT8=1,AK8="E",AU8&gt;=0.5),PTHealth*P8,0))))</f>
        <v>0</v>
      </c>
      <c r="BC8" s="462">
        <f>IF(AND(AT8=3,AK8="E",AV8&gt;=0.75,AW8=1),Health,IF(AND(AT8=3,AK8="E",AV8&gt;=0.75),Health*P8,IF(AND(AT8=3,AK8="E",AV8&gt;=0.5,AW8=1),PTHealth,IF(AND(AT8=3,AK8="E",AV8&gt;=0.5),PTHealth*P8,0))))</f>
        <v>0</v>
      </c>
      <c r="BD8" s="462">
        <f>IF(AND(AT8&lt;&gt;0,AX8&gt;=MAXSSDI),SSDI*MAXSSDI*P8,IF(AT8&lt;&gt;0,SSDI*W8,0))</f>
        <v>0</v>
      </c>
      <c r="BE8" s="462">
        <f>IF(AT8&lt;&gt;0,SSHI*W8,0)</f>
        <v>0</v>
      </c>
      <c r="BF8" s="462">
        <f>IF(AND(AT8&lt;&gt;0,AN8&lt;&gt;"NE"),VLOOKUP(AN8,Retirement_Rates,3,FALSE)*W8,0)</f>
        <v>0</v>
      </c>
      <c r="BG8" s="462">
        <f>IF(AND(AT8&lt;&gt;0,AJ8&lt;&gt;"PF"),Life*W8,0)</f>
        <v>0</v>
      </c>
      <c r="BH8" s="462">
        <f>IF(AND(AT8&lt;&gt;0,AM8="Y"),UI*W8,0)</f>
        <v>0</v>
      </c>
      <c r="BI8" s="462">
        <f>IF(AND(AT8&lt;&gt;0,N8&lt;&gt;"NR"),DHR*W8,0)</f>
        <v>0</v>
      </c>
      <c r="BJ8" s="462">
        <f>IF(AT8&lt;&gt;0,WC*W8,0)</f>
        <v>0</v>
      </c>
      <c r="BK8" s="462">
        <f>IF(OR(AND(AT8&lt;&gt;0,AJ8&lt;&gt;"PF",AN8&lt;&gt;"NE",AG8&lt;&gt;"A"),AND(AL8="E",OR(AT8=1,AT8=3))),Sick*W8,0)</f>
        <v>0</v>
      </c>
      <c r="BL8" s="462">
        <f t="shared" si="5"/>
        <v>0</v>
      </c>
      <c r="BM8" s="462">
        <f t="shared" si="6"/>
        <v>0</v>
      </c>
      <c r="BN8" s="462">
        <f>IF(AND(AT8=1,AK8="E",AU8&gt;=0.75,AW8=1),HealthBY,IF(AND(AT8=1,AK8="E",AU8&gt;=0.75),HealthBY*P8,IF(AND(AT8=1,AK8="E",AU8&gt;=0.5,AW8=1),PTHealthBY,IF(AND(AT8=1,AK8="E",AU8&gt;=0.5),PTHealthBY*P8,0))))</f>
        <v>0</v>
      </c>
      <c r="BO8" s="462">
        <f>IF(AND(AT8=3,AK8="E",AV8&gt;=0.75,AW8=1),HealthBY,IF(AND(AT8=3,AK8="E",AV8&gt;=0.75),HealthBY*P8,IF(AND(AT8=3,AK8="E",AV8&gt;=0.5,AW8=1),PTHealthBY,IF(AND(AT8=3,AK8="E",AV8&gt;=0.5),PTHealthBY*P8,0))))</f>
        <v>0</v>
      </c>
      <c r="BP8" s="462">
        <f>IF(AND(AT8&lt;&gt;0,(AX8+BA8)&gt;=MAXSSDIBY),SSDIBY*MAXSSDIBY*P8,IF(AT8&lt;&gt;0,SSDIBY*W8,0))</f>
        <v>0</v>
      </c>
      <c r="BQ8" s="462">
        <f>IF(AT8&lt;&gt;0,SSHIBY*W8,0)</f>
        <v>0</v>
      </c>
      <c r="BR8" s="462">
        <f>IF(AND(AT8&lt;&gt;0,AN8&lt;&gt;"NE"),VLOOKUP(AN8,Retirement_Rates,4,FALSE)*W8,0)</f>
        <v>0</v>
      </c>
      <c r="BS8" s="462">
        <f>IF(AND(AT8&lt;&gt;0,AJ8&lt;&gt;"PF"),LifeBY*W8,0)</f>
        <v>0</v>
      </c>
      <c r="BT8" s="462">
        <f>IF(AND(AT8&lt;&gt;0,AM8="Y"),UIBY*W8,0)</f>
        <v>0</v>
      </c>
      <c r="BU8" s="462">
        <f>IF(AND(AT8&lt;&gt;0,N8&lt;&gt;"NR"),DHRBY*W8,0)</f>
        <v>0</v>
      </c>
      <c r="BV8" s="462">
        <f>IF(AT8&lt;&gt;0,WCBY*W8,0)</f>
        <v>0</v>
      </c>
      <c r="BW8" s="462">
        <f>IF(OR(AND(AT8&lt;&gt;0,AJ8&lt;&gt;"PF",AN8&lt;&gt;"NE",AG8&lt;&gt;"A"),AND(AL8="E",OR(AT8=1,AT8=3))),SickBY*W8,0)</f>
        <v>0</v>
      </c>
      <c r="BX8" s="462">
        <f t="shared" si="7"/>
        <v>0</v>
      </c>
      <c r="BY8" s="462">
        <f t="shared" si="8"/>
        <v>0</v>
      </c>
      <c r="BZ8" s="462">
        <f t="shared" si="9"/>
        <v>0</v>
      </c>
      <c r="CA8" s="462">
        <f t="shared" si="10"/>
        <v>0</v>
      </c>
      <c r="CB8" s="462">
        <f t="shared" si="11"/>
        <v>0</v>
      </c>
      <c r="CC8" s="462">
        <f>IF(AT8&lt;&gt;0,SSHICHG*Y8,0)</f>
        <v>0</v>
      </c>
      <c r="CD8" s="462">
        <f>IF(AND(AT8&lt;&gt;0,AN8&lt;&gt;"NE"),VLOOKUP(AN8,Retirement_Rates,5,FALSE)*Y8,0)</f>
        <v>0</v>
      </c>
      <c r="CE8" s="462">
        <f>IF(AND(AT8&lt;&gt;0,AJ8&lt;&gt;"PF"),LifeCHG*Y8,0)</f>
        <v>0</v>
      </c>
      <c r="CF8" s="462">
        <f>IF(AND(AT8&lt;&gt;0,AM8="Y"),UICHG*Y8,0)</f>
        <v>0</v>
      </c>
      <c r="CG8" s="462">
        <f>IF(AND(AT8&lt;&gt;0,N8&lt;&gt;"NR"),DHRCHG*Y8,0)</f>
        <v>0</v>
      </c>
      <c r="CH8" s="462">
        <f>IF(AT8&lt;&gt;0,WCCHG*Y8,0)</f>
        <v>0</v>
      </c>
      <c r="CI8" s="462">
        <f>IF(OR(AND(AT8&lt;&gt;0,AJ8&lt;&gt;"PF",AN8&lt;&gt;"NE",AG8&lt;&gt;"A"),AND(AL8="E",OR(AT8=1,AT8=3))),SickCHG*Y8,0)</f>
        <v>0</v>
      </c>
      <c r="CJ8" s="462">
        <f t="shared" si="12"/>
        <v>0</v>
      </c>
      <c r="CK8" s="462" t="str">
        <f t="shared" si="13"/>
        <v/>
      </c>
      <c r="CL8" s="462">
        <f t="shared" si="14"/>
        <v>10095</v>
      </c>
      <c r="CM8" s="462">
        <f t="shared" si="15"/>
        <v>2201.4499999999998</v>
      </c>
      <c r="CN8" s="462" t="str">
        <f t="shared" si="16"/>
        <v>0001-00</v>
      </c>
    </row>
    <row r="9" spans="1:92" ht="15" thickBot="1" x14ac:dyDescent="0.35">
      <c r="A9" s="376" t="s">
        <v>161</v>
      </c>
      <c r="B9" s="376" t="s">
        <v>162</v>
      </c>
      <c r="C9" s="376" t="s">
        <v>224</v>
      </c>
      <c r="D9" s="376" t="s">
        <v>221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222</v>
      </c>
      <c r="L9" s="376" t="s">
        <v>166</v>
      </c>
      <c r="M9" s="376" t="s">
        <v>225</v>
      </c>
      <c r="N9" s="376" t="s">
        <v>223</v>
      </c>
      <c r="O9" s="379">
        <v>0</v>
      </c>
      <c r="P9" s="460">
        <v>1</v>
      </c>
      <c r="Q9" s="460">
        <v>0</v>
      </c>
      <c r="R9" s="380">
        <v>0</v>
      </c>
      <c r="S9" s="460">
        <v>0</v>
      </c>
      <c r="T9" s="380">
        <v>0</v>
      </c>
      <c r="U9" s="380">
        <v>0</v>
      </c>
      <c r="V9" s="380">
        <v>0</v>
      </c>
      <c r="W9" s="380">
        <v>0</v>
      </c>
      <c r="X9" s="380">
        <v>0</v>
      </c>
      <c r="Y9" s="380">
        <v>0</v>
      </c>
      <c r="Z9" s="380">
        <v>0</v>
      </c>
      <c r="AA9" s="378"/>
      <c r="AB9" s="376" t="s">
        <v>45</v>
      </c>
      <c r="AC9" s="376" t="s">
        <v>45</v>
      </c>
      <c r="AD9" s="378"/>
      <c r="AE9" s="378"/>
      <c r="AF9" s="378"/>
      <c r="AG9" s="378"/>
      <c r="AH9" s="379">
        <v>0</v>
      </c>
      <c r="AI9" s="379">
        <v>0</v>
      </c>
      <c r="AJ9" s="378"/>
      <c r="AK9" s="378"/>
      <c r="AL9" s="376" t="s">
        <v>181</v>
      </c>
      <c r="AM9" s="378"/>
      <c r="AN9" s="378"/>
      <c r="AO9" s="379">
        <v>0</v>
      </c>
      <c r="AP9" s="460">
        <v>0</v>
      </c>
      <c r="AQ9" s="460">
        <v>0</v>
      </c>
      <c r="AR9" s="459"/>
      <c r="AS9" s="462">
        <f t="shared" si="0"/>
        <v>0</v>
      </c>
      <c r="AT9">
        <f t="shared" si="1"/>
        <v>0</v>
      </c>
      <c r="AU9" s="462" t="str">
        <f>IF(AT9=0,"",IF(AND(AT9=1,M9="F",SUMIF(C2:C391,C9,AS2:AS391)&lt;=1),SUMIF(C2:C391,C9,AS2:AS391),IF(AND(AT9=1,M9="F",SUMIF(C2:C391,C9,AS2:AS391)&gt;1),1,"")))</f>
        <v/>
      </c>
      <c r="AV9" s="462" t="str">
        <f>IF(AT9=0,"",IF(AND(AT9=3,M9="F",SUMIF(C2:C391,C9,AS2:AS391)&lt;=1),SUMIF(C2:C391,C9,AS2:AS391),IF(AND(AT9=3,M9="F",SUMIF(C2:C391,C9,AS2:AS391)&gt;1),1,"")))</f>
        <v/>
      </c>
      <c r="AW9" s="462">
        <f>SUMIF(C2:C391,C9,O2:O391)</f>
        <v>0</v>
      </c>
      <c r="AX9" s="462">
        <f>IF(AND(M9="F",AS9&lt;&gt;0),SUMIF(C2:C391,C9,W2:W391),0)</f>
        <v>0</v>
      </c>
      <c r="AY9" s="462" t="str">
        <f t="shared" si="2"/>
        <v/>
      </c>
      <c r="AZ9" s="462" t="str">
        <f t="shared" si="3"/>
        <v/>
      </c>
      <c r="BA9" s="462">
        <f t="shared" si="4"/>
        <v>0</v>
      </c>
      <c r="BB9" s="462">
        <f>IF(AND(AT9=1,AK9="E",AU9&gt;=0.75,AW9=1),Health,IF(AND(AT9=1,AK9="E",AU9&gt;=0.75),Health*P9,IF(AND(AT9=1,AK9="E",AU9&gt;=0.5,AW9=1),PTHealth,IF(AND(AT9=1,AK9="E",AU9&gt;=0.5),PTHealth*P9,0))))</f>
        <v>0</v>
      </c>
      <c r="BC9" s="462">
        <f>IF(AND(AT9=3,AK9="E",AV9&gt;=0.75,AW9=1),Health,IF(AND(AT9=3,AK9="E",AV9&gt;=0.75),Health*P9,IF(AND(AT9=3,AK9="E",AV9&gt;=0.5,AW9=1),PTHealth,IF(AND(AT9=3,AK9="E",AV9&gt;=0.5),PTHealth*P9,0))))</f>
        <v>0</v>
      </c>
      <c r="BD9" s="462">
        <f>IF(AND(AT9&lt;&gt;0,AX9&gt;=MAXSSDI),SSDI*MAXSSDI*P9,IF(AT9&lt;&gt;0,SSDI*W9,0))</f>
        <v>0</v>
      </c>
      <c r="BE9" s="462">
        <f>IF(AT9&lt;&gt;0,SSHI*W9,0)</f>
        <v>0</v>
      </c>
      <c r="BF9" s="462">
        <f>IF(AND(AT9&lt;&gt;0,AN9&lt;&gt;"NE"),VLOOKUP(AN9,Retirement_Rates,3,FALSE)*W9,0)</f>
        <v>0</v>
      </c>
      <c r="BG9" s="462">
        <f>IF(AND(AT9&lt;&gt;0,AJ9&lt;&gt;"PF"),Life*W9,0)</f>
        <v>0</v>
      </c>
      <c r="BH9" s="462">
        <f>IF(AND(AT9&lt;&gt;0,AM9="Y"),UI*W9,0)</f>
        <v>0</v>
      </c>
      <c r="BI9" s="462">
        <f>IF(AND(AT9&lt;&gt;0,N9&lt;&gt;"NR"),DHR*W9,0)</f>
        <v>0</v>
      </c>
      <c r="BJ9" s="462">
        <f>IF(AT9&lt;&gt;0,WC*W9,0)</f>
        <v>0</v>
      </c>
      <c r="BK9" s="462">
        <f>IF(OR(AND(AT9&lt;&gt;0,AJ9&lt;&gt;"PF",AN9&lt;&gt;"NE",AG9&lt;&gt;"A"),AND(AL9="E",OR(AT9=1,AT9=3))),Sick*W9,0)</f>
        <v>0</v>
      </c>
      <c r="BL9" s="462">
        <f t="shared" si="5"/>
        <v>0</v>
      </c>
      <c r="BM9" s="462">
        <f t="shared" si="6"/>
        <v>0</v>
      </c>
      <c r="BN9" s="462">
        <f>IF(AND(AT9=1,AK9="E",AU9&gt;=0.75,AW9=1),HealthBY,IF(AND(AT9=1,AK9="E",AU9&gt;=0.75),HealthBY*P9,IF(AND(AT9=1,AK9="E",AU9&gt;=0.5,AW9=1),PTHealthBY,IF(AND(AT9=1,AK9="E",AU9&gt;=0.5),PTHealthBY*P9,0))))</f>
        <v>0</v>
      </c>
      <c r="BO9" s="462">
        <f>IF(AND(AT9=3,AK9="E",AV9&gt;=0.75,AW9=1),HealthBY,IF(AND(AT9=3,AK9="E",AV9&gt;=0.75),HealthBY*P9,IF(AND(AT9=3,AK9="E",AV9&gt;=0.5,AW9=1),PTHealthBY,IF(AND(AT9=3,AK9="E",AV9&gt;=0.5),PTHealthBY*P9,0))))</f>
        <v>0</v>
      </c>
      <c r="BP9" s="462">
        <f>IF(AND(AT9&lt;&gt;0,(AX9+BA9)&gt;=MAXSSDIBY),SSDIBY*MAXSSDIBY*P9,IF(AT9&lt;&gt;0,SSDIBY*W9,0))</f>
        <v>0</v>
      </c>
      <c r="BQ9" s="462">
        <f>IF(AT9&lt;&gt;0,SSHIBY*W9,0)</f>
        <v>0</v>
      </c>
      <c r="BR9" s="462">
        <f>IF(AND(AT9&lt;&gt;0,AN9&lt;&gt;"NE"),VLOOKUP(AN9,Retirement_Rates,4,FALSE)*W9,0)</f>
        <v>0</v>
      </c>
      <c r="BS9" s="462">
        <f>IF(AND(AT9&lt;&gt;0,AJ9&lt;&gt;"PF"),LifeBY*W9,0)</f>
        <v>0</v>
      </c>
      <c r="BT9" s="462">
        <f>IF(AND(AT9&lt;&gt;0,AM9="Y"),UIBY*W9,0)</f>
        <v>0</v>
      </c>
      <c r="BU9" s="462">
        <f>IF(AND(AT9&lt;&gt;0,N9&lt;&gt;"NR"),DHRBY*W9,0)</f>
        <v>0</v>
      </c>
      <c r="BV9" s="462">
        <f>IF(AT9&lt;&gt;0,WCBY*W9,0)</f>
        <v>0</v>
      </c>
      <c r="BW9" s="462">
        <f>IF(OR(AND(AT9&lt;&gt;0,AJ9&lt;&gt;"PF",AN9&lt;&gt;"NE",AG9&lt;&gt;"A"),AND(AL9="E",OR(AT9=1,AT9=3))),SickBY*W9,0)</f>
        <v>0</v>
      </c>
      <c r="BX9" s="462">
        <f t="shared" si="7"/>
        <v>0</v>
      </c>
      <c r="BY9" s="462">
        <f t="shared" si="8"/>
        <v>0</v>
      </c>
      <c r="BZ9" s="462">
        <f t="shared" si="9"/>
        <v>0</v>
      </c>
      <c r="CA9" s="462">
        <f t="shared" si="10"/>
        <v>0</v>
      </c>
      <c r="CB9" s="462">
        <f t="shared" si="11"/>
        <v>0</v>
      </c>
      <c r="CC9" s="462">
        <f>IF(AT9&lt;&gt;0,SSHICHG*Y9,0)</f>
        <v>0</v>
      </c>
      <c r="CD9" s="462">
        <f>IF(AND(AT9&lt;&gt;0,AN9&lt;&gt;"NE"),VLOOKUP(AN9,Retirement_Rates,5,FALSE)*Y9,0)</f>
        <v>0</v>
      </c>
      <c r="CE9" s="462">
        <f>IF(AND(AT9&lt;&gt;0,AJ9&lt;&gt;"PF"),LifeCHG*Y9,0)</f>
        <v>0</v>
      </c>
      <c r="CF9" s="462">
        <f>IF(AND(AT9&lt;&gt;0,AM9="Y"),UICHG*Y9,0)</f>
        <v>0</v>
      </c>
      <c r="CG9" s="462">
        <f>IF(AND(AT9&lt;&gt;0,N9&lt;&gt;"NR"),DHRCHG*Y9,0)</f>
        <v>0</v>
      </c>
      <c r="CH9" s="462">
        <f>IF(AT9&lt;&gt;0,WCCHG*Y9,0)</f>
        <v>0</v>
      </c>
      <c r="CI9" s="462">
        <f>IF(OR(AND(AT9&lt;&gt;0,AJ9&lt;&gt;"PF",AN9&lt;&gt;"NE",AG9&lt;&gt;"A"),AND(AL9="E",OR(AT9=1,AT9=3))),SickCHG*Y9,0)</f>
        <v>0</v>
      </c>
      <c r="CJ9" s="462">
        <f t="shared" si="12"/>
        <v>0</v>
      </c>
      <c r="CK9" s="462" t="str">
        <f t="shared" si="13"/>
        <v/>
      </c>
      <c r="CL9" s="462">
        <f t="shared" si="14"/>
        <v>0</v>
      </c>
      <c r="CM9" s="462">
        <f t="shared" si="15"/>
        <v>0</v>
      </c>
      <c r="CN9" s="462" t="str">
        <f t="shared" si="16"/>
        <v>0001-00</v>
      </c>
    </row>
    <row r="10" spans="1:92" ht="15" thickBot="1" x14ac:dyDescent="0.35">
      <c r="A10" s="376" t="s">
        <v>161</v>
      </c>
      <c r="B10" s="376" t="s">
        <v>162</v>
      </c>
      <c r="C10" s="376" t="s">
        <v>226</v>
      </c>
      <c r="D10" s="376" t="s">
        <v>227</v>
      </c>
      <c r="E10" s="376" t="s">
        <v>228</v>
      </c>
      <c r="F10" s="377" t="s">
        <v>166</v>
      </c>
      <c r="G10" s="376" t="s">
        <v>167</v>
      </c>
      <c r="H10" s="378"/>
      <c r="I10" s="378"/>
      <c r="J10" s="376" t="s">
        <v>229</v>
      </c>
      <c r="K10" s="376" t="s">
        <v>230</v>
      </c>
      <c r="L10" s="376" t="s">
        <v>231</v>
      </c>
      <c r="M10" s="376" t="s">
        <v>225</v>
      </c>
      <c r="N10" s="376" t="s">
        <v>223</v>
      </c>
      <c r="O10" s="379">
        <v>0</v>
      </c>
      <c r="P10" s="460">
        <v>0.24</v>
      </c>
      <c r="Q10" s="460">
        <v>0</v>
      </c>
      <c r="R10" s="380">
        <v>0</v>
      </c>
      <c r="S10" s="460">
        <v>0</v>
      </c>
      <c r="T10" s="380">
        <v>0</v>
      </c>
      <c r="U10" s="380">
        <v>0</v>
      </c>
      <c r="V10" s="380">
        <v>0</v>
      </c>
      <c r="W10" s="380">
        <v>0</v>
      </c>
      <c r="X10" s="380">
        <v>0</v>
      </c>
      <c r="Y10" s="380">
        <v>0</v>
      </c>
      <c r="Z10" s="380">
        <v>0</v>
      </c>
      <c r="AA10" s="378"/>
      <c r="AB10" s="376" t="s">
        <v>45</v>
      </c>
      <c r="AC10" s="376" t="s">
        <v>45</v>
      </c>
      <c r="AD10" s="378"/>
      <c r="AE10" s="378"/>
      <c r="AF10" s="378"/>
      <c r="AG10" s="378"/>
      <c r="AH10" s="379">
        <v>0</v>
      </c>
      <c r="AI10" s="379">
        <v>0</v>
      </c>
      <c r="AJ10" s="378"/>
      <c r="AK10" s="378"/>
      <c r="AL10" s="376" t="s">
        <v>181</v>
      </c>
      <c r="AM10" s="378"/>
      <c r="AN10" s="378"/>
      <c r="AO10" s="379">
        <v>0</v>
      </c>
      <c r="AP10" s="460">
        <v>0</v>
      </c>
      <c r="AQ10" s="460">
        <v>0</v>
      </c>
      <c r="AR10" s="459"/>
      <c r="AS10" s="462">
        <f t="shared" si="0"/>
        <v>0</v>
      </c>
      <c r="AT10">
        <f t="shared" si="1"/>
        <v>0</v>
      </c>
      <c r="AU10" s="462" t="str">
        <f>IF(AT10=0,"",IF(AND(AT10=1,M10="F",SUMIF(C2:C391,C10,AS2:AS391)&lt;=1),SUMIF(C2:C391,C10,AS2:AS391),IF(AND(AT10=1,M10="F",SUMIF(C2:C391,C10,AS2:AS391)&gt;1),1,"")))</f>
        <v/>
      </c>
      <c r="AV10" s="462" t="str">
        <f>IF(AT10=0,"",IF(AND(AT10=3,M10="F",SUMIF(C2:C391,C10,AS2:AS391)&lt;=1),SUMIF(C2:C391,C10,AS2:AS391),IF(AND(AT10=3,M10="F",SUMIF(C2:C391,C10,AS2:AS391)&gt;1),1,"")))</f>
        <v/>
      </c>
      <c r="AW10" s="462">
        <f>SUMIF(C2:C391,C10,O2:O391)</f>
        <v>0</v>
      </c>
      <c r="AX10" s="462">
        <f>IF(AND(M10="F",AS10&lt;&gt;0),SUMIF(C2:C391,C10,W2:W391),0)</f>
        <v>0</v>
      </c>
      <c r="AY10" s="462" t="str">
        <f t="shared" si="2"/>
        <v/>
      </c>
      <c r="AZ10" s="462" t="str">
        <f t="shared" si="3"/>
        <v/>
      </c>
      <c r="BA10" s="462">
        <f t="shared" si="4"/>
        <v>0</v>
      </c>
      <c r="BB10" s="462">
        <f>IF(AND(AT10=1,AK10="E",AU10&gt;=0.75,AW10=1),Health,IF(AND(AT10=1,AK10="E",AU10&gt;=0.75),Health*P10,IF(AND(AT10=1,AK10="E",AU10&gt;=0.5,AW10=1),PTHealth,IF(AND(AT10=1,AK10="E",AU10&gt;=0.5),PTHealth*P10,0))))</f>
        <v>0</v>
      </c>
      <c r="BC10" s="462">
        <f>IF(AND(AT10=3,AK10="E",AV10&gt;=0.75,AW10=1),Health,IF(AND(AT10=3,AK10="E",AV10&gt;=0.75),Health*P10,IF(AND(AT10=3,AK10="E",AV10&gt;=0.5,AW10=1),PTHealth,IF(AND(AT10=3,AK10="E",AV10&gt;=0.5),PTHealth*P10,0))))</f>
        <v>0</v>
      </c>
      <c r="BD10" s="462">
        <f>IF(AND(AT10&lt;&gt;0,AX10&gt;=MAXSSDI),SSDI*MAXSSDI*P10,IF(AT10&lt;&gt;0,SSDI*W10,0))</f>
        <v>0</v>
      </c>
      <c r="BE10" s="462">
        <f>IF(AT10&lt;&gt;0,SSHI*W10,0)</f>
        <v>0</v>
      </c>
      <c r="BF10" s="462">
        <f>IF(AND(AT10&lt;&gt;0,AN10&lt;&gt;"NE"),VLOOKUP(AN10,Retirement_Rates,3,FALSE)*W10,0)</f>
        <v>0</v>
      </c>
      <c r="BG10" s="462">
        <f>IF(AND(AT10&lt;&gt;0,AJ10&lt;&gt;"PF"),Life*W10,0)</f>
        <v>0</v>
      </c>
      <c r="BH10" s="462">
        <f>IF(AND(AT10&lt;&gt;0,AM10="Y"),UI*W10,0)</f>
        <v>0</v>
      </c>
      <c r="BI10" s="462">
        <f>IF(AND(AT10&lt;&gt;0,N10&lt;&gt;"NR"),DHR*W10,0)</f>
        <v>0</v>
      </c>
      <c r="BJ10" s="462">
        <f>IF(AT10&lt;&gt;0,WC*W10,0)</f>
        <v>0</v>
      </c>
      <c r="BK10" s="462">
        <f>IF(OR(AND(AT10&lt;&gt;0,AJ10&lt;&gt;"PF",AN10&lt;&gt;"NE",AG10&lt;&gt;"A"),AND(AL10="E",OR(AT10=1,AT10=3))),Sick*W10,0)</f>
        <v>0</v>
      </c>
      <c r="BL10" s="462">
        <f t="shared" si="5"/>
        <v>0</v>
      </c>
      <c r="BM10" s="462">
        <f t="shared" si="6"/>
        <v>0</v>
      </c>
      <c r="BN10" s="462">
        <f>IF(AND(AT10=1,AK10="E",AU10&gt;=0.75,AW10=1),HealthBY,IF(AND(AT10=1,AK10="E",AU10&gt;=0.75),HealthBY*P10,IF(AND(AT10=1,AK10="E",AU10&gt;=0.5,AW10=1),PTHealthBY,IF(AND(AT10=1,AK10="E",AU10&gt;=0.5),PTHealthBY*P10,0))))</f>
        <v>0</v>
      </c>
      <c r="BO10" s="462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2">
        <f>IF(AND(AT10&lt;&gt;0,(AX10+BA10)&gt;=MAXSSDIBY),SSDIBY*MAXSSDIBY*P10,IF(AT10&lt;&gt;0,SSDIBY*W10,0))</f>
        <v>0</v>
      </c>
      <c r="BQ10" s="462">
        <f>IF(AT10&lt;&gt;0,SSHIBY*W10,0)</f>
        <v>0</v>
      </c>
      <c r="BR10" s="462">
        <f>IF(AND(AT10&lt;&gt;0,AN10&lt;&gt;"NE"),VLOOKUP(AN10,Retirement_Rates,4,FALSE)*W10,0)</f>
        <v>0</v>
      </c>
      <c r="BS10" s="462">
        <f>IF(AND(AT10&lt;&gt;0,AJ10&lt;&gt;"PF"),LifeBY*W10,0)</f>
        <v>0</v>
      </c>
      <c r="BT10" s="462">
        <f>IF(AND(AT10&lt;&gt;0,AM10="Y"),UIBY*W10,0)</f>
        <v>0</v>
      </c>
      <c r="BU10" s="462">
        <f>IF(AND(AT10&lt;&gt;0,N10&lt;&gt;"NR"),DHRBY*W10,0)</f>
        <v>0</v>
      </c>
      <c r="BV10" s="462">
        <f>IF(AT10&lt;&gt;0,WCBY*W10,0)</f>
        <v>0</v>
      </c>
      <c r="BW10" s="462">
        <f>IF(OR(AND(AT10&lt;&gt;0,AJ10&lt;&gt;"PF",AN10&lt;&gt;"NE",AG10&lt;&gt;"A"),AND(AL10="E",OR(AT10=1,AT10=3))),SickBY*W10,0)</f>
        <v>0</v>
      </c>
      <c r="BX10" s="462">
        <f t="shared" si="7"/>
        <v>0</v>
      </c>
      <c r="BY10" s="462">
        <f t="shared" si="8"/>
        <v>0</v>
      </c>
      <c r="BZ10" s="462">
        <f t="shared" si="9"/>
        <v>0</v>
      </c>
      <c r="CA10" s="462">
        <f t="shared" si="10"/>
        <v>0</v>
      </c>
      <c r="CB10" s="462">
        <f t="shared" si="11"/>
        <v>0</v>
      </c>
      <c r="CC10" s="462">
        <f>IF(AT10&lt;&gt;0,SSHICHG*Y10,0)</f>
        <v>0</v>
      </c>
      <c r="CD10" s="462">
        <f>IF(AND(AT10&lt;&gt;0,AN10&lt;&gt;"NE"),VLOOKUP(AN10,Retirement_Rates,5,FALSE)*Y10,0)</f>
        <v>0</v>
      </c>
      <c r="CE10" s="462">
        <f>IF(AND(AT10&lt;&gt;0,AJ10&lt;&gt;"PF"),LifeCHG*Y10,0)</f>
        <v>0</v>
      </c>
      <c r="CF10" s="462">
        <f>IF(AND(AT10&lt;&gt;0,AM10="Y"),UICHG*Y10,0)</f>
        <v>0</v>
      </c>
      <c r="CG10" s="462">
        <f>IF(AND(AT10&lt;&gt;0,N10&lt;&gt;"NR"),DHRCHG*Y10,0)</f>
        <v>0</v>
      </c>
      <c r="CH10" s="462">
        <f>IF(AT10&lt;&gt;0,WCCHG*Y10,0)</f>
        <v>0</v>
      </c>
      <c r="CI10" s="462">
        <f>IF(OR(AND(AT10&lt;&gt;0,AJ10&lt;&gt;"PF",AN10&lt;&gt;"NE",AG10&lt;&gt;"A"),AND(AL10="E",OR(AT10=1,AT10=3))),SickCHG*Y10,0)</f>
        <v>0</v>
      </c>
      <c r="CJ10" s="462">
        <f t="shared" si="12"/>
        <v>0</v>
      </c>
      <c r="CK10" s="462" t="str">
        <f t="shared" si="13"/>
        <v/>
      </c>
      <c r="CL10" s="462">
        <f t="shared" si="14"/>
        <v>0</v>
      </c>
      <c r="CM10" s="462">
        <f t="shared" si="15"/>
        <v>0</v>
      </c>
      <c r="CN10" s="462" t="str">
        <f t="shared" si="16"/>
        <v>0125-00</v>
      </c>
    </row>
    <row r="11" spans="1:92" ht="15" thickBot="1" x14ac:dyDescent="0.35">
      <c r="A11" s="376" t="s">
        <v>161</v>
      </c>
      <c r="B11" s="376" t="s">
        <v>162</v>
      </c>
      <c r="C11" s="376" t="s">
        <v>232</v>
      </c>
      <c r="D11" s="376" t="s">
        <v>221</v>
      </c>
      <c r="E11" s="376" t="s">
        <v>228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222</v>
      </c>
      <c r="L11" s="376" t="s">
        <v>166</v>
      </c>
      <c r="M11" s="376" t="s">
        <v>225</v>
      </c>
      <c r="N11" s="376" t="s">
        <v>223</v>
      </c>
      <c r="O11" s="379">
        <v>0</v>
      </c>
      <c r="P11" s="460">
        <v>1</v>
      </c>
      <c r="Q11" s="460">
        <v>0</v>
      </c>
      <c r="R11" s="380">
        <v>0</v>
      </c>
      <c r="S11" s="460">
        <v>0</v>
      </c>
      <c r="T11" s="380">
        <v>0</v>
      </c>
      <c r="U11" s="380">
        <v>0</v>
      </c>
      <c r="V11" s="380">
        <v>0</v>
      </c>
      <c r="W11" s="380">
        <v>0</v>
      </c>
      <c r="X11" s="380">
        <v>0</v>
      </c>
      <c r="Y11" s="380">
        <v>0</v>
      </c>
      <c r="Z11" s="380">
        <v>0</v>
      </c>
      <c r="AA11" s="378"/>
      <c r="AB11" s="376" t="s">
        <v>45</v>
      </c>
      <c r="AC11" s="376" t="s">
        <v>45</v>
      </c>
      <c r="AD11" s="378"/>
      <c r="AE11" s="378"/>
      <c r="AF11" s="378"/>
      <c r="AG11" s="378"/>
      <c r="AH11" s="379">
        <v>0</v>
      </c>
      <c r="AI11" s="379">
        <v>0</v>
      </c>
      <c r="AJ11" s="378"/>
      <c r="AK11" s="378"/>
      <c r="AL11" s="376" t="s">
        <v>181</v>
      </c>
      <c r="AM11" s="378"/>
      <c r="AN11" s="378"/>
      <c r="AO11" s="379">
        <v>0</v>
      </c>
      <c r="AP11" s="460">
        <v>0</v>
      </c>
      <c r="AQ11" s="460">
        <v>0</v>
      </c>
      <c r="AR11" s="459"/>
      <c r="AS11" s="462">
        <f t="shared" si="0"/>
        <v>0</v>
      </c>
      <c r="AT11">
        <f t="shared" si="1"/>
        <v>0</v>
      </c>
      <c r="AU11" s="462" t="str">
        <f>IF(AT11=0,"",IF(AND(AT11=1,M11="F",SUMIF(C2:C391,C11,AS2:AS391)&lt;=1),SUMIF(C2:C391,C11,AS2:AS391),IF(AND(AT11=1,M11="F",SUMIF(C2:C391,C11,AS2:AS391)&gt;1),1,"")))</f>
        <v/>
      </c>
      <c r="AV11" s="462" t="str">
        <f>IF(AT11=0,"",IF(AND(AT11=3,M11="F",SUMIF(C2:C391,C11,AS2:AS391)&lt;=1),SUMIF(C2:C391,C11,AS2:AS391),IF(AND(AT11=3,M11="F",SUMIF(C2:C391,C11,AS2:AS391)&gt;1),1,"")))</f>
        <v/>
      </c>
      <c r="AW11" s="462">
        <f>SUMIF(C2:C391,C11,O2:O391)</f>
        <v>0</v>
      </c>
      <c r="AX11" s="462">
        <f>IF(AND(M11="F",AS11&lt;&gt;0),SUMIF(C2:C391,C11,W2:W391),0)</f>
        <v>0</v>
      </c>
      <c r="AY11" s="462" t="str">
        <f t="shared" si="2"/>
        <v/>
      </c>
      <c r="AZ11" s="462" t="str">
        <f t="shared" si="3"/>
        <v/>
      </c>
      <c r="BA11" s="462">
        <f t="shared" si="4"/>
        <v>0</v>
      </c>
      <c r="BB11" s="462">
        <f>IF(AND(AT11=1,AK11="E",AU11&gt;=0.75,AW11=1),Health,IF(AND(AT11=1,AK11="E",AU11&gt;=0.75),Health*P11,IF(AND(AT11=1,AK11="E",AU11&gt;=0.5,AW11=1),PTHealth,IF(AND(AT11=1,AK11="E",AU11&gt;=0.5),PTHealth*P11,0))))</f>
        <v>0</v>
      </c>
      <c r="BC11" s="462">
        <f>IF(AND(AT11=3,AK11="E",AV11&gt;=0.75,AW11=1),Health,IF(AND(AT11=3,AK11="E",AV11&gt;=0.75),Health*P11,IF(AND(AT11=3,AK11="E",AV11&gt;=0.5,AW11=1),PTHealth,IF(AND(AT11=3,AK11="E",AV11&gt;=0.5),PTHealth*P11,0))))</f>
        <v>0</v>
      </c>
      <c r="BD11" s="462">
        <f>IF(AND(AT11&lt;&gt;0,AX11&gt;=MAXSSDI),SSDI*MAXSSDI*P11,IF(AT11&lt;&gt;0,SSDI*W11,0))</f>
        <v>0</v>
      </c>
      <c r="BE11" s="462">
        <f>IF(AT11&lt;&gt;0,SSHI*W11,0)</f>
        <v>0</v>
      </c>
      <c r="BF11" s="462">
        <f>IF(AND(AT11&lt;&gt;0,AN11&lt;&gt;"NE"),VLOOKUP(AN11,Retirement_Rates,3,FALSE)*W11,0)</f>
        <v>0</v>
      </c>
      <c r="BG11" s="462">
        <f>IF(AND(AT11&lt;&gt;0,AJ11&lt;&gt;"PF"),Life*W11,0)</f>
        <v>0</v>
      </c>
      <c r="BH11" s="462">
        <f>IF(AND(AT11&lt;&gt;0,AM11="Y"),UI*W11,0)</f>
        <v>0</v>
      </c>
      <c r="BI11" s="462">
        <f>IF(AND(AT11&lt;&gt;0,N11&lt;&gt;"NR"),DHR*W11,0)</f>
        <v>0</v>
      </c>
      <c r="BJ11" s="462">
        <f>IF(AT11&lt;&gt;0,WC*W11,0)</f>
        <v>0</v>
      </c>
      <c r="BK11" s="462">
        <f>IF(OR(AND(AT11&lt;&gt;0,AJ11&lt;&gt;"PF",AN11&lt;&gt;"NE",AG11&lt;&gt;"A"),AND(AL11="E",OR(AT11=1,AT11=3))),Sick*W11,0)</f>
        <v>0</v>
      </c>
      <c r="BL11" s="462">
        <f t="shared" si="5"/>
        <v>0</v>
      </c>
      <c r="BM11" s="462">
        <f t="shared" si="6"/>
        <v>0</v>
      </c>
      <c r="BN11" s="462">
        <f>IF(AND(AT11=1,AK11="E",AU11&gt;=0.75,AW11=1),HealthBY,IF(AND(AT11=1,AK11="E",AU11&gt;=0.75),HealthBY*P11,IF(AND(AT11=1,AK11="E",AU11&gt;=0.5,AW11=1),PTHealthBY,IF(AND(AT11=1,AK11="E",AU11&gt;=0.5),PTHealthBY*P11,0))))</f>
        <v>0</v>
      </c>
      <c r="BO11" s="462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2">
        <f>IF(AND(AT11&lt;&gt;0,(AX11+BA11)&gt;=MAXSSDIBY),SSDIBY*MAXSSDIBY*P11,IF(AT11&lt;&gt;0,SSDIBY*W11,0))</f>
        <v>0</v>
      </c>
      <c r="BQ11" s="462">
        <f>IF(AT11&lt;&gt;0,SSHIBY*W11,0)</f>
        <v>0</v>
      </c>
      <c r="BR11" s="462">
        <f>IF(AND(AT11&lt;&gt;0,AN11&lt;&gt;"NE"),VLOOKUP(AN11,Retirement_Rates,4,FALSE)*W11,0)</f>
        <v>0</v>
      </c>
      <c r="BS11" s="462">
        <f>IF(AND(AT11&lt;&gt;0,AJ11&lt;&gt;"PF"),LifeBY*W11,0)</f>
        <v>0</v>
      </c>
      <c r="BT11" s="462">
        <f>IF(AND(AT11&lt;&gt;0,AM11="Y"),UIBY*W11,0)</f>
        <v>0</v>
      </c>
      <c r="BU11" s="462">
        <f>IF(AND(AT11&lt;&gt;0,N11&lt;&gt;"NR"),DHRBY*W11,0)</f>
        <v>0</v>
      </c>
      <c r="BV11" s="462">
        <f>IF(AT11&lt;&gt;0,WCBY*W11,0)</f>
        <v>0</v>
      </c>
      <c r="BW11" s="462">
        <f>IF(OR(AND(AT11&lt;&gt;0,AJ11&lt;&gt;"PF",AN11&lt;&gt;"NE",AG11&lt;&gt;"A"),AND(AL11="E",OR(AT11=1,AT11=3))),SickBY*W11,0)</f>
        <v>0</v>
      </c>
      <c r="BX11" s="462">
        <f t="shared" si="7"/>
        <v>0</v>
      </c>
      <c r="BY11" s="462">
        <f t="shared" si="8"/>
        <v>0</v>
      </c>
      <c r="BZ11" s="462">
        <f t="shared" si="9"/>
        <v>0</v>
      </c>
      <c r="CA11" s="462">
        <f t="shared" si="10"/>
        <v>0</v>
      </c>
      <c r="CB11" s="462">
        <f t="shared" si="11"/>
        <v>0</v>
      </c>
      <c r="CC11" s="462">
        <f>IF(AT11&lt;&gt;0,SSHICHG*Y11,0)</f>
        <v>0</v>
      </c>
      <c r="CD11" s="462">
        <f>IF(AND(AT11&lt;&gt;0,AN11&lt;&gt;"NE"),VLOOKUP(AN11,Retirement_Rates,5,FALSE)*Y11,0)</f>
        <v>0</v>
      </c>
      <c r="CE11" s="462">
        <f>IF(AND(AT11&lt;&gt;0,AJ11&lt;&gt;"PF"),LifeCHG*Y11,0)</f>
        <v>0</v>
      </c>
      <c r="CF11" s="462">
        <f>IF(AND(AT11&lt;&gt;0,AM11="Y"),UICHG*Y11,0)</f>
        <v>0</v>
      </c>
      <c r="CG11" s="462">
        <f>IF(AND(AT11&lt;&gt;0,N11&lt;&gt;"NR"),DHRCHG*Y11,0)</f>
        <v>0</v>
      </c>
      <c r="CH11" s="462">
        <f>IF(AT11&lt;&gt;0,WCCHG*Y11,0)</f>
        <v>0</v>
      </c>
      <c r="CI11" s="462">
        <f>IF(OR(AND(AT11&lt;&gt;0,AJ11&lt;&gt;"PF",AN11&lt;&gt;"NE",AG11&lt;&gt;"A"),AND(AL11="E",OR(AT11=1,AT11=3))),SickCHG*Y11,0)</f>
        <v>0</v>
      </c>
      <c r="CJ11" s="462">
        <f t="shared" si="12"/>
        <v>0</v>
      </c>
      <c r="CK11" s="462" t="str">
        <f t="shared" si="13"/>
        <v/>
      </c>
      <c r="CL11" s="462">
        <f t="shared" si="14"/>
        <v>0</v>
      </c>
      <c r="CM11" s="462">
        <f t="shared" si="15"/>
        <v>0</v>
      </c>
      <c r="CN11" s="462" t="str">
        <f t="shared" si="16"/>
        <v>0125-00</v>
      </c>
    </row>
    <row r="12" spans="1:92" ht="15" thickBot="1" x14ac:dyDescent="0.35">
      <c r="A12" s="376" t="s">
        <v>161</v>
      </c>
      <c r="B12" s="376" t="s">
        <v>162</v>
      </c>
      <c r="C12" s="376" t="s">
        <v>233</v>
      </c>
      <c r="D12" s="376" t="s">
        <v>227</v>
      </c>
      <c r="E12" s="376" t="s">
        <v>228</v>
      </c>
      <c r="F12" s="377" t="s">
        <v>166</v>
      </c>
      <c r="G12" s="376" t="s">
        <v>167</v>
      </c>
      <c r="H12" s="378"/>
      <c r="I12" s="378"/>
      <c r="J12" s="376" t="s">
        <v>229</v>
      </c>
      <c r="K12" s="376" t="s">
        <v>230</v>
      </c>
      <c r="L12" s="376" t="s">
        <v>231</v>
      </c>
      <c r="M12" s="376" t="s">
        <v>171</v>
      </c>
      <c r="N12" s="376" t="s">
        <v>172</v>
      </c>
      <c r="O12" s="379">
        <v>1</v>
      </c>
      <c r="P12" s="460">
        <v>0.4</v>
      </c>
      <c r="Q12" s="460">
        <v>0.4</v>
      </c>
      <c r="R12" s="380">
        <v>80</v>
      </c>
      <c r="S12" s="460">
        <v>0.4</v>
      </c>
      <c r="T12" s="380">
        <v>16682.25</v>
      </c>
      <c r="U12" s="380">
        <v>0</v>
      </c>
      <c r="V12" s="380">
        <v>8120.93</v>
      </c>
      <c r="W12" s="380">
        <v>16556.8</v>
      </c>
      <c r="X12" s="380">
        <v>8600</v>
      </c>
      <c r="Y12" s="380">
        <v>16556.8</v>
      </c>
      <c r="Z12" s="380">
        <v>8648.02</v>
      </c>
      <c r="AA12" s="376" t="s">
        <v>234</v>
      </c>
      <c r="AB12" s="376" t="s">
        <v>235</v>
      </c>
      <c r="AC12" s="376" t="s">
        <v>218</v>
      </c>
      <c r="AD12" s="376" t="s">
        <v>170</v>
      </c>
      <c r="AE12" s="376" t="s">
        <v>230</v>
      </c>
      <c r="AF12" s="376" t="s">
        <v>236</v>
      </c>
      <c r="AG12" s="376" t="s">
        <v>178</v>
      </c>
      <c r="AH12" s="381">
        <v>19.899999999999999</v>
      </c>
      <c r="AI12" s="379">
        <v>12304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460">
        <v>1</v>
      </c>
      <c r="AQ12" s="460">
        <v>0.4</v>
      </c>
      <c r="AR12" s="458" t="s">
        <v>183</v>
      </c>
      <c r="AS12" s="462">
        <f t="shared" si="0"/>
        <v>0.4</v>
      </c>
      <c r="AT12">
        <f t="shared" si="1"/>
        <v>1</v>
      </c>
      <c r="AU12" s="462">
        <f>IF(AT12=0,"",IF(AND(AT12=1,M12="F",SUMIF(C2:C391,C12,AS2:AS391)&lt;=1),SUMIF(C2:C391,C12,AS2:AS391),IF(AND(AT12=1,M12="F",SUMIF(C2:C391,C12,AS2:AS391)&gt;1),1,"")))</f>
        <v>1</v>
      </c>
      <c r="AV12" s="462" t="str">
        <f>IF(AT12=0,"",IF(AND(AT12=3,M12="F",SUMIF(C2:C391,C12,AS2:AS391)&lt;=1),SUMIF(C2:C391,C12,AS2:AS391),IF(AND(AT12=3,M12="F",SUMIF(C2:C391,C12,AS2:AS391)&gt;1),1,"")))</f>
        <v/>
      </c>
      <c r="AW12" s="462">
        <f>SUMIF(C2:C391,C12,O2:O391)</f>
        <v>3</v>
      </c>
      <c r="AX12" s="462">
        <f>IF(AND(M12="F",AS12&lt;&gt;0),SUMIF(C2:C391,C12,W2:W391),0)</f>
        <v>41392</v>
      </c>
      <c r="AY12" s="462">
        <f t="shared" si="2"/>
        <v>16556.8</v>
      </c>
      <c r="AZ12" s="462" t="str">
        <f t="shared" si="3"/>
        <v/>
      </c>
      <c r="BA12" s="462">
        <f t="shared" si="4"/>
        <v>0</v>
      </c>
      <c r="BB12" s="462">
        <f>IF(AND(AT12=1,AK12="E",AU12&gt;=0.75,AW12=1),Health,IF(AND(AT12=1,AK12="E",AU12&gt;=0.75),Health*P12,IF(AND(AT12=1,AK12="E",AU12&gt;=0.5,AW12=1),PTHealth,IF(AND(AT12=1,AK12="E",AU12&gt;=0.5),PTHealth*P12,0))))</f>
        <v>4660</v>
      </c>
      <c r="BC12" s="462">
        <f>IF(AND(AT12=3,AK12="E",AV12&gt;=0.75,AW12=1),Health,IF(AND(AT12=3,AK12="E",AV12&gt;=0.75),Health*P12,IF(AND(AT12=3,AK12="E",AV12&gt;=0.5,AW12=1),PTHealth,IF(AND(AT12=3,AK12="E",AV12&gt;=0.5),PTHealth*P12,0))))</f>
        <v>0</v>
      </c>
      <c r="BD12" s="462">
        <f>IF(AND(AT12&lt;&gt;0,AX12&gt;=MAXSSDI),SSDI*MAXSSDI*P12,IF(AT12&lt;&gt;0,SSDI*W12,0))</f>
        <v>1026.5216</v>
      </c>
      <c r="BE12" s="462">
        <f>IF(AT12&lt;&gt;0,SSHI*W12,0)</f>
        <v>240.0736</v>
      </c>
      <c r="BF12" s="462">
        <f>IF(AND(AT12&lt;&gt;0,AN12&lt;&gt;"NE"),VLOOKUP(AN12,Retirement_Rates,3,FALSE)*W12,0)</f>
        <v>1976.88192</v>
      </c>
      <c r="BG12" s="462">
        <f>IF(AND(AT12&lt;&gt;0,AJ12&lt;&gt;"PF"),Life*W12,0)</f>
        <v>119.374528</v>
      </c>
      <c r="BH12" s="462">
        <f>IF(AND(AT12&lt;&gt;0,AM12="Y"),UI*W12,0)</f>
        <v>81.128319999999988</v>
      </c>
      <c r="BI12" s="462">
        <f>IF(AND(AT12&lt;&gt;0,N12&lt;&gt;"NR"),DHR*W12,0)</f>
        <v>50.663807999999996</v>
      </c>
      <c r="BJ12" s="462">
        <f>IF(AT12&lt;&gt;0,WC*W12,0)</f>
        <v>445.37791999999996</v>
      </c>
      <c r="BK12" s="462">
        <f>IF(OR(AND(AT12&lt;&gt;0,AJ12&lt;&gt;"PF",AN12&lt;&gt;"NE",AG12&lt;&gt;"A"),AND(AL12="E",OR(AT12=1,AT12=3))),Sick*W12,0)</f>
        <v>0</v>
      </c>
      <c r="BL12" s="462">
        <f t="shared" si="5"/>
        <v>3940.0216959999993</v>
      </c>
      <c r="BM12" s="462">
        <f t="shared" si="6"/>
        <v>0</v>
      </c>
      <c r="BN12" s="462">
        <f>IF(AND(AT12=1,AK12="E",AU12&gt;=0.75,AW12=1),HealthBY,IF(AND(AT12=1,AK12="E",AU12&gt;=0.75),HealthBY*P12,IF(AND(AT12=1,AK12="E",AU12&gt;=0.5,AW12=1),PTHealthBY,IF(AND(AT12=1,AK12="E",AU12&gt;=0.5),PTHealthBY*P12,0))))</f>
        <v>4660</v>
      </c>
      <c r="BO12" s="462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2">
        <f>IF(AND(AT12&lt;&gt;0,(AX12+BA12)&gt;=MAXSSDIBY),SSDIBY*MAXSSDIBY*P12,IF(AT12&lt;&gt;0,SSDIBY*W12,0))</f>
        <v>1026.5216</v>
      </c>
      <c r="BQ12" s="462">
        <f>IF(AT12&lt;&gt;0,SSHIBY*W12,0)</f>
        <v>240.0736</v>
      </c>
      <c r="BR12" s="462">
        <f>IF(AND(AT12&lt;&gt;0,AN12&lt;&gt;"NE"),VLOOKUP(AN12,Retirement_Rates,4,FALSE)*W12,0)</f>
        <v>1976.88192</v>
      </c>
      <c r="BS12" s="462">
        <f>IF(AND(AT12&lt;&gt;0,AJ12&lt;&gt;"PF"),LifeBY*W12,0)</f>
        <v>119.374528</v>
      </c>
      <c r="BT12" s="462">
        <f>IF(AND(AT12&lt;&gt;0,AM12="Y"),UIBY*W12,0)</f>
        <v>0</v>
      </c>
      <c r="BU12" s="462">
        <f>IF(AND(AT12&lt;&gt;0,N12&lt;&gt;"NR"),DHRBY*W12,0)</f>
        <v>50.663807999999996</v>
      </c>
      <c r="BV12" s="462">
        <f>IF(AT12&lt;&gt;0,WCBY*W12,0)</f>
        <v>574.52096000000006</v>
      </c>
      <c r="BW12" s="462">
        <f>IF(OR(AND(AT12&lt;&gt;0,AJ12&lt;&gt;"PF",AN12&lt;&gt;"NE",AG12&lt;&gt;"A"),AND(AL12="E",OR(AT12=1,AT12=3))),SickBY*W12,0)</f>
        <v>0</v>
      </c>
      <c r="BX12" s="462">
        <f t="shared" si="7"/>
        <v>3988.0364159999999</v>
      </c>
      <c r="BY12" s="462">
        <f t="shared" si="8"/>
        <v>0</v>
      </c>
      <c r="BZ12" s="462">
        <f t="shared" si="9"/>
        <v>0</v>
      </c>
      <c r="CA12" s="462">
        <f t="shared" si="10"/>
        <v>0</v>
      </c>
      <c r="CB12" s="462">
        <f t="shared" si="11"/>
        <v>0</v>
      </c>
      <c r="CC12" s="462">
        <f>IF(AT12&lt;&gt;0,SSHICHG*Y12,0)</f>
        <v>0</v>
      </c>
      <c r="CD12" s="462">
        <f>IF(AND(AT12&lt;&gt;0,AN12&lt;&gt;"NE"),VLOOKUP(AN12,Retirement_Rates,5,FALSE)*Y12,0)</f>
        <v>0</v>
      </c>
      <c r="CE12" s="462">
        <f>IF(AND(AT12&lt;&gt;0,AJ12&lt;&gt;"PF"),LifeCHG*Y12,0)</f>
        <v>0</v>
      </c>
      <c r="CF12" s="462">
        <f>IF(AND(AT12&lt;&gt;0,AM12="Y"),UICHG*Y12,0)</f>
        <v>-81.128319999999988</v>
      </c>
      <c r="CG12" s="462">
        <f>IF(AND(AT12&lt;&gt;0,N12&lt;&gt;"NR"),DHRCHG*Y12,0)</f>
        <v>0</v>
      </c>
      <c r="CH12" s="462">
        <f>IF(AT12&lt;&gt;0,WCCHG*Y12,0)</f>
        <v>129.14304000000001</v>
      </c>
      <c r="CI12" s="462">
        <f>IF(OR(AND(AT12&lt;&gt;0,AJ12&lt;&gt;"PF",AN12&lt;&gt;"NE",AG12&lt;&gt;"A"),AND(AL12="E",OR(AT12=1,AT12=3))),SickCHG*Y12,0)</f>
        <v>0</v>
      </c>
      <c r="CJ12" s="462">
        <f t="shared" si="12"/>
        <v>48.014720000000025</v>
      </c>
      <c r="CK12" s="462" t="str">
        <f t="shared" si="13"/>
        <v/>
      </c>
      <c r="CL12" s="462" t="str">
        <f t="shared" si="14"/>
        <v/>
      </c>
      <c r="CM12" s="462" t="str">
        <f t="shared" si="15"/>
        <v/>
      </c>
      <c r="CN12" s="462" t="str">
        <f t="shared" si="16"/>
        <v>0125-00</v>
      </c>
    </row>
    <row r="13" spans="1:92" ht="15" thickBot="1" x14ac:dyDescent="0.35">
      <c r="A13" s="376" t="s">
        <v>161</v>
      </c>
      <c r="B13" s="376" t="s">
        <v>162</v>
      </c>
      <c r="C13" s="376" t="s">
        <v>237</v>
      </c>
      <c r="D13" s="376" t="s">
        <v>238</v>
      </c>
      <c r="E13" s="376" t="s">
        <v>228</v>
      </c>
      <c r="F13" s="377" t="s">
        <v>166</v>
      </c>
      <c r="G13" s="376" t="s">
        <v>167</v>
      </c>
      <c r="H13" s="378"/>
      <c r="I13" s="378"/>
      <c r="J13" s="376" t="s">
        <v>193</v>
      </c>
      <c r="K13" s="376" t="s">
        <v>239</v>
      </c>
      <c r="L13" s="376" t="s">
        <v>240</v>
      </c>
      <c r="M13" s="376" t="s">
        <v>171</v>
      </c>
      <c r="N13" s="376" t="s">
        <v>172</v>
      </c>
      <c r="O13" s="379">
        <v>1</v>
      </c>
      <c r="P13" s="460">
        <v>0.8</v>
      </c>
      <c r="Q13" s="460">
        <v>0.8</v>
      </c>
      <c r="R13" s="380">
        <v>80</v>
      </c>
      <c r="S13" s="460">
        <v>0.8</v>
      </c>
      <c r="T13" s="380">
        <v>36390.410000000003</v>
      </c>
      <c r="U13" s="380">
        <v>0</v>
      </c>
      <c r="V13" s="380">
        <v>16868.939999999999</v>
      </c>
      <c r="W13" s="380">
        <v>37390.080000000002</v>
      </c>
      <c r="X13" s="380">
        <v>18217.68</v>
      </c>
      <c r="Y13" s="380">
        <v>37390.080000000002</v>
      </c>
      <c r="Z13" s="380">
        <v>18326.12</v>
      </c>
      <c r="AA13" s="376" t="s">
        <v>241</v>
      </c>
      <c r="AB13" s="376" t="s">
        <v>242</v>
      </c>
      <c r="AC13" s="376" t="s">
        <v>243</v>
      </c>
      <c r="AD13" s="376" t="s">
        <v>176</v>
      </c>
      <c r="AE13" s="376" t="s">
        <v>239</v>
      </c>
      <c r="AF13" s="376" t="s">
        <v>244</v>
      </c>
      <c r="AG13" s="376" t="s">
        <v>178</v>
      </c>
      <c r="AH13" s="381">
        <v>22.47</v>
      </c>
      <c r="AI13" s="381">
        <v>16337.6</v>
      </c>
      <c r="AJ13" s="376" t="s">
        <v>179</v>
      </c>
      <c r="AK13" s="376" t="s">
        <v>180</v>
      </c>
      <c r="AL13" s="376" t="s">
        <v>181</v>
      </c>
      <c r="AM13" s="376" t="s">
        <v>182</v>
      </c>
      <c r="AN13" s="376" t="s">
        <v>68</v>
      </c>
      <c r="AO13" s="379">
        <v>80</v>
      </c>
      <c r="AP13" s="460">
        <v>1</v>
      </c>
      <c r="AQ13" s="460">
        <v>0.8</v>
      </c>
      <c r="AR13" s="458" t="s">
        <v>183</v>
      </c>
      <c r="AS13" s="462">
        <f t="shared" si="0"/>
        <v>0.8</v>
      </c>
      <c r="AT13">
        <f t="shared" si="1"/>
        <v>1</v>
      </c>
      <c r="AU13" s="462">
        <f>IF(AT13=0,"",IF(AND(AT13=1,M13="F",SUMIF(C2:C391,C13,AS2:AS391)&lt;=1),SUMIF(C2:C391,C13,AS2:AS391),IF(AND(AT13=1,M13="F",SUMIF(C2:C391,C13,AS2:AS391)&gt;1),1,"")))</f>
        <v>1</v>
      </c>
      <c r="AV13" s="462" t="str">
        <f>IF(AT13=0,"",IF(AND(AT13=3,M13="F",SUMIF(C2:C391,C13,AS2:AS391)&lt;=1),SUMIF(C2:C391,C13,AS2:AS391),IF(AND(AT13=3,M13="F",SUMIF(C2:C391,C13,AS2:AS391)&gt;1),1,"")))</f>
        <v/>
      </c>
      <c r="AW13" s="462">
        <f>SUMIF(C2:C391,C13,O2:O391)</f>
        <v>2</v>
      </c>
      <c r="AX13" s="462">
        <f>IF(AND(M13="F",AS13&lt;&gt;0),SUMIF(C2:C391,C13,W2:W391),0)</f>
        <v>46737.600000000006</v>
      </c>
      <c r="AY13" s="462">
        <f t="shared" si="2"/>
        <v>37390.080000000002</v>
      </c>
      <c r="AZ13" s="462" t="str">
        <f t="shared" si="3"/>
        <v/>
      </c>
      <c r="BA13" s="462">
        <f t="shared" si="4"/>
        <v>0</v>
      </c>
      <c r="BB13" s="462">
        <f>IF(AND(AT13=1,AK13="E",AU13&gt;=0.75,AW13=1),Health,IF(AND(AT13=1,AK13="E",AU13&gt;=0.75),Health*P13,IF(AND(AT13=1,AK13="E",AU13&gt;=0.5,AW13=1),PTHealth,IF(AND(AT13=1,AK13="E",AU13&gt;=0.5),PTHealth*P13,0))))</f>
        <v>9320</v>
      </c>
      <c r="BC13" s="462">
        <f>IF(AND(AT13=3,AK13="E",AV13&gt;=0.75,AW13=1),Health,IF(AND(AT13=3,AK13="E",AV13&gt;=0.75),Health*P13,IF(AND(AT13=3,AK13="E",AV13&gt;=0.5,AW13=1),PTHealth,IF(AND(AT13=3,AK13="E",AV13&gt;=0.5),PTHealth*P13,0))))</f>
        <v>0</v>
      </c>
      <c r="BD13" s="462">
        <f>IF(AND(AT13&lt;&gt;0,AX13&gt;=MAXSSDI),SSDI*MAXSSDI*P13,IF(AT13&lt;&gt;0,SSDI*W13,0))</f>
        <v>2318.18496</v>
      </c>
      <c r="BE13" s="462">
        <f>IF(AT13&lt;&gt;0,SSHI*W13,0)</f>
        <v>542.15616</v>
      </c>
      <c r="BF13" s="462">
        <f>IF(AND(AT13&lt;&gt;0,AN13&lt;&gt;"NE"),VLOOKUP(AN13,Retirement_Rates,3,FALSE)*W13,0)</f>
        <v>4464.3755520000004</v>
      </c>
      <c r="BG13" s="462">
        <f>IF(AND(AT13&lt;&gt;0,AJ13&lt;&gt;"PF"),Life*W13,0)</f>
        <v>269.58247679999999</v>
      </c>
      <c r="BH13" s="462">
        <f>IF(AND(AT13&lt;&gt;0,AM13="Y"),UI*W13,0)</f>
        <v>183.21139199999999</v>
      </c>
      <c r="BI13" s="462">
        <f>IF(AND(AT13&lt;&gt;0,N13&lt;&gt;"NR"),DHR*W13,0)</f>
        <v>114.4136448</v>
      </c>
      <c r="BJ13" s="462">
        <f>IF(AT13&lt;&gt;0,WC*W13,0)</f>
        <v>1005.7931520000001</v>
      </c>
      <c r="BK13" s="462">
        <f>IF(OR(AND(AT13&lt;&gt;0,AJ13&lt;&gt;"PF",AN13&lt;&gt;"NE",AG13&lt;&gt;"A"),AND(AL13="E",OR(AT13=1,AT13=3))),Sick*W13,0)</f>
        <v>0</v>
      </c>
      <c r="BL13" s="462">
        <f t="shared" si="5"/>
        <v>8897.717337600001</v>
      </c>
      <c r="BM13" s="462">
        <f t="shared" si="6"/>
        <v>0</v>
      </c>
      <c r="BN13" s="462">
        <f>IF(AND(AT13=1,AK13="E",AU13&gt;=0.75,AW13=1),HealthBY,IF(AND(AT13=1,AK13="E",AU13&gt;=0.75),HealthBY*P13,IF(AND(AT13=1,AK13="E",AU13&gt;=0.5,AW13=1),PTHealthBY,IF(AND(AT13=1,AK13="E",AU13&gt;=0.5),PTHealthBY*P13,0))))</f>
        <v>9320</v>
      </c>
      <c r="BO13" s="462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2">
        <f>IF(AND(AT13&lt;&gt;0,(AX13+BA13)&gt;=MAXSSDIBY),SSDIBY*MAXSSDIBY*P13,IF(AT13&lt;&gt;0,SSDIBY*W13,0))</f>
        <v>2318.18496</v>
      </c>
      <c r="BQ13" s="462">
        <f>IF(AT13&lt;&gt;0,SSHIBY*W13,0)</f>
        <v>542.15616</v>
      </c>
      <c r="BR13" s="462">
        <f>IF(AND(AT13&lt;&gt;0,AN13&lt;&gt;"NE"),VLOOKUP(AN13,Retirement_Rates,4,FALSE)*W13,0)</f>
        <v>4464.3755520000004</v>
      </c>
      <c r="BS13" s="462">
        <f>IF(AND(AT13&lt;&gt;0,AJ13&lt;&gt;"PF"),LifeBY*W13,0)</f>
        <v>269.58247679999999</v>
      </c>
      <c r="BT13" s="462">
        <f>IF(AND(AT13&lt;&gt;0,AM13="Y"),UIBY*W13,0)</f>
        <v>0</v>
      </c>
      <c r="BU13" s="462">
        <f>IF(AND(AT13&lt;&gt;0,N13&lt;&gt;"NR"),DHRBY*W13,0)</f>
        <v>114.4136448</v>
      </c>
      <c r="BV13" s="462">
        <f>IF(AT13&lt;&gt;0,WCBY*W13,0)</f>
        <v>1297.435776</v>
      </c>
      <c r="BW13" s="462">
        <f>IF(OR(AND(AT13&lt;&gt;0,AJ13&lt;&gt;"PF",AN13&lt;&gt;"NE",AG13&lt;&gt;"A"),AND(AL13="E",OR(AT13=1,AT13=3))),SickBY*W13,0)</f>
        <v>0</v>
      </c>
      <c r="BX13" s="462">
        <f t="shared" si="7"/>
        <v>9006.1485696</v>
      </c>
      <c r="BY13" s="462">
        <f t="shared" si="8"/>
        <v>0</v>
      </c>
      <c r="BZ13" s="462">
        <f t="shared" si="9"/>
        <v>0</v>
      </c>
      <c r="CA13" s="462">
        <f t="shared" si="10"/>
        <v>0</v>
      </c>
      <c r="CB13" s="462">
        <f t="shared" si="11"/>
        <v>0</v>
      </c>
      <c r="CC13" s="462">
        <f>IF(AT13&lt;&gt;0,SSHICHG*Y13,0)</f>
        <v>0</v>
      </c>
      <c r="CD13" s="462">
        <f>IF(AND(AT13&lt;&gt;0,AN13&lt;&gt;"NE"),VLOOKUP(AN13,Retirement_Rates,5,FALSE)*Y13,0)</f>
        <v>0</v>
      </c>
      <c r="CE13" s="462">
        <f>IF(AND(AT13&lt;&gt;0,AJ13&lt;&gt;"PF"),LifeCHG*Y13,0)</f>
        <v>0</v>
      </c>
      <c r="CF13" s="462">
        <f>IF(AND(AT13&lt;&gt;0,AM13="Y"),UICHG*Y13,0)</f>
        <v>-183.21139199999999</v>
      </c>
      <c r="CG13" s="462">
        <f>IF(AND(AT13&lt;&gt;0,N13&lt;&gt;"NR"),DHRCHG*Y13,0)</f>
        <v>0</v>
      </c>
      <c r="CH13" s="462">
        <f>IF(AT13&lt;&gt;0,WCCHG*Y13,0)</f>
        <v>291.64262400000007</v>
      </c>
      <c r="CI13" s="462">
        <f>IF(OR(AND(AT13&lt;&gt;0,AJ13&lt;&gt;"PF",AN13&lt;&gt;"NE",AG13&lt;&gt;"A"),AND(AL13="E",OR(AT13=1,AT13=3))),SickCHG*Y13,0)</f>
        <v>0</v>
      </c>
      <c r="CJ13" s="462">
        <f t="shared" si="12"/>
        <v>108.43123200000008</v>
      </c>
      <c r="CK13" s="462" t="str">
        <f t="shared" si="13"/>
        <v/>
      </c>
      <c r="CL13" s="462" t="str">
        <f t="shared" si="14"/>
        <v/>
      </c>
      <c r="CM13" s="462" t="str">
        <f t="shared" si="15"/>
        <v/>
      </c>
      <c r="CN13" s="462" t="str">
        <f t="shared" si="16"/>
        <v>0125-00</v>
      </c>
    </row>
    <row r="14" spans="1:92" ht="15" thickBot="1" x14ac:dyDescent="0.35">
      <c r="A14" s="376" t="s">
        <v>161</v>
      </c>
      <c r="B14" s="376" t="s">
        <v>162</v>
      </c>
      <c r="C14" s="376" t="s">
        <v>245</v>
      </c>
      <c r="D14" s="376" t="s">
        <v>227</v>
      </c>
      <c r="E14" s="376" t="s">
        <v>228</v>
      </c>
      <c r="F14" s="377" t="s">
        <v>166</v>
      </c>
      <c r="G14" s="376" t="s">
        <v>167</v>
      </c>
      <c r="H14" s="378"/>
      <c r="I14" s="378"/>
      <c r="J14" s="376" t="s">
        <v>229</v>
      </c>
      <c r="K14" s="376" t="s">
        <v>230</v>
      </c>
      <c r="L14" s="376" t="s">
        <v>231</v>
      </c>
      <c r="M14" s="376" t="s">
        <v>171</v>
      </c>
      <c r="N14" s="376" t="s">
        <v>172</v>
      </c>
      <c r="O14" s="379">
        <v>1</v>
      </c>
      <c r="P14" s="460">
        <v>0.33</v>
      </c>
      <c r="Q14" s="460">
        <v>0.33</v>
      </c>
      <c r="R14" s="380">
        <v>60</v>
      </c>
      <c r="S14" s="460">
        <v>0.24</v>
      </c>
      <c r="T14" s="380">
        <v>10052.49</v>
      </c>
      <c r="U14" s="380">
        <v>0</v>
      </c>
      <c r="V14" s="380">
        <v>6194.9</v>
      </c>
      <c r="W14" s="380">
        <v>10244.52</v>
      </c>
      <c r="X14" s="380">
        <v>6282.37</v>
      </c>
      <c r="Y14" s="380">
        <v>10244.52</v>
      </c>
      <c r="Z14" s="380">
        <v>6312.08</v>
      </c>
      <c r="AA14" s="376" t="s">
        <v>246</v>
      </c>
      <c r="AB14" s="376" t="s">
        <v>247</v>
      </c>
      <c r="AC14" s="376" t="s">
        <v>248</v>
      </c>
      <c r="AD14" s="376" t="s">
        <v>240</v>
      </c>
      <c r="AE14" s="376" t="s">
        <v>230</v>
      </c>
      <c r="AF14" s="376" t="s">
        <v>236</v>
      </c>
      <c r="AG14" s="376" t="s">
        <v>178</v>
      </c>
      <c r="AH14" s="381">
        <v>19.899999999999999</v>
      </c>
      <c r="AI14" s="381">
        <v>5550.7</v>
      </c>
      <c r="AJ14" s="376" t="s">
        <v>249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60</v>
      </c>
      <c r="AP14" s="460">
        <v>1</v>
      </c>
      <c r="AQ14" s="460">
        <v>0.24</v>
      </c>
      <c r="AR14" s="458" t="s">
        <v>183</v>
      </c>
      <c r="AS14" s="462">
        <f t="shared" si="0"/>
        <v>0.2475</v>
      </c>
      <c r="AT14">
        <f t="shared" si="1"/>
        <v>1</v>
      </c>
      <c r="AU14" s="462">
        <f>IF(AT14=0,"",IF(AND(AT14=1,M14="F",SUMIF(C2:C391,C14,AS2:AS391)&lt;=1),SUMIF(C2:C391,C14,AS2:AS391),IF(AND(AT14=1,M14="F",SUMIF(C2:C391,C14,AS2:AS391)&gt;1),1,"")))</f>
        <v>0.75</v>
      </c>
      <c r="AV14" s="462" t="str">
        <f>IF(AT14=0,"",IF(AND(AT14=3,M14="F",SUMIF(C2:C391,C14,AS2:AS391)&lt;=1),SUMIF(C2:C391,C14,AS2:AS391),IF(AND(AT14=3,M14="F",SUMIF(C2:C391,C14,AS2:AS391)&gt;1),1,"")))</f>
        <v/>
      </c>
      <c r="AW14" s="462">
        <f>SUMIF(C2:C391,C14,O2:O391)</f>
        <v>3</v>
      </c>
      <c r="AX14" s="462">
        <f>IF(AND(M14="F",AS14&lt;&gt;0),SUMIF(C2:C391,C14,W2:W391),0)</f>
        <v>31044</v>
      </c>
      <c r="AY14" s="462">
        <f t="shared" si="2"/>
        <v>10244.52</v>
      </c>
      <c r="AZ14" s="462" t="str">
        <f t="shared" si="3"/>
        <v/>
      </c>
      <c r="BA14" s="462">
        <f t="shared" si="4"/>
        <v>0</v>
      </c>
      <c r="BB14" s="462">
        <f>IF(AND(AT14=1,AK14="E",AU14&gt;=0.75,AW14=1),Health,IF(AND(AT14=1,AK14="E",AU14&gt;=0.75),Health*P14,IF(AND(AT14=1,AK14="E",AU14&gt;=0.5,AW14=1),PTHealth,IF(AND(AT14=1,AK14="E",AU14&gt;=0.5),PTHealth*P14,0))))</f>
        <v>3844.5</v>
      </c>
      <c r="BC14" s="462">
        <f>IF(AND(AT14=3,AK14="E",AV14&gt;=0.75,AW14=1),Health,IF(AND(AT14=3,AK14="E",AV14&gt;=0.75),Health*P14,IF(AND(AT14=3,AK14="E",AV14&gt;=0.5,AW14=1),PTHealth,IF(AND(AT14=3,AK14="E",AV14&gt;=0.5),PTHealth*P14,0))))</f>
        <v>0</v>
      </c>
      <c r="BD14" s="462">
        <f>IF(AND(AT14&lt;&gt;0,AX14&gt;=MAXSSDI),SSDI*MAXSSDI*P14,IF(AT14&lt;&gt;0,SSDI*W14,0))</f>
        <v>635.16024000000004</v>
      </c>
      <c r="BE14" s="462">
        <f>IF(AT14&lt;&gt;0,SSHI*W14,0)</f>
        <v>148.54554000000002</v>
      </c>
      <c r="BF14" s="462">
        <f>IF(AND(AT14&lt;&gt;0,AN14&lt;&gt;"NE"),VLOOKUP(AN14,Retirement_Rates,3,FALSE)*W14,0)</f>
        <v>1223.195688</v>
      </c>
      <c r="BG14" s="462">
        <f>IF(AND(AT14&lt;&gt;0,AJ14&lt;&gt;"PF"),Life*W14,0)</f>
        <v>73.862989200000001</v>
      </c>
      <c r="BH14" s="462">
        <f>IF(AND(AT14&lt;&gt;0,AM14="Y"),UI*W14,0)</f>
        <v>50.198148000000003</v>
      </c>
      <c r="BI14" s="462">
        <f>IF(AND(AT14&lt;&gt;0,N14&lt;&gt;"NR"),DHR*W14,0)</f>
        <v>31.348231200000001</v>
      </c>
      <c r="BJ14" s="462">
        <f>IF(AT14&lt;&gt;0,WC*W14,0)</f>
        <v>275.57758799999999</v>
      </c>
      <c r="BK14" s="462">
        <f>IF(OR(AND(AT14&lt;&gt;0,AJ14&lt;&gt;"PF",AN14&lt;&gt;"NE",AG14&lt;&gt;"A"),AND(AL14="E",OR(AT14=1,AT14=3))),Sick*W14,0)</f>
        <v>0</v>
      </c>
      <c r="BL14" s="462">
        <f t="shared" si="5"/>
        <v>2437.8884244000001</v>
      </c>
      <c r="BM14" s="462">
        <f t="shared" si="6"/>
        <v>0</v>
      </c>
      <c r="BN14" s="462">
        <f>IF(AND(AT14=1,AK14="E",AU14&gt;=0.75,AW14=1),HealthBY,IF(AND(AT14=1,AK14="E",AU14&gt;=0.75),HealthBY*P14,IF(AND(AT14=1,AK14="E",AU14&gt;=0.5,AW14=1),PTHealthBY,IF(AND(AT14=1,AK14="E",AU14&gt;=0.5),PTHealthBY*P14,0))))</f>
        <v>3844.5</v>
      </c>
      <c r="BO14" s="462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2">
        <f>IF(AND(AT14&lt;&gt;0,(AX14+BA14)&gt;=MAXSSDIBY),SSDIBY*MAXSSDIBY*P14,IF(AT14&lt;&gt;0,SSDIBY*W14,0))</f>
        <v>635.16024000000004</v>
      </c>
      <c r="BQ14" s="462">
        <f>IF(AT14&lt;&gt;0,SSHIBY*W14,0)</f>
        <v>148.54554000000002</v>
      </c>
      <c r="BR14" s="462">
        <f>IF(AND(AT14&lt;&gt;0,AN14&lt;&gt;"NE"),VLOOKUP(AN14,Retirement_Rates,4,FALSE)*W14,0)</f>
        <v>1223.195688</v>
      </c>
      <c r="BS14" s="462">
        <f>IF(AND(AT14&lt;&gt;0,AJ14&lt;&gt;"PF"),LifeBY*W14,0)</f>
        <v>73.862989200000001</v>
      </c>
      <c r="BT14" s="462">
        <f>IF(AND(AT14&lt;&gt;0,AM14="Y"),UIBY*W14,0)</f>
        <v>0</v>
      </c>
      <c r="BU14" s="462">
        <f>IF(AND(AT14&lt;&gt;0,N14&lt;&gt;"NR"),DHRBY*W14,0)</f>
        <v>31.348231200000001</v>
      </c>
      <c r="BV14" s="462">
        <f>IF(AT14&lt;&gt;0,WCBY*W14,0)</f>
        <v>355.48484400000001</v>
      </c>
      <c r="BW14" s="462">
        <f>IF(OR(AND(AT14&lt;&gt;0,AJ14&lt;&gt;"PF",AN14&lt;&gt;"NE",AG14&lt;&gt;"A"),AND(AL14="E",OR(AT14=1,AT14=3))),SickBY*W14,0)</f>
        <v>0</v>
      </c>
      <c r="BX14" s="462">
        <f t="shared" si="7"/>
        <v>2467.5975324000001</v>
      </c>
      <c r="BY14" s="462">
        <f t="shared" si="8"/>
        <v>0</v>
      </c>
      <c r="BZ14" s="462">
        <f t="shared" si="9"/>
        <v>0</v>
      </c>
      <c r="CA14" s="462">
        <f t="shared" si="10"/>
        <v>0</v>
      </c>
      <c r="CB14" s="462">
        <f t="shared" si="11"/>
        <v>0</v>
      </c>
      <c r="CC14" s="462">
        <f>IF(AT14&lt;&gt;0,SSHICHG*Y14,0)</f>
        <v>0</v>
      </c>
      <c r="CD14" s="462">
        <f>IF(AND(AT14&lt;&gt;0,AN14&lt;&gt;"NE"),VLOOKUP(AN14,Retirement_Rates,5,FALSE)*Y14,0)</f>
        <v>0</v>
      </c>
      <c r="CE14" s="462">
        <f>IF(AND(AT14&lt;&gt;0,AJ14&lt;&gt;"PF"),LifeCHG*Y14,0)</f>
        <v>0</v>
      </c>
      <c r="CF14" s="462">
        <f>IF(AND(AT14&lt;&gt;0,AM14="Y"),UICHG*Y14,0)</f>
        <v>-50.198148000000003</v>
      </c>
      <c r="CG14" s="462">
        <f>IF(AND(AT14&lt;&gt;0,N14&lt;&gt;"NR"),DHRCHG*Y14,0)</f>
        <v>0</v>
      </c>
      <c r="CH14" s="462">
        <f>IF(AT14&lt;&gt;0,WCCHG*Y14,0)</f>
        <v>79.907256000000018</v>
      </c>
      <c r="CI14" s="462">
        <f>IF(OR(AND(AT14&lt;&gt;0,AJ14&lt;&gt;"PF",AN14&lt;&gt;"NE",AG14&lt;&gt;"A"),AND(AL14="E",OR(AT14=1,AT14=3))),SickCHG*Y14,0)</f>
        <v>0</v>
      </c>
      <c r="CJ14" s="462">
        <f t="shared" si="12"/>
        <v>29.709108000000015</v>
      </c>
      <c r="CK14" s="462" t="str">
        <f t="shared" si="13"/>
        <v/>
      </c>
      <c r="CL14" s="462" t="str">
        <f t="shared" si="14"/>
        <v/>
      </c>
      <c r="CM14" s="462" t="str">
        <f t="shared" si="15"/>
        <v/>
      </c>
      <c r="CN14" s="462" t="str">
        <f t="shared" si="16"/>
        <v>0125-00</v>
      </c>
    </row>
    <row r="15" spans="1:92" ht="15" thickBot="1" x14ac:dyDescent="0.35">
      <c r="A15" s="376" t="s">
        <v>161</v>
      </c>
      <c r="B15" s="376" t="s">
        <v>162</v>
      </c>
      <c r="C15" s="376" t="s">
        <v>250</v>
      </c>
      <c r="D15" s="376" t="s">
        <v>227</v>
      </c>
      <c r="E15" s="376" t="s">
        <v>228</v>
      </c>
      <c r="F15" s="377" t="s">
        <v>166</v>
      </c>
      <c r="G15" s="376" t="s">
        <v>167</v>
      </c>
      <c r="H15" s="378"/>
      <c r="I15" s="378"/>
      <c r="J15" s="376" t="s">
        <v>229</v>
      </c>
      <c r="K15" s="376" t="s">
        <v>230</v>
      </c>
      <c r="L15" s="376" t="s">
        <v>231</v>
      </c>
      <c r="M15" s="376" t="s">
        <v>171</v>
      </c>
      <c r="N15" s="376" t="s">
        <v>172</v>
      </c>
      <c r="O15" s="379">
        <v>1</v>
      </c>
      <c r="P15" s="460">
        <v>0.4</v>
      </c>
      <c r="Q15" s="460">
        <v>0.4</v>
      </c>
      <c r="R15" s="380">
        <v>80</v>
      </c>
      <c r="S15" s="460">
        <v>0.4</v>
      </c>
      <c r="T15" s="380">
        <v>15469.46</v>
      </c>
      <c r="U15" s="380">
        <v>0</v>
      </c>
      <c r="V15" s="380">
        <v>8303.9500000000007</v>
      </c>
      <c r="W15" s="380">
        <v>16407.04</v>
      </c>
      <c r="X15" s="380">
        <v>8564.3700000000008</v>
      </c>
      <c r="Y15" s="380">
        <v>16407.04</v>
      </c>
      <c r="Z15" s="380">
        <v>8611.9500000000007</v>
      </c>
      <c r="AA15" s="376" t="s">
        <v>251</v>
      </c>
      <c r="AB15" s="376" t="s">
        <v>252</v>
      </c>
      <c r="AC15" s="376" t="s">
        <v>253</v>
      </c>
      <c r="AD15" s="376" t="s">
        <v>170</v>
      </c>
      <c r="AE15" s="376" t="s">
        <v>230</v>
      </c>
      <c r="AF15" s="376" t="s">
        <v>236</v>
      </c>
      <c r="AG15" s="376" t="s">
        <v>178</v>
      </c>
      <c r="AH15" s="381">
        <v>19.72</v>
      </c>
      <c r="AI15" s="381">
        <v>18601.400000000001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460">
        <v>1</v>
      </c>
      <c r="AQ15" s="460">
        <v>0.4</v>
      </c>
      <c r="AR15" s="458" t="s">
        <v>183</v>
      </c>
      <c r="AS15" s="462">
        <f t="shared" si="0"/>
        <v>0.4</v>
      </c>
      <c r="AT15">
        <f t="shared" si="1"/>
        <v>1</v>
      </c>
      <c r="AU15" s="462">
        <f>IF(AT15=0,"",IF(AND(AT15=1,M15="F",SUMIF(C2:C391,C15,AS2:AS391)&lt;=1),SUMIF(C2:C391,C15,AS2:AS391),IF(AND(AT15=1,M15="F",SUMIF(C2:C391,C15,AS2:AS391)&gt;1),1,"")))</f>
        <v>1</v>
      </c>
      <c r="AV15" s="462" t="str">
        <f>IF(AT15=0,"",IF(AND(AT15=3,M15="F",SUMIF(C2:C391,C15,AS2:AS391)&lt;=1),SUMIF(C2:C391,C15,AS2:AS391),IF(AND(AT15=3,M15="F",SUMIF(C2:C391,C15,AS2:AS391)&gt;1),1,"")))</f>
        <v/>
      </c>
      <c r="AW15" s="462">
        <f>SUMIF(C2:C391,C15,O2:O391)</f>
        <v>3</v>
      </c>
      <c r="AX15" s="462">
        <f>IF(AND(M15="F",AS15&lt;&gt;0),SUMIF(C2:C391,C15,W2:W391),0)</f>
        <v>41017.600000000006</v>
      </c>
      <c r="AY15" s="462">
        <f t="shared" si="2"/>
        <v>16407.04</v>
      </c>
      <c r="AZ15" s="462" t="str">
        <f t="shared" si="3"/>
        <v/>
      </c>
      <c r="BA15" s="462">
        <f t="shared" si="4"/>
        <v>0</v>
      </c>
      <c r="BB15" s="462">
        <f>IF(AND(AT15=1,AK15="E",AU15&gt;=0.75,AW15=1),Health,IF(AND(AT15=1,AK15="E",AU15&gt;=0.75),Health*P15,IF(AND(AT15=1,AK15="E",AU15&gt;=0.5,AW15=1),PTHealth,IF(AND(AT15=1,AK15="E",AU15&gt;=0.5),PTHealth*P15,0))))</f>
        <v>4660</v>
      </c>
      <c r="BC15" s="462">
        <f>IF(AND(AT15=3,AK15="E",AV15&gt;=0.75,AW15=1),Health,IF(AND(AT15=3,AK15="E",AV15&gt;=0.75),Health*P15,IF(AND(AT15=3,AK15="E",AV15&gt;=0.5,AW15=1),PTHealth,IF(AND(AT15=3,AK15="E",AV15&gt;=0.5),PTHealth*P15,0))))</f>
        <v>0</v>
      </c>
      <c r="BD15" s="462">
        <f>IF(AND(AT15&lt;&gt;0,AX15&gt;=MAXSSDI),SSDI*MAXSSDI*P15,IF(AT15&lt;&gt;0,SSDI*W15,0))</f>
        <v>1017.23648</v>
      </c>
      <c r="BE15" s="462">
        <f>IF(AT15&lt;&gt;0,SSHI*W15,0)</f>
        <v>237.90208000000001</v>
      </c>
      <c r="BF15" s="462">
        <f>IF(AND(AT15&lt;&gt;0,AN15&lt;&gt;"NE"),VLOOKUP(AN15,Retirement_Rates,3,FALSE)*W15,0)</f>
        <v>1959.0005760000001</v>
      </c>
      <c r="BG15" s="462">
        <f>IF(AND(AT15&lt;&gt;0,AJ15&lt;&gt;"PF"),Life*W15,0)</f>
        <v>118.29475840000001</v>
      </c>
      <c r="BH15" s="462">
        <f>IF(AND(AT15&lt;&gt;0,AM15="Y"),UI*W15,0)</f>
        <v>80.394496000000004</v>
      </c>
      <c r="BI15" s="462">
        <f>IF(AND(AT15&lt;&gt;0,N15&lt;&gt;"NR"),DHR*W15,0)</f>
        <v>50.205542399999999</v>
      </c>
      <c r="BJ15" s="462">
        <f>IF(AT15&lt;&gt;0,WC*W15,0)</f>
        <v>441.34937600000001</v>
      </c>
      <c r="BK15" s="462">
        <f>IF(OR(AND(AT15&lt;&gt;0,AJ15&lt;&gt;"PF",AN15&lt;&gt;"NE",AG15&lt;&gt;"A"),AND(AL15="E",OR(AT15=1,AT15=3))),Sick*W15,0)</f>
        <v>0</v>
      </c>
      <c r="BL15" s="462">
        <f t="shared" si="5"/>
        <v>3904.3833088000001</v>
      </c>
      <c r="BM15" s="462">
        <f t="shared" si="6"/>
        <v>0</v>
      </c>
      <c r="BN15" s="462">
        <f>IF(AND(AT15=1,AK15="E",AU15&gt;=0.75,AW15=1),HealthBY,IF(AND(AT15=1,AK15="E",AU15&gt;=0.75),HealthBY*P15,IF(AND(AT15=1,AK15="E",AU15&gt;=0.5,AW15=1),PTHealthBY,IF(AND(AT15=1,AK15="E",AU15&gt;=0.5),PTHealthBY*P15,0))))</f>
        <v>4660</v>
      </c>
      <c r="BO15" s="462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2">
        <f>IF(AND(AT15&lt;&gt;0,(AX15+BA15)&gt;=MAXSSDIBY),SSDIBY*MAXSSDIBY*P15,IF(AT15&lt;&gt;0,SSDIBY*W15,0))</f>
        <v>1017.23648</v>
      </c>
      <c r="BQ15" s="462">
        <f>IF(AT15&lt;&gt;0,SSHIBY*W15,0)</f>
        <v>237.90208000000001</v>
      </c>
      <c r="BR15" s="462">
        <f>IF(AND(AT15&lt;&gt;0,AN15&lt;&gt;"NE"),VLOOKUP(AN15,Retirement_Rates,4,FALSE)*W15,0)</f>
        <v>1959.0005760000001</v>
      </c>
      <c r="BS15" s="462">
        <f>IF(AND(AT15&lt;&gt;0,AJ15&lt;&gt;"PF"),LifeBY*W15,0)</f>
        <v>118.29475840000001</v>
      </c>
      <c r="BT15" s="462">
        <f>IF(AND(AT15&lt;&gt;0,AM15="Y"),UIBY*W15,0)</f>
        <v>0</v>
      </c>
      <c r="BU15" s="462">
        <f>IF(AND(AT15&lt;&gt;0,N15&lt;&gt;"NR"),DHRBY*W15,0)</f>
        <v>50.205542399999999</v>
      </c>
      <c r="BV15" s="462">
        <f>IF(AT15&lt;&gt;0,WCBY*W15,0)</f>
        <v>569.32428800000002</v>
      </c>
      <c r="BW15" s="462">
        <f>IF(OR(AND(AT15&lt;&gt;0,AJ15&lt;&gt;"PF",AN15&lt;&gt;"NE",AG15&lt;&gt;"A"),AND(AL15="E",OR(AT15=1,AT15=3))),SickBY*W15,0)</f>
        <v>0</v>
      </c>
      <c r="BX15" s="462">
        <f t="shared" si="7"/>
        <v>3951.9637247999999</v>
      </c>
      <c r="BY15" s="462">
        <f t="shared" si="8"/>
        <v>0</v>
      </c>
      <c r="BZ15" s="462">
        <f t="shared" si="9"/>
        <v>0</v>
      </c>
      <c r="CA15" s="462">
        <f t="shared" si="10"/>
        <v>0</v>
      </c>
      <c r="CB15" s="462">
        <f t="shared" si="11"/>
        <v>0</v>
      </c>
      <c r="CC15" s="462">
        <f>IF(AT15&lt;&gt;0,SSHICHG*Y15,0)</f>
        <v>0</v>
      </c>
      <c r="CD15" s="462">
        <f>IF(AND(AT15&lt;&gt;0,AN15&lt;&gt;"NE"),VLOOKUP(AN15,Retirement_Rates,5,FALSE)*Y15,0)</f>
        <v>0</v>
      </c>
      <c r="CE15" s="462">
        <f>IF(AND(AT15&lt;&gt;0,AJ15&lt;&gt;"PF"),LifeCHG*Y15,0)</f>
        <v>0</v>
      </c>
      <c r="CF15" s="462">
        <f>IF(AND(AT15&lt;&gt;0,AM15="Y"),UICHG*Y15,0)</f>
        <v>-80.394496000000004</v>
      </c>
      <c r="CG15" s="462">
        <f>IF(AND(AT15&lt;&gt;0,N15&lt;&gt;"NR"),DHRCHG*Y15,0)</f>
        <v>0</v>
      </c>
      <c r="CH15" s="462">
        <f>IF(AT15&lt;&gt;0,WCCHG*Y15,0)</f>
        <v>127.97491200000003</v>
      </c>
      <c r="CI15" s="462">
        <f>IF(OR(AND(AT15&lt;&gt;0,AJ15&lt;&gt;"PF",AN15&lt;&gt;"NE",AG15&lt;&gt;"A"),AND(AL15="E",OR(AT15=1,AT15=3))),SickCHG*Y15,0)</f>
        <v>0</v>
      </c>
      <c r="CJ15" s="462">
        <f t="shared" si="12"/>
        <v>47.580416000000028</v>
      </c>
      <c r="CK15" s="462" t="str">
        <f t="shared" si="13"/>
        <v/>
      </c>
      <c r="CL15" s="462" t="str">
        <f t="shared" si="14"/>
        <v/>
      </c>
      <c r="CM15" s="462" t="str">
        <f t="shared" si="15"/>
        <v/>
      </c>
      <c r="CN15" s="462" t="str">
        <f t="shared" si="16"/>
        <v>0125-00</v>
      </c>
    </row>
    <row r="16" spans="1:92" ht="15" thickBot="1" x14ac:dyDescent="0.35">
      <c r="A16" s="376" t="s">
        <v>161</v>
      </c>
      <c r="B16" s="376" t="s">
        <v>162</v>
      </c>
      <c r="C16" s="376" t="s">
        <v>254</v>
      </c>
      <c r="D16" s="376" t="s">
        <v>238</v>
      </c>
      <c r="E16" s="376" t="s">
        <v>228</v>
      </c>
      <c r="F16" s="377" t="s">
        <v>166</v>
      </c>
      <c r="G16" s="376" t="s">
        <v>167</v>
      </c>
      <c r="H16" s="378"/>
      <c r="I16" s="378"/>
      <c r="J16" s="376" t="s">
        <v>193</v>
      </c>
      <c r="K16" s="376" t="s">
        <v>239</v>
      </c>
      <c r="L16" s="376" t="s">
        <v>240</v>
      </c>
      <c r="M16" s="376" t="s">
        <v>171</v>
      </c>
      <c r="N16" s="376" t="s">
        <v>172</v>
      </c>
      <c r="O16" s="379">
        <v>1</v>
      </c>
      <c r="P16" s="460">
        <v>0.6</v>
      </c>
      <c r="Q16" s="460">
        <v>0.6</v>
      </c>
      <c r="R16" s="380">
        <v>80</v>
      </c>
      <c r="S16" s="460">
        <v>0.6</v>
      </c>
      <c r="T16" s="380">
        <v>27592.32</v>
      </c>
      <c r="U16" s="380">
        <v>0</v>
      </c>
      <c r="V16" s="380">
        <v>12636.15</v>
      </c>
      <c r="W16" s="380">
        <v>28379.52</v>
      </c>
      <c r="X16" s="380">
        <v>13743.45</v>
      </c>
      <c r="Y16" s="380">
        <v>28379.52</v>
      </c>
      <c r="Z16" s="380">
        <v>13825.75</v>
      </c>
      <c r="AA16" s="376" t="s">
        <v>255</v>
      </c>
      <c r="AB16" s="376" t="s">
        <v>256</v>
      </c>
      <c r="AC16" s="376" t="s">
        <v>257</v>
      </c>
      <c r="AD16" s="376" t="s">
        <v>176</v>
      </c>
      <c r="AE16" s="376" t="s">
        <v>239</v>
      </c>
      <c r="AF16" s="376" t="s">
        <v>244</v>
      </c>
      <c r="AG16" s="376" t="s">
        <v>178</v>
      </c>
      <c r="AH16" s="381">
        <v>22.74</v>
      </c>
      <c r="AI16" s="379">
        <v>16800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460">
        <v>1</v>
      </c>
      <c r="AQ16" s="460">
        <v>0.6</v>
      </c>
      <c r="AR16" s="458" t="s">
        <v>183</v>
      </c>
      <c r="AS16" s="462">
        <f t="shared" si="0"/>
        <v>0.6</v>
      </c>
      <c r="AT16">
        <f t="shared" si="1"/>
        <v>1</v>
      </c>
      <c r="AU16" s="462">
        <f>IF(AT16=0,"",IF(AND(AT16=1,M16="F",SUMIF(C2:C391,C16,AS2:AS391)&lt;=1),SUMIF(C2:C391,C16,AS2:AS391),IF(AND(AT16=1,M16="F",SUMIF(C2:C391,C16,AS2:AS391)&gt;1),1,"")))</f>
        <v>1</v>
      </c>
      <c r="AV16" s="462" t="str">
        <f>IF(AT16=0,"",IF(AND(AT16=3,M16="F",SUMIF(C2:C391,C16,AS2:AS391)&lt;=1),SUMIF(C2:C391,C16,AS2:AS391),IF(AND(AT16=3,M16="F",SUMIF(C2:C391,C16,AS2:AS391)&gt;1),1,"")))</f>
        <v/>
      </c>
      <c r="AW16" s="462">
        <f>SUMIF(C2:C391,C16,O2:O391)</f>
        <v>2</v>
      </c>
      <c r="AX16" s="462">
        <f>IF(AND(M16="F",AS16&lt;&gt;0),SUMIF(C2:C391,C16,W2:W391),0)</f>
        <v>47299.199999999997</v>
      </c>
      <c r="AY16" s="462">
        <f t="shared" si="2"/>
        <v>28379.52</v>
      </c>
      <c r="AZ16" s="462" t="str">
        <f t="shared" si="3"/>
        <v/>
      </c>
      <c r="BA16" s="462">
        <f t="shared" si="4"/>
        <v>0</v>
      </c>
      <c r="BB16" s="462">
        <f>IF(AND(AT16=1,AK16="E",AU16&gt;=0.75,AW16=1),Health,IF(AND(AT16=1,AK16="E",AU16&gt;=0.75),Health*P16,IF(AND(AT16=1,AK16="E",AU16&gt;=0.5,AW16=1),PTHealth,IF(AND(AT16=1,AK16="E",AU16&gt;=0.5),PTHealth*P16,0))))</f>
        <v>6990</v>
      </c>
      <c r="BC16" s="462">
        <f>IF(AND(AT16=3,AK16="E",AV16&gt;=0.75,AW16=1),Health,IF(AND(AT16=3,AK16="E",AV16&gt;=0.75),Health*P16,IF(AND(AT16=3,AK16="E",AV16&gt;=0.5,AW16=1),PTHealth,IF(AND(AT16=3,AK16="E",AV16&gt;=0.5),PTHealth*P16,0))))</f>
        <v>0</v>
      </c>
      <c r="BD16" s="462">
        <f>IF(AND(AT16&lt;&gt;0,AX16&gt;=MAXSSDI),SSDI*MAXSSDI*P16,IF(AT16&lt;&gt;0,SSDI*W16,0))</f>
        <v>1759.53024</v>
      </c>
      <c r="BE16" s="462">
        <f>IF(AT16&lt;&gt;0,SSHI*W16,0)</f>
        <v>411.50304000000006</v>
      </c>
      <c r="BF16" s="462">
        <f>IF(AND(AT16&lt;&gt;0,AN16&lt;&gt;"NE"),VLOOKUP(AN16,Retirement_Rates,3,FALSE)*W16,0)</f>
        <v>3388.5146880000002</v>
      </c>
      <c r="BG16" s="462">
        <f>IF(AND(AT16&lt;&gt;0,AJ16&lt;&gt;"PF"),Life*W16,0)</f>
        <v>204.6163392</v>
      </c>
      <c r="BH16" s="462">
        <f>IF(AND(AT16&lt;&gt;0,AM16="Y"),UI*W16,0)</f>
        <v>139.05964800000001</v>
      </c>
      <c r="BI16" s="462">
        <f>IF(AND(AT16&lt;&gt;0,N16&lt;&gt;"NR"),DHR*W16,0)</f>
        <v>86.841331199999999</v>
      </c>
      <c r="BJ16" s="462">
        <f>IF(AT16&lt;&gt;0,WC*W16,0)</f>
        <v>763.409088</v>
      </c>
      <c r="BK16" s="462">
        <f>IF(OR(AND(AT16&lt;&gt;0,AJ16&lt;&gt;"PF",AN16&lt;&gt;"NE",AG16&lt;&gt;"A"),AND(AL16="E",OR(AT16=1,AT16=3))),Sick*W16,0)</f>
        <v>0</v>
      </c>
      <c r="BL16" s="462">
        <f t="shared" si="5"/>
        <v>6753.4743744000016</v>
      </c>
      <c r="BM16" s="462">
        <f t="shared" si="6"/>
        <v>0</v>
      </c>
      <c r="BN16" s="462">
        <f>IF(AND(AT16=1,AK16="E",AU16&gt;=0.75,AW16=1),HealthBY,IF(AND(AT16=1,AK16="E",AU16&gt;=0.75),HealthBY*P16,IF(AND(AT16=1,AK16="E",AU16&gt;=0.5,AW16=1),PTHealthBY,IF(AND(AT16=1,AK16="E",AU16&gt;=0.5),PTHealthBY*P16,0))))</f>
        <v>6990</v>
      </c>
      <c r="BO16" s="462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2">
        <f>IF(AND(AT16&lt;&gt;0,(AX16+BA16)&gt;=MAXSSDIBY),SSDIBY*MAXSSDIBY*P16,IF(AT16&lt;&gt;0,SSDIBY*W16,0))</f>
        <v>1759.53024</v>
      </c>
      <c r="BQ16" s="462">
        <f>IF(AT16&lt;&gt;0,SSHIBY*W16,0)</f>
        <v>411.50304000000006</v>
      </c>
      <c r="BR16" s="462">
        <f>IF(AND(AT16&lt;&gt;0,AN16&lt;&gt;"NE"),VLOOKUP(AN16,Retirement_Rates,4,FALSE)*W16,0)</f>
        <v>3388.5146880000002</v>
      </c>
      <c r="BS16" s="462">
        <f>IF(AND(AT16&lt;&gt;0,AJ16&lt;&gt;"PF"),LifeBY*W16,0)</f>
        <v>204.6163392</v>
      </c>
      <c r="BT16" s="462">
        <f>IF(AND(AT16&lt;&gt;0,AM16="Y"),UIBY*W16,0)</f>
        <v>0</v>
      </c>
      <c r="BU16" s="462">
        <f>IF(AND(AT16&lt;&gt;0,N16&lt;&gt;"NR"),DHRBY*W16,0)</f>
        <v>86.841331199999999</v>
      </c>
      <c r="BV16" s="462">
        <f>IF(AT16&lt;&gt;0,WCBY*W16,0)</f>
        <v>984.76934400000005</v>
      </c>
      <c r="BW16" s="462">
        <f>IF(OR(AND(AT16&lt;&gt;0,AJ16&lt;&gt;"PF",AN16&lt;&gt;"NE",AG16&lt;&gt;"A"),AND(AL16="E",OR(AT16=1,AT16=3))),SickBY*W16,0)</f>
        <v>0</v>
      </c>
      <c r="BX16" s="462">
        <f t="shared" si="7"/>
        <v>6835.7749824000011</v>
      </c>
      <c r="BY16" s="462">
        <f t="shared" si="8"/>
        <v>0</v>
      </c>
      <c r="BZ16" s="462">
        <f t="shared" si="9"/>
        <v>0</v>
      </c>
      <c r="CA16" s="462">
        <f t="shared" si="10"/>
        <v>0</v>
      </c>
      <c r="CB16" s="462">
        <f t="shared" si="11"/>
        <v>0</v>
      </c>
      <c r="CC16" s="462">
        <f>IF(AT16&lt;&gt;0,SSHICHG*Y16,0)</f>
        <v>0</v>
      </c>
      <c r="CD16" s="462">
        <f>IF(AND(AT16&lt;&gt;0,AN16&lt;&gt;"NE"),VLOOKUP(AN16,Retirement_Rates,5,FALSE)*Y16,0)</f>
        <v>0</v>
      </c>
      <c r="CE16" s="462">
        <f>IF(AND(AT16&lt;&gt;0,AJ16&lt;&gt;"PF"),LifeCHG*Y16,0)</f>
        <v>0</v>
      </c>
      <c r="CF16" s="462">
        <f>IF(AND(AT16&lt;&gt;0,AM16="Y"),UICHG*Y16,0)</f>
        <v>-139.05964800000001</v>
      </c>
      <c r="CG16" s="462">
        <f>IF(AND(AT16&lt;&gt;0,N16&lt;&gt;"NR"),DHRCHG*Y16,0)</f>
        <v>0</v>
      </c>
      <c r="CH16" s="462">
        <f>IF(AT16&lt;&gt;0,WCCHG*Y16,0)</f>
        <v>221.36025600000005</v>
      </c>
      <c r="CI16" s="462">
        <f>IF(OR(AND(AT16&lt;&gt;0,AJ16&lt;&gt;"PF",AN16&lt;&gt;"NE",AG16&lt;&gt;"A"),AND(AL16="E",OR(AT16=1,AT16=3))),SickCHG*Y16,0)</f>
        <v>0</v>
      </c>
      <c r="CJ16" s="462">
        <f t="shared" si="12"/>
        <v>82.30060800000004</v>
      </c>
      <c r="CK16" s="462" t="str">
        <f t="shared" si="13"/>
        <v/>
      </c>
      <c r="CL16" s="462" t="str">
        <f t="shared" si="14"/>
        <v/>
      </c>
      <c r="CM16" s="462" t="str">
        <f t="shared" si="15"/>
        <v/>
      </c>
      <c r="CN16" s="462" t="str">
        <f t="shared" si="16"/>
        <v>0125-00</v>
      </c>
    </row>
    <row r="17" spans="1:92" ht="15" thickBot="1" x14ac:dyDescent="0.35">
      <c r="A17" s="376" t="s">
        <v>161</v>
      </c>
      <c r="B17" s="376" t="s">
        <v>162</v>
      </c>
      <c r="C17" s="376" t="s">
        <v>258</v>
      </c>
      <c r="D17" s="376" t="s">
        <v>259</v>
      </c>
      <c r="E17" s="376" t="s">
        <v>228</v>
      </c>
      <c r="F17" s="377" t="s">
        <v>166</v>
      </c>
      <c r="G17" s="376" t="s">
        <v>167</v>
      </c>
      <c r="H17" s="378"/>
      <c r="I17" s="378"/>
      <c r="J17" s="376" t="s">
        <v>193</v>
      </c>
      <c r="K17" s="376" t="s">
        <v>260</v>
      </c>
      <c r="L17" s="376" t="s">
        <v>170</v>
      </c>
      <c r="M17" s="376" t="s">
        <v>171</v>
      </c>
      <c r="N17" s="376" t="s">
        <v>172</v>
      </c>
      <c r="O17" s="379">
        <v>1</v>
      </c>
      <c r="P17" s="460">
        <v>0.6</v>
      </c>
      <c r="Q17" s="460">
        <v>0.6</v>
      </c>
      <c r="R17" s="380">
        <v>80</v>
      </c>
      <c r="S17" s="460">
        <v>0.6</v>
      </c>
      <c r="T17" s="380">
        <v>36485.760000000002</v>
      </c>
      <c r="U17" s="380">
        <v>0</v>
      </c>
      <c r="V17" s="380">
        <v>14410.78</v>
      </c>
      <c r="W17" s="380">
        <v>37764.480000000003</v>
      </c>
      <c r="X17" s="380">
        <v>15976.78</v>
      </c>
      <c r="Y17" s="380">
        <v>37764.480000000003</v>
      </c>
      <c r="Z17" s="380">
        <v>16086.31</v>
      </c>
      <c r="AA17" s="376" t="s">
        <v>261</v>
      </c>
      <c r="AB17" s="376" t="s">
        <v>262</v>
      </c>
      <c r="AC17" s="376" t="s">
        <v>263</v>
      </c>
      <c r="AD17" s="376" t="s">
        <v>264</v>
      </c>
      <c r="AE17" s="376" t="s">
        <v>260</v>
      </c>
      <c r="AF17" s="376" t="s">
        <v>177</v>
      </c>
      <c r="AG17" s="376" t="s">
        <v>178</v>
      </c>
      <c r="AH17" s="381">
        <v>30.26</v>
      </c>
      <c r="AI17" s="381">
        <v>43107.5</v>
      </c>
      <c r="AJ17" s="376" t="s">
        <v>179</v>
      </c>
      <c r="AK17" s="376" t="s">
        <v>180</v>
      </c>
      <c r="AL17" s="376" t="s">
        <v>181</v>
      </c>
      <c r="AM17" s="376" t="s">
        <v>182</v>
      </c>
      <c r="AN17" s="376" t="s">
        <v>68</v>
      </c>
      <c r="AO17" s="379">
        <v>80</v>
      </c>
      <c r="AP17" s="460">
        <v>1</v>
      </c>
      <c r="AQ17" s="460">
        <v>0.6</v>
      </c>
      <c r="AR17" s="458" t="s">
        <v>183</v>
      </c>
      <c r="AS17" s="462">
        <f t="shared" si="0"/>
        <v>0.6</v>
      </c>
      <c r="AT17">
        <f t="shared" si="1"/>
        <v>1</v>
      </c>
      <c r="AU17" s="462">
        <f>IF(AT17=0,"",IF(AND(AT17=1,M17="F",SUMIF(C2:C391,C17,AS2:AS391)&lt;=1),SUMIF(C2:C391,C17,AS2:AS391),IF(AND(AT17=1,M17="F",SUMIF(C2:C391,C17,AS2:AS391)&gt;1),1,"")))</f>
        <v>1</v>
      </c>
      <c r="AV17" s="462" t="str">
        <f>IF(AT17=0,"",IF(AND(AT17=3,M17="F",SUMIF(C2:C391,C17,AS2:AS391)&lt;=1),SUMIF(C2:C391,C17,AS2:AS391),IF(AND(AT17=3,M17="F",SUMIF(C2:C391,C17,AS2:AS391)&gt;1),1,"")))</f>
        <v/>
      </c>
      <c r="AW17" s="462">
        <f>SUMIF(C2:C391,C17,O2:O391)</f>
        <v>2</v>
      </c>
      <c r="AX17" s="462">
        <f>IF(AND(M17="F",AS17&lt;&gt;0),SUMIF(C2:C391,C17,W2:W391),0)</f>
        <v>62940.800000000003</v>
      </c>
      <c r="AY17" s="462">
        <f t="shared" si="2"/>
        <v>37764.480000000003</v>
      </c>
      <c r="AZ17" s="462" t="str">
        <f t="shared" si="3"/>
        <v/>
      </c>
      <c r="BA17" s="462">
        <f t="shared" si="4"/>
        <v>0</v>
      </c>
      <c r="BB17" s="462">
        <f>IF(AND(AT17=1,AK17="E",AU17&gt;=0.75,AW17=1),Health,IF(AND(AT17=1,AK17="E",AU17&gt;=0.75),Health*P17,IF(AND(AT17=1,AK17="E",AU17&gt;=0.5,AW17=1),PTHealth,IF(AND(AT17=1,AK17="E",AU17&gt;=0.5),PTHealth*P17,0))))</f>
        <v>6990</v>
      </c>
      <c r="BC17" s="462">
        <f>IF(AND(AT17=3,AK17="E",AV17&gt;=0.75,AW17=1),Health,IF(AND(AT17=3,AK17="E",AV17&gt;=0.75),Health*P17,IF(AND(AT17=3,AK17="E",AV17&gt;=0.5,AW17=1),PTHealth,IF(AND(AT17=3,AK17="E",AV17&gt;=0.5),PTHealth*P17,0))))</f>
        <v>0</v>
      </c>
      <c r="BD17" s="462">
        <f>IF(AND(AT17&lt;&gt;0,AX17&gt;=MAXSSDI),SSDI*MAXSSDI*P17,IF(AT17&lt;&gt;0,SSDI*W17,0))</f>
        <v>2341.3977600000003</v>
      </c>
      <c r="BE17" s="462">
        <f>IF(AT17&lt;&gt;0,SSHI*W17,0)</f>
        <v>547.58496000000002</v>
      </c>
      <c r="BF17" s="462">
        <f>IF(AND(AT17&lt;&gt;0,AN17&lt;&gt;"NE"),VLOOKUP(AN17,Retirement_Rates,3,FALSE)*W17,0)</f>
        <v>4509.0789120000009</v>
      </c>
      <c r="BG17" s="462">
        <f>IF(AND(AT17&lt;&gt;0,AJ17&lt;&gt;"PF"),Life*W17,0)</f>
        <v>272.28190080000002</v>
      </c>
      <c r="BH17" s="462">
        <f>IF(AND(AT17&lt;&gt;0,AM17="Y"),UI*W17,0)</f>
        <v>185.045952</v>
      </c>
      <c r="BI17" s="462">
        <f>IF(AND(AT17&lt;&gt;0,N17&lt;&gt;"NR"),DHR*W17,0)</f>
        <v>115.5593088</v>
      </c>
      <c r="BJ17" s="462">
        <f>IF(AT17&lt;&gt;0,WC*W17,0)</f>
        <v>1015.8645120000001</v>
      </c>
      <c r="BK17" s="462">
        <f>IF(OR(AND(AT17&lt;&gt;0,AJ17&lt;&gt;"PF",AN17&lt;&gt;"NE",AG17&lt;&gt;"A"),AND(AL17="E",OR(AT17=1,AT17=3))),Sick*W17,0)</f>
        <v>0</v>
      </c>
      <c r="BL17" s="462">
        <f t="shared" si="5"/>
        <v>8986.8133056000006</v>
      </c>
      <c r="BM17" s="462">
        <f t="shared" si="6"/>
        <v>0</v>
      </c>
      <c r="BN17" s="462">
        <f>IF(AND(AT17=1,AK17="E",AU17&gt;=0.75,AW17=1),HealthBY,IF(AND(AT17=1,AK17="E",AU17&gt;=0.75),HealthBY*P17,IF(AND(AT17=1,AK17="E",AU17&gt;=0.5,AW17=1),PTHealthBY,IF(AND(AT17=1,AK17="E",AU17&gt;=0.5),PTHealthBY*P17,0))))</f>
        <v>6990</v>
      </c>
      <c r="BO17" s="462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2">
        <f>IF(AND(AT17&lt;&gt;0,(AX17+BA17)&gt;=MAXSSDIBY),SSDIBY*MAXSSDIBY*P17,IF(AT17&lt;&gt;0,SSDIBY*W17,0))</f>
        <v>2341.3977600000003</v>
      </c>
      <c r="BQ17" s="462">
        <f>IF(AT17&lt;&gt;0,SSHIBY*W17,0)</f>
        <v>547.58496000000002</v>
      </c>
      <c r="BR17" s="462">
        <f>IF(AND(AT17&lt;&gt;0,AN17&lt;&gt;"NE"),VLOOKUP(AN17,Retirement_Rates,4,FALSE)*W17,0)</f>
        <v>4509.0789120000009</v>
      </c>
      <c r="BS17" s="462">
        <f>IF(AND(AT17&lt;&gt;0,AJ17&lt;&gt;"PF"),LifeBY*W17,0)</f>
        <v>272.28190080000002</v>
      </c>
      <c r="BT17" s="462">
        <f>IF(AND(AT17&lt;&gt;0,AM17="Y"),UIBY*W17,0)</f>
        <v>0</v>
      </c>
      <c r="BU17" s="462">
        <f>IF(AND(AT17&lt;&gt;0,N17&lt;&gt;"NR"),DHRBY*W17,0)</f>
        <v>115.5593088</v>
      </c>
      <c r="BV17" s="462">
        <f>IF(AT17&lt;&gt;0,WCBY*W17,0)</f>
        <v>1310.4274560000001</v>
      </c>
      <c r="BW17" s="462">
        <f>IF(OR(AND(AT17&lt;&gt;0,AJ17&lt;&gt;"PF",AN17&lt;&gt;"NE",AG17&lt;&gt;"A"),AND(AL17="E",OR(AT17=1,AT17=3))),SickBY*W17,0)</f>
        <v>0</v>
      </c>
      <c r="BX17" s="462">
        <f t="shared" si="7"/>
        <v>9096.3302975999995</v>
      </c>
      <c r="BY17" s="462">
        <f t="shared" si="8"/>
        <v>0</v>
      </c>
      <c r="BZ17" s="462">
        <f t="shared" si="9"/>
        <v>0</v>
      </c>
      <c r="CA17" s="462">
        <f t="shared" si="10"/>
        <v>0</v>
      </c>
      <c r="CB17" s="462">
        <f t="shared" si="11"/>
        <v>0</v>
      </c>
      <c r="CC17" s="462">
        <f>IF(AT17&lt;&gt;0,SSHICHG*Y17,0)</f>
        <v>0</v>
      </c>
      <c r="CD17" s="462">
        <f>IF(AND(AT17&lt;&gt;0,AN17&lt;&gt;"NE"),VLOOKUP(AN17,Retirement_Rates,5,FALSE)*Y17,0)</f>
        <v>0</v>
      </c>
      <c r="CE17" s="462">
        <f>IF(AND(AT17&lt;&gt;0,AJ17&lt;&gt;"PF"),LifeCHG*Y17,0)</f>
        <v>0</v>
      </c>
      <c r="CF17" s="462">
        <f>IF(AND(AT17&lt;&gt;0,AM17="Y"),UICHG*Y17,0)</f>
        <v>-185.045952</v>
      </c>
      <c r="CG17" s="462">
        <f>IF(AND(AT17&lt;&gt;0,N17&lt;&gt;"NR"),DHRCHG*Y17,0)</f>
        <v>0</v>
      </c>
      <c r="CH17" s="462">
        <f>IF(AT17&lt;&gt;0,WCCHG*Y17,0)</f>
        <v>294.56294400000007</v>
      </c>
      <c r="CI17" s="462">
        <f>IF(OR(AND(AT17&lt;&gt;0,AJ17&lt;&gt;"PF",AN17&lt;&gt;"NE",AG17&lt;&gt;"A"),AND(AL17="E",OR(AT17=1,AT17=3))),SickCHG*Y17,0)</f>
        <v>0</v>
      </c>
      <c r="CJ17" s="462">
        <f t="shared" si="12"/>
        <v>109.51699200000007</v>
      </c>
      <c r="CK17" s="462" t="str">
        <f t="shared" si="13"/>
        <v/>
      </c>
      <c r="CL17" s="462" t="str">
        <f t="shared" si="14"/>
        <v/>
      </c>
      <c r="CM17" s="462" t="str">
        <f t="shared" si="15"/>
        <v/>
      </c>
      <c r="CN17" s="462" t="str">
        <f t="shared" si="16"/>
        <v>0125-00</v>
      </c>
    </row>
    <row r="18" spans="1:92" ht="15" thickBot="1" x14ac:dyDescent="0.35">
      <c r="A18" s="376" t="s">
        <v>161</v>
      </c>
      <c r="B18" s="376" t="s">
        <v>162</v>
      </c>
      <c r="C18" s="376" t="s">
        <v>265</v>
      </c>
      <c r="D18" s="376" t="s">
        <v>266</v>
      </c>
      <c r="E18" s="376" t="s">
        <v>228</v>
      </c>
      <c r="F18" s="377" t="s">
        <v>166</v>
      </c>
      <c r="G18" s="376" t="s">
        <v>167</v>
      </c>
      <c r="H18" s="378"/>
      <c r="I18" s="378"/>
      <c r="J18" s="376" t="s">
        <v>193</v>
      </c>
      <c r="K18" s="376" t="s">
        <v>267</v>
      </c>
      <c r="L18" s="376" t="s">
        <v>231</v>
      </c>
      <c r="M18" s="376" t="s">
        <v>171</v>
      </c>
      <c r="N18" s="376" t="s">
        <v>172</v>
      </c>
      <c r="O18" s="379">
        <v>1</v>
      </c>
      <c r="P18" s="460">
        <v>0.5</v>
      </c>
      <c r="Q18" s="460">
        <v>0.5</v>
      </c>
      <c r="R18" s="380">
        <v>80</v>
      </c>
      <c r="S18" s="460">
        <v>0.5</v>
      </c>
      <c r="T18" s="380">
        <v>20276.830000000002</v>
      </c>
      <c r="U18" s="380">
        <v>0</v>
      </c>
      <c r="V18" s="380">
        <v>10536.11</v>
      </c>
      <c r="W18" s="380">
        <v>20696</v>
      </c>
      <c r="X18" s="380">
        <v>10750.01</v>
      </c>
      <c r="Y18" s="380">
        <v>20696</v>
      </c>
      <c r="Z18" s="380">
        <v>10810.03</v>
      </c>
      <c r="AA18" s="376" t="s">
        <v>268</v>
      </c>
      <c r="AB18" s="376" t="s">
        <v>269</v>
      </c>
      <c r="AC18" s="376" t="s">
        <v>270</v>
      </c>
      <c r="AD18" s="376" t="s">
        <v>170</v>
      </c>
      <c r="AE18" s="376" t="s">
        <v>267</v>
      </c>
      <c r="AF18" s="376" t="s">
        <v>236</v>
      </c>
      <c r="AG18" s="376" t="s">
        <v>178</v>
      </c>
      <c r="AH18" s="381">
        <v>19.899999999999999</v>
      </c>
      <c r="AI18" s="381">
        <v>12501.9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460">
        <v>1</v>
      </c>
      <c r="AQ18" s="460">
        <v>0.5</v>
      </c>
      <c r="AR18" s="458" t="s">
        <v>183</v>
      </c>
      <c r="AS18" s="462">
        <f t="shared" si="0"/>
        <v>0.5</v>
      </c>
      <c r="AT18">
        <f t="shared" si="1"/>
        <v>1</v>
      </c>
      <c r="AU18" s="462">
        <f>IF(AT18=0,"",IF(AND(AT18=1,M18="F",SUMIF(C2:C391,C18,AS2:AS391)&lt;=1),SUMIF(C2:C391,C18,AS2:AS391),IF(AND(AT18=1,M18="F",SUMIF(C2:C391,C18,AS2:AS391)&gt;1),1,"")))</f>
        <v>1</v>
      </c>
      <c r="AV18" s="462" t="str">
        <f>IF(AT18=0,"",IF(AND(AT18=3,M18="F",SUMIF(C2:C391,C18,AS2:AS391)&lt;=1),SUMIF(C2:C391,C18,AS2:AS391),IF(AND(AT18=3,M18="F",SUMIF(C2:C391,C18,AS2:AS391)&gt;1),1,"")))</f>
        <v/>
      </c>
      <c r="AW18" s="462">
        <f>SUMIF(C2:C391,C18,O2:O391)</f>
        <v>2</v>
      </c>
      <c r="AX18" s="462">
        <f>IF(AND(M18="F",AS18&lt;&gt;0),SUMIF(C2:C391,C18,W2:W391),0)</f>
        <v>41392</v>
      </c>
      <c r="AY18" s="462">
        <f t="shared" si="2"/>
        <v>20696</v>
      </c>
      <c r="AZ18" s="462" t="str">
        <f t="shared" si="3"/>
        <v/>
      </c>
      <c r="BA18" s="462">
        <f t="shared" si="4"/>
        <v>0</v>
      </c>
      <c r="BB18" s="462">
        <f>IF(AND(AT18=1,AK18="E",AU18&gt;=0.75,AW18=1),Health,IF(AND(AT18=1,AK18="E",AU18&gt;=0.75),Health*P18,IF(AND(AT18=1,AK18="E",AU18&gt;=0.5,AW18=1),PTHealth,IF(AND(AT18=1,AK18="E",AU18&gt;=0.5),PTHealth*P18,0))))</f>
        <v>5825</v>
      </c>
      <c r="BC18" s="462">
        <f>IF(AND(AT18=3,AK18="E",AV18&gt;=0.75,AW18=1),Health,IF(AND(AT18=3,AK18="E",AV18&gt;=0.75),Health*P18,IF(AND(AT18=3,AK18="E",AV18&gt;=0.5,AW18=1),PTHealth,IF(AND(AT18=3,AK18="E",AV18&gt;=0.5),PTHealth*P18,0))))</f>
        <v>0</v>
      </c>
      <c r="BD18" s="462">
        <f>IF(AND(AT18&lt;&gt;0,AX18&gt;=MAXSSDI),SSDI*MAXSSDI*P18,IF(AT18&lt;&gt;0,SSDI*W18,0))</f>
        <v>1283.152</v>
      </c>
      <c r="BE18" s="462">
        <f>IF(AT18&lt;&gt;0,SSHI*W18,0)</f>
        <v>300.09200000000004</v>
      </c>
      <c r="BF18" s="462">
        <f>IF(AND(AT18&lt;&gt;0,AN18&lt;&gt;"NE"),VLOOKUP(AN18,Retirement_Rates,3,FALSE)*W18,0)</f>
        <v>2471.1024000000002</v>
      </c>
      <c r="BG18" s="462">
        <f>IF(AND(AT18&lt;&gt;0,AJ18&lt;&gt;"PF"),Life*W18,0)</f>
        <v>149.21816000000001</v>
      </c>
      <c r="BH18" s="462">
        <f>IF(AND(AT18&lt;&gt;0,AM18="Y"),UI*W18,0)</f>
        <v>101.4104</v>
      </c>
      <c r="BI18" s="462">
        <f>IF(AND(AT18&lt;&gt;0,N18&lt;&gt;"NR"),DHR*W18,0)</f>
        <v>63.329759999999993</v>
      </c>
      <c r="BJ18" s="462">
        <f>IF(AT18&lt;&gt;0,WC*W18,0)</f>
        <v>556.72239999999999</v>
      </c>
      <c r="BK18" s="462">
        <f>IF(OR(AND(AT18&lt;&gt;0,AJ18&lt;&gt;"PF",AN18&lt;&gt;"NE",AG18&lt;&gt;"A"),AND(AL18="E",OR(AT18=1,AT18=3))),Sick*W18,0)</f>
        <v>0</v>
      </c>
      <c r="BL18" s="462">
        <f t="shared" si="5"/>
        <v>4925.0271199999997</v>
      </c>
      <c r="BM18" s="462">
        <f t="shared" si="6"/>
        <v>0</v>
      </c>
      <c r="BN18" s="462">
        <f>IF(AND(AT18=1,AK18="E",AU18&gt;=0.75,AW18=1),HealthBY,IF(AND(AT18=1,AK18="E",AU18&gt;=0.75),HealthBY*P18,IF(AND(AT18=1,AK18="E",AU18&gt;=0.5,AW18=1),PTHealthBY,IF(AND(AT18=1,AK18="E",AU18&gt;=0.5),PTHealthBY*P18,0))))</f>
        <v>5825</v>
      </c>
      <c r="BO18" s="462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2">
        <f>IF(AND(AT18&lt;&gt;0,(AX18+BA18)&gt;=MAXSSDIBY),SSDIBY*MAXSSDIBY*P18,IF(AT18&lt;&gt;0,SSDIBY*W18,0))</f>
        <v>1283.152</v>
      </c>
      <c r="BQ18" s="462">
        <f>IF(AT18&lt;&gt;0,SSHIBY*W18,0)</f>
        <v>300.09200000000004</v>
      </c>
      <c r="BR18" s="462">
        <f>IF(AND(AT18&lt;&gt;0,AN18&lt;&gt;"NE"),VLOOKUP(AN18,Retirement_Rates,4,FALSE)*W18,0)</f>
        <v>2471.1024000000002</v>
      </c>
      <c r="BS18" s="462">
        <f>IF(AND(AT18&lt;&gt;0,AJ18&lt;&gt;"PF"),LifeBY*W18,0)</f>
        <v>149.21816000000001</v>
      </c>
      <c r="BT18" s="462">
        <f>IF(AND(AT18&lt;&gt;0,AM18="Y"),UIBY*W18,0)</f>
        <v>0</v>
      </c>
      <c r="BU18" s="462">
        <f>IF(AND(AT18&lt;&gt;0,N18&lt;&gt;"NR"),DHRBY*W18,0)</f>
        <v>63.329759999999993</v>
      </c>
      <c r="BV18" s="462">
        <f>IF(AT18&lt;&gt;0,WCBY*W18,0)</f>
        <v>718.15120000000002</v>
      </c>
      <c r="BW18" s="462">
        <f>IF(OR(AND(AT18&lt;&gt;0,AJ18&lt;&gt;"PF",AN18&lt;&gt;"NE",AG18&lt;&gt;"A"),AND(AL18="E",OR(AT18=1,AT18=3))),SickBY*W18,0)</f>
        <v>0</v>
      </c>
      <c r="BX18" s="462">
        <f t="shared" si="7"/>
        <v>4985.0455200000006</v>
      </c>
      <c r="BY18" s="462">
        <f t="shared" si="8"/>
        <v>0</v>
      </c>
      <c r="BZ18" s="462">
        <f t="shared" si="9"/>
        <v>0</v>
      </c>
      <c r="CA18" s="462">
        <f t="shared" si="10"/>
        <v>0</v>
      </c>
      <c r="CB18" s="462">
        <f t="shared" si="11"/>
        <v>0</v>
      </c>
      <c r="CC18" s="462">
        <f>IF(AT18&lt;&gt;0,SSHICHG*Y18,0)</f>
        <v>0</v>
      </c>
      <c r="CD18" s="462">
        <f>IF(AND(AT18&lt;&gt;0,AN18&lt;&gt;"NE"),VLOOKUP(AN18,Retirement_Rates,5,FALSE)*Y18,0)</f>
        <v>0</v>
      </c>
      <c r="CE18" s="462">
        <f>IF(AND(AT18&lt;&gt;0,AJ18&lt;&gt;"PF"),LifeCHG*Y18,0)</f>
        <v>0</v>
      </c>
      <c r="CF18" s="462">
        <f>IF(AND(AT18&lt;&gt;0,AM18="Y"),UICHG*Y18,0)</f>
        <v>-101.4104</v>
      </c>
      <c r="CG18" s="462">
        <f>IF(AND(AT18&lt;&gt;0,N18&lt;&gt;"NR"),DHRCHG*Y18,0)</f>
        <v>0</v>
      </c>
      <c r="CH18" s="462">
        <f>IF(AT18&lt;&gt;0,WCCHG*Y18,0)</f>
        <v>161.42880000000002</v>
      </c>
      <c r="CI18" s="462">
        <f>IF(OR(AND(AT18&lt;&gt;0,AJ18&lt;&gt;"PF",AN18&lt;&gt;"NE",AG18&lt;&gt;"A"),AND(AL18="E",OR(AT18=1,AT18=3))),SickCHG*Y18,0)</f>
        <v>0</v>
      </c>
      <c r="CJ18" s="462">
        <f t="shared" si="12"/>
        <v>60.018400000000028</v>
      </c>
      <c r="CK18" s="462" t="str">
        <f t="shared" si="13"/>
        <v/>
      </c>
      <c r="CL18" s="462" t="str">
        <f t="shared" si="14"/>
        <v/>
      </c>
      <c r="CM18" s="462" t="str">
        <f t="shared" si="15"/>
        <v/>
      </c>
      <c r="CN18" s="462" t="str">
        <f t="shared" si="16"/>
        <v>0125-00</v>
      </c>
    </row>
    <row r="19" spans="1:92" ht="15" thickBot="1" x14ac:dyDescent="0.35">
      <c r="A19" s="376" t="s">
        <v>161</v>
      </c>
      <c r="B19" s="376" t="s">
        <v>162</v>
      </c>
      <c r="C19" s="376" t="s">
        <v>220</v>
      </c>
      <c r="D19" s="376" t="s">
        <v>221</v>
      </c>
      <c r="E19" s="376" t="s">
        <v>228</v>
      </c>
      <c r="F19" s="377" t="s">
        <v>166</v>
      </c>
      <c r="G19" s="376" t="s">
        <v>167</v>
      </c>
      <c r="H19" s="378"/>
      <c r="I19" s="378"/>
      <c r="J19" s="376" t="s">
        <v>193</v>
      </c>
      <c r="K19" s="376" t="s">
        <v>222</v>
      </c>
      <c r="L19" s="376" t="s">
        <v>166</v>
      </c>
      <c r="M19" s="376" t="s">
        <v>171</v>
      </c>
      <c r="N19" s="376" t="s">
        <v>223</v>
      </c>
      <c r="O19" s="379">
        <v>0</v>
      </c>
      <c r="P19" s="460">
        <v>0.5</v>
      </c>
      <c r="Q19" s="460">
        <v>0</v>
      </c>
      <c r="R19" s="380">
        <v>0</v>
      </c>
      <c r="S19" s="460">
        <v>0</v>
      </c>
      <c r="T19" s="380">
        <v>0</v>
      </c>
      <c r="U19" s="380">
        <v>0</v>
      </c>
      <c r="V19" s="380">
        <v>0</v>
      </c>
      <c r="W19" s="380">
        <v>5047.5</v>
      </c>
      <c r="X19" s="380">
        <v>1100.72</v>
      </c>
      <c r="Y19" s="380">
        <v>5047.5</v>
      </c>
      <c r="Z19" s="380">
        <v>1100.72</v>
      </c>
      <c r="AA19" s="378"/>
      <c r="AB19" s="376" t="s">
        <v>45</v>
      </c>
      <c r="AC19" s="376" t="s">
        <v>45</v>
      </c>
      <c r="AD19" s="378"/>
      <c r="AE19" s="378"/>
      <c r="AF19" s="378"/>
      <c r="AG19" s="378"/>
      <c r="AH19" s="379">
        <v>0</v>
      </c>
      <c r="AI19" s="379">
        <v>0</v>
      </c>
      <c r="AJ19" s="378"/>
      <c r="AK19" s="378"/>
      <c r="AL19" s="376" t="s">
        <v>181</v>
      </c>
      <c r="AM19" s="378"/>
      <c r="AN19" s="378"/>
      <c r="AO19" s="379">
        <v>0</v>
      </c>
      <c r="AP19" s="460">
        <v>0</v>
      </c>
      <c r="AQ19" s="460">
        <v>0</v>
      </c>
      <c r="AR19" s="459"/>
      <c r="AS19" s="462">
        <f t="shared" si="0"/>
        <v>0</v>
      </c>
      <c r="AT19">
        <f t="shared" si="1"/>
        <v>0</v>
      </c>
      <c r="AU19" s="462" t="str">
        <f>IF(AT19=0,"",IF(AND(AT19=1,M19="F",SUMIF(C2:C391,C19,AS2:AS391)&lt;=1),SUMIF(C2:C391,C19,AS2:AS391),IF(AND(AT19=1,M19="F",SUMIF(C2:C391,C19,AS2:AS391)&gt;1),1,"")))</f>
        <v/>
      </c>
      <c r="AV19" s="462" t="str">
        <f>IF(AT19=0,"",IF(AND(AT19=3,M19="F",SUMIF(C2:C391,C19,AS2:AS391)&lt;=1),SUMIF(C2:C391,C19,AS2:AS391),IF(AND(AT19=3,M19="F",SUMIF(C2:C391,C19,AS2:AS391)&gt;1),1,"")))</f>
        <v/>
      </c>
      <c r="AW19" s="462">
        <f>SUMIF(C2:C391,C19,O2:O391)</f>
        <v>0</v>
      </c>
      <c r="AX19" s="462">
        <f>IF(AND(M19="F",AS19&lt;&gt;0),SUMIF(C2:C391,C19,W2:W391),0)</f>
        <v>0</v>
      </c>
      <c r="AY19" s="462" t="str">
        <f t="shared" si="2"/>
        <v/>
      </c>
      <c r="AZ19" s="462" t="str">
        <f t="shared" si="3"/>
        <v/>
      </c>
      <c r="BA19" s="462">
        <f t="shared" si="4"/>
        <v>0</v>
      </c>
      <c r="BB19" s="462">
        <f>IF(AND(AT19=1,AK19="E",AU19&gt;=0.75,AW19=1),Health,IF(AND(AT19=1,AK19="E",AU19&gt;=0.75),Health*P19,IF(AND(AT19=1,AK19="E",AU19&gt;=0.5,AW19=1),PTHealth,IF(AND(AT19=1,AK19="E",AU19&gt;=0.5),PTHealth*P19,0))))</f>
        <v>0</v>
      </c>
      <c r="BC19" s="462">
        <f>IF(AND(AT19=3,AK19="E",AV19&gt;=0.75,AW19=1),Health,IF(AND(AT19=3,AK19="E",AV19&gt;=0.75),Health*P19,IF(AND(AT19=3,AK19="E",AV19&gt;=0.5,AW19=1),PTHealth,IF(AND(AT19=3,AK19="E",AV19&gt;=0.5),PTHealth*P19,0))))</f>
        <v>0</v>
      </c>
      <c r="BD19" s="462">
        <f>IF(AND(AT19&lt;&gt;0,AX19&gt;=MAXSSDI),SSDI*MAXSSDI*P19,IF(AT19&lt;&gt;0,SSDI*W19,0))</f>
        <v>0</v>
      </c>
      <c r="BE19" s="462">
        <f>IF(AT19&lt;&gt;0,SSHI*W19,0)</f>
        <v>0</v>
      </c>
      <c r="BF19" s="462">
        <f>IF(AND(AT19&lt;&gt;0,AN19&lt;&gt;"NE"),VLOOKUP(AN19,Retirement_Rates,3,FALSE)*W19,0)</f>
        <v>0</v>
      </c>
      <c r="BG19" s="462">
        <f>IF(AND(AT19&lt;&gt;0,AJ19&lt;&gt;"PF"),Life*W19,0)</f>
        <v>0</v>
      </c>
      <c r="BH19" s="462">
        <f>IF(AND(AT19&lt;&gt;0,AM19="Y"),UI*W19,0)</f>
        <v>0</v>
      </c>
      <c r="BI19" s="462">
        <f>IF(AND(AT19&lt;&gt;0,N19&lt;&gt;"NR"),DHR*W19,0)</f>
        <v>0</v>
      </c>
      <c r="BJ19" s="462">
        <f>IF(AT19&lt;&gt;0,WC*W19,0)</f>
        <v>0</v>
      </c>
      <c r="BK19" s="462">
        <f>IF(OR(AND(AT19&lt;&gt;0,AJ19&lt;&gt;"PF",AN19&lt;&gt;"NE",AG19&lt;&gt;"A"),AND(AL19="E",OR(AT19=1,AT19=3))),Sick*W19,0)</f>
        <v>0</v>
      </c>
      <c r="BL19" s="462">
        <f t="shared" si="5"/>
        <v>0</v>
      </c>
      <c r="BM19" s="462">
        <f t="shared" si="6"/>
        <v>0</v>
      </c>
      <c r="BN19" s="462">
        <f>IF(AND(AT19=1,AK19="E",AU19&gt;=0.75,AW19=1),HealthBY,IF(AND(AT19=1,AK19="E",AU19&gt;=0.75),HealthBY*P19,IF(AND(AT19=1,AK19="E",AU19&gt;=0.5,AW19=1),PTHealthBY,IF(AND(AT19=1,AK19="E",AU19&gt;=0.5),PTHealthBY*P19,0))))</f>
        <v>0</v>
      </c>
      <c r="BO19" s="462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2">
        <f>IF(AND(AT19&lt;&gt;0,(AX19+BA19)&gt;=MAXSSDIBY),SSDIBY*MAXSSDIBY*P19,IF(AT19&lt;&gt;0,SSDIBY*W19,0))</f>
        <v>0</v>
      </c>
      <c r="BQ19" s="462">
        <f>IF(AT19&lt;&gt;0,SSHIBY*W19,0)</f>
        <v>0</v>
      </c>
      <c r="BR19" s="462">
        <f>IF(AND(AT19&lt;&gt;0,AN19&lt;&gt;"NE"),VLOOKUP(AN19,Retirement_Rates,4,FALSE)*W19,0)</f>
        <v>0</v>
      </c>
      <c r="BS19" s="462">
        <f>IF(AND(AT19&lt;&gt;0,AJ19&lt;&gt;"PF"),LifeBY*W19,0)</f>
        <v>0</v>
      </c>
      <c r="BT19" s="462">
        <f>IF(AND(AT19&lt;&gt;0,AM19="Y"),UIBY*W19,0)</f>
        <v>0</v>
      </c>
      <c r="BU19" s="462">
        <f>IF(AND(AT19&lt;&gt;0,N19&lt;&gt;"NR"),DHRBY*W19,0)</f>
        <v>0</v>
      </c>
      <c r="BV19" s="462">
        <f>IF(AT19&lt;&gt;0,WCBY*W19,0)</f>
        <v>0</v>
      </c>
      <c r="BW19" s="462">
        <f>IF(OR(AND(AT19&lt;&gt;0,AJ19&lt;&gt;"PF",AN19&lt;&gt;"NE",AG19&lt;&gt;"A"),AND(AL19="E",OR(AT19=1,AT19=3))),SickBY*W19,0)</f>
        <v>0</v>
      </c>
      <c r="BX19" s="462">
        <f t="shared" si="7"/>
        <v>0</v>
      </c>
      <c r="BY19" s="462">
        <f t="shared" si="8"/>
        <v>0</v>
      </c>
      <c r="BZ19" s="462">
        <f t="shared" si="9"/>
        <v>0</v>
      </c>
      <c r="CA19" s="462">
        <f t="shared" si="10"/>
        <v>0</v>
      </c>
      <c r="CB19" s="462">
        <f t="shared" si="11"/>
        <v>0</v>
      </c>
      <c r="CC19" s="462">
        <f>IF(AT19&lt;&gt;0,SSHICHG*Y19,0)</f>
        <v>0</v>
      </c>
      <c r="CD19" s="462">
        <f>IF(AND(AT19&lt;&gt;0,AN19&lt;&gt;"NE"),VLOOKUP(AN19,Retirement_Rates,5,FALSE)*Y19,0)</f>
        <v>0</v>
      </c>
      <c r="CE19" s="462">
        <f>IF(AND(AT19&lt;&gt;0,AJ19&lt;&gt;"PF"),LifeCHG*Y19,0)</f>
        <v>0</v>
      </c>
      <c r="CF19" s="462">
        <f>IF(AND(AT19&lt;&gt;0,AM19="Y"),UICHG*Y19,0)</f>
        <v>0</v>
      </c>
      <c r="CG19" s="462">
        <f>IF(AND(AT19&lt;&gt;0,N19&lt;&gt;"NR"),DHRCHG*Y19,0)</f>
        <v>0</v>
      </c>
      <c r="CH19" s="462">
        <f>IF(AT19&lt;&gt;0,WCCHG*Y19,0)</f>
        <v>0</v>
      </c>
      <c r="CI19" s="462">
        <f>IF(OR(AND(AT19&lt;&gt;0,AJ19&lt;&gt;"PF",AN19&lt;&gt;"NE",AG19&lt;&gt;"A"),AND(AL19="E",OR(AT19=1,AT19=3))),SickCHG*Y19,0)</f>
        <v>0</v>
      </c>
      <c r="CJ19" s="462">
        <f t="shared" si="12"/>
        <v>0</v>
      </c>
      <c r="CK19" s="462" t="str">
        <f t="shared" si="13"/>
        <v/>
      </c>
      <c r="CL19" s="462">
        <f t="shared" si="14"/>
        <v>0</v>
      </c>
      <c r="CM19" s="462">
        <f t="shared" si="15"/>
        <v>0</v>
      </c>
      <c r="CN19" s="462" t="str">
        <f t="shared" si="16"/>
        <v>0125-00</v>
      </c>
    </row>
    <row r="20" spans="1:92" ht="15" thickBot="1" x14ac:dyDescent="0.35">
      <c r="A20" s="376" t="s">
        <v>161</v>
      </c>
      <c r="B20" s="376" t="s">
        <v>162</v>
      </c>
      <c r="C20" s="376" t="s">
        <v>271</v>
      </c>
      <c r="D20" s="376" t="s">
        <v>272</v>
      </c>
      <c r="E20" s="376" t="s">
        <v>273</v>
      </c>
      <c r="F20" s="377" t="s">
        <v>166</v>
      </c>
      <c r="G20" s="376" t="s">
        <v>167</v>
      </c>
      <c r="H20" s="378"/>
      <c r="I20" s="378"/>
      <c r="J20" s="376" t="s">
        <v>229</v>
      </c>
      <c r="K20" s="376" t="s">
        <v>274</v>
      </c>
      <c r="L20" s="376" t="s">
        <v>231</v>
      </c>
      <c r="M20" s="376" t="s">
        <v>171</v>
      </c>
      <c r="N20" s="376" t="s">
        <v>172</v>
      </c>
      <c r="O20" s="379">
        <v>1</v>
      </c>
      <c r="P20" s="460">
        <v>0.6</v>
      </c>
      <c r="Q20" s="460">
        <v>0.6</v>
      </c>
      <c r="R20" s="380">
        <v>80</v>
      </c>
      <c r="S20" s="460">
        <v>0.6</v>
      </c>
      <c r="T20" s="380">
        <v>28913.42</v>
      </c>
      <c r="U20" s="380">
        <v>0</v>
      </c>
      <c r="V20" s="380">
        <v>12921.85</v>
      </c>
      <c r="W20" s="380">
        <v>28891.200000000001</v>
      </c>
      <c r="X20" s="380">
        <v>13865.21</v>
      </c>
      <c r="Y20" s="380">
        <v>28891.200000000001</v>
      </c>
      <c r="Z20" s="380">
        <v>13949</v>
      </c>
      <c r="AA20" s="376" t="s">
        <v>275</v>
      </c>
      <c r="AB20" s="376" t="s">
        <v>276</v>
      </c>
      <c r="AC20" s="376" t="s">
        <v>277</v>
      </c>
      <c r="AD20" s="376" t="s">
        <v>231</v>
      </c>
      <c r="AE20" s="376" t="s">
        <v>274</v>
      </c>
      <c r="AF20" s="376" t="s">
        <v>236</v>
      </c>
      <c r="AG20" s="376" t="s">
        <v>178</v>
      </c>
      <c r="AH20" s="381">
        <v>23.15</v>
      </c>
      <c r="AI20" s="379">
        <v>17084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460">
        <v>1</v>
      </c>
      <c r="AQ20" s="460">
        <v>0.6</v>
      </c>
      <c r="AR20" s="458" t="s">
        <v>183</v>
      </c>
      <c r="AS20" s="462">
        <f t="shared" si="0"/>
        <v>0.6</v>
      </c>
      <c r="AT20">
        <f t="shared" si="1"/>
        <v>1</v>
      </c>
      <c r="AU20" s="462">
        <f>IF(AT20=0,"",IF(AND(AT20=1,M20="F",SUMIF(C2:C391,C20,AS2:AS391)&lt;=1),SUMIF(C2:C391,C20,AS2:AS391),IF(AND(AT20=1,M20="F",SUMIF(C2:C391,C20,AS2:AS391)&gt;1),1,"")))</f>
        <v>0.99999999999999989</v>
      </c>
      <c r="AV20" s="462" t="str">
        <f>IF(AT20=0,"",IF(AND(AT20=3,M20="F",SUMIF(C2:C391,C20,AS2:AS391)&lt;=1),SUMIF(C2:C391,C20,AS2:AS391),IF(AND(AT20=3,M20="F",SUMIF(C2:C391,C20,AS2:AS391)&gt;1),1,"")))</f>
        <v/>
      </c>
      <c r="AW20" s="462">
        <f>SUMIF(C2:C391,C20,O2:O391)</f>
        <v>3</v>
      </c>
      <c r="AX20" s="462">
        <f>IF(AND(M20="F",AS20&lt;&gt;0),SUMIF(C2:C391,C20,W2:W391),0)</f>
        <v>48152</v>
      </c>
      <c r="AY20" s="462">
        <f t="shared" si="2"/>
        <v>28891.200000000001</v>
      </c>
      <c r="AZ20" s="462" t="str">
        <f t="shared" si="3"/>
        <v/>
      </c>
      <c r="BA20" s="462">
        <f t="shared" si="4"/>
        <v>0</v>
      </c>
      <c r="BB20" s="462">
        <f>IF(AND(AT20=1,AK20="E",AU20&gt;=0.75,AW20=1),Health,IF(AND(AT20=1,AK20="E",AU20&gt;=0.75),Health*P20,IF(AND(AT20=1,AK20="E",AU20&gt;=0.5,AW20=1),PTHealth,IF(AND(AT20=1,AK20="E",AU20&gt;=0.5),PTHealth*P20,0))))</f>
        <v>6990</v>
      </c>
      <c r="BC20" s="462">
        <f>IF(AND(AT20=3,AK20="E",AV20&gt;=0.75,AW20=1),Health,IF(AND(AT20=3,AK20="E",AV20&gt;=0.75),Health*P20,IF(AND(AT20=3,AK20="E",AV20&gt;=0.5,AW20=1),PTHealth,IF(AND(AT20=3,AK20="E",AV20&gt;=0.5),PTHealth*P20,0))))</f>
        <v>0</v>
      </c>
      <c r="BD20" s="462">
        <f>IF(AND(AT20&lt;&gt;0,AX20&gt;=MAXSSDI),SSDI*MAXSSDI*P20,IF(AT20&lt;&gt;0,SSDI*W20,0))</f>
        <v>1791.2544</v>
      </c>
      <c r="BE20" s="462">
        <f>IF(AT20&lt;&gt;0,SSHI*W20,0)</f>
        <v>418.92240000000004</v>
      </c>
      <c r="BF20" s="462">
        <f>IF(AND(AT20&lt;&gt;0,AN20&lt;&gt;"NE"),VLOOKUP(AN20,Retirement_Rates,3,FALSE)*W20,0)</f>
        <v>3449.6092800000001</v>
      </c>
      <c r="BG20" s="462">
        <f>IF(AND(AT20&lt;&gt;0,AJ20&lt;&gt;"PF"),Life*W20,0)</f>
        <v>208.30555200000001</v>
      </c>
      <c r="BH20" s="462">
        <f>IF(AND(AT20&lt;&gt;0,AM20="Y"),UI*W20,0)</f>
        <v>141.56688</v>
      </c>
      <c r="BI20" s="462">
        <f>IF(AND(AT20&lt;&gt;0,N20&lt;&gt;"NR"),DHR*W20,0)</f>
        <v>88.407071999999999</v>
      </c>
      <c r="BJ20" s="462">
        <f>IF(AT20&lt;&gt;0,WC*W20,0)</f>
        <v>777.17327999999998</v>
      </c>
      <c r="BK20" s="462">
        <f>IF(OR(AND(AT20&lt;&gt;0,AJ20&lt;&gt;"PF",AN20&lt;&gt;"NE",AG20&lt;&gt;"A"),AND(AL20="E",OR(AT20=1,AT20=3))),Sick*W20,0)</f>
        <v>0</v>
      </c>
      <c r="BL20" s="462">
        <f t="shared" si="5"/>
        <v>6875.2388639999999</v>
      </c>
      <c r="BM20" s="462">
        <f t="shared" si="6"/>
        <v>0</v>
      </c>
      <c r="BN20" s="462">
        <f>IF(AND(AT20=1,AK20="E",AU20&gt;=0.75,AW20=1),HealthBY,IF(AND(AT20=1,AK20="E",AU20&gt;=0.75),HealthBY*P20,IF(AND(AT20=1,AK20="E",AU20&gt;=0.5,AW20=1),PTHealthBY,IF(AND(AT20=1,AK20="E",AU20&gt;=0.5),PTHealthBY*P20,0))))</f>
        <v>6990</v>
      </c>
      <c r="BO20" s="462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2">
        <f>IF(AND(AT20&lt;&gt;0,(AX20+BA20)&gt;=MAXSSDIBY),SSDIBY*MAXSSDIBY*P20,IF(AT20&lt;&gt;0,SSDIBY*W20,0))</f>
        <v>1791.2544</v>
      </c>
      <c r="BQ20" s="462">
        <f>IF(AT20&lt;&gt;0,SSHIBY*W20,0)</f>
        <v>418.92240000000004</v>
      </c>
      <c r="BR20" s="462">
        <f>IF(AND(AT20&lt;&gt;0,AN20&lt;&gt;"NE"),VLOOKUP(AN20,Retirement_Rates,4,FALSE)*W20,0)</f>
        <v>3449.6092800000001</v>
      </c>
      <c r="BS20" s="462">
        <f>IF(AND(AT20&lt;&gt;0,AJ20&lt;&gt;"PF"),LifeBY*W20,0)</f>
        <v>208.30555200000001</v>
      </c>
      <c r="BT20" s="462">
        <f>IF(AND(AT20&lt;&gt;0,AM20="Y"),UIBY*W20,0)</f>
        <v>0</v>
      </c>
      <c r="BU20" s="462">
        <f>IF(AND(AT20&lt;&gt;0,N20&lt;&gt;"NR"),DHRBY*W20,0)</f>
        <v>88.407071999999999</v>
      </c>
      <c r="BV20" s="462">
        <f>IF(AT20&lt;&gt;0,WCBY*W20,0)</f>
        <v>1002.5246400000001</v>
      </c>
      <c r="BW20" s="462">
        <f>IF(OR(AND(AT20&lt;&gt;0,AJ20&lt;&gt;"PF",AN20&lt;&gt;"NE",AG20&lt;&gt;"A"),AND(AL20="E",OR(AT20=1,AT20=3))),SickBY*W20,0)</f>
        <v>0</v>
      </c>
      <c r="BX20" s="462">
        <f t="shared" si="7"/>
        <v>6959.0233439999993</v>
      </c>
      <c r="BY20" s="462">
        <f t="shared" si="8"/>
        <v>0</v>
      </c>
      <c r="BZ20" s="462">
        <f t="shared" si="9"/>
        <v>0</v>
      </c>
      <c r="CA20" s="462">
        <f t="shared" si="10"/>
        <v>0</v>
      </c>
      <c r="CB20" s="462">
        <f t="shared" si="11"/>
        <v>0</v>
      </c>
      <c r="CC20" s="462">
        <f>IF(AT20&lt;&gt;0,SSHICHG*Y20,0)</f>
        <v>0</v>
      </c>
      <c r="CD20" s="462">
        <f>IF(AND(AT20&lt;&gt;0,AN20&lt;&gt;"NE"),VLOOKUP(AN20,Retirement_Rates,5,FALSE)*Y20,0)</f>
        <v>0</v>
      </c>
      <c r="CE20" s="462">
        <f>IF(AND(AT20&lt;&gt;0,AJ20&lt;&gt;"PF"),LifeCHG*Y20,0)</f>
        <v>0</v>
      </c>
      <c r="CF20" s="462">
        <f>IF(AND(AT20&lt;&gt;0,AM20="Y"),UICHG*Y20,0)</f>
        <v>-141.56688</v>
      </c>
      <c r="CG20" s="462">
        <f>IF(AND(AT20&lt;&gt;0,N20&lt;&gt;"NR"),DHRCHG*Y20,0)</f>
        <v>0</v>
      </c>
      <c r="CH20" s="462">
        <f>IF(AT20&lt;&gt;0,WCCHG*Y20,0)</f>
        <v>225.35136000000006</v>
      </c>
      <c r="CI20" s="462">
        <f>IF(OR(AND(AT20&lt;&gt;0,AJ20&lt;&gt;"PF",AN20&lt;&gt;"NE",AG20&lt;&gt;"A"),AND(AL20="E",OR(AT20=1,AT20=3))),SickCHG*Y20,0)</f>
        <v>0</v>
      </c>
      <c r="CJ20" s="462">
        <f t="shared" si="12"/>
        <v>83.784480000000059</v>
      </c>
      <c r="CK20" s="462" t="str">
        <f t="shared" si="13"/>
        <v/>
      </c>
      <c r="CL20" s="462" t="str">
        <f t="shared" si="14"/>
        <v/>
      </c>
      <c r="CM20" s="462" t="str">
        <f t="shared" si="15"/>
        <v/>
      </c>
      <c r="CN20" s="462" t="str">
        <f t="shared" si="16"/>
        <v>0243-00</v>
      </c>
    </row>
    <row r="21" spans="1:92" ht="15" thickBot="1" x14ac:dyDescent="0.35">
      <c r="A21" s="376" t="s">
        <v>161</v>
      </c>
      <c r="B21" s="376" t="s">
        <v>162</v>
      </c>
      <c r="C21" s="376" t="s">
        <v>278</v>
      </c>
      <c r="D21" s="376" t="s">
        <v>279</v>
      </c>
      <c r="E21" s="376" t="s">
        <v>273</v>
      </c>
      <c r="F21" s="377" t="s">
        <v>166</v>
      </c>
      <c r="G21" s="376" t="s">
        <v>167</v>
      </c>
      <c r="H21" s="378"/>
      <c r="I21" s="378"/>
      <c r="J21" s="376" t="s">
        <v>193</v>
      </c>
      <c r="K21" s="376" t="s">
        <v>280</v>
      </c>
      <c r="L21" s="376" t="s">
        <v>215</v>
      </c>
      <c r="M21" s="376" t="s">
        <v>171</v>
      </c>
      <c r="N21" s="376" t="s">
        <v>172</v>
      </c>
      <c r="O21" s="379">
        <v>1</v>
      </c>
      <c r="P21" s="460">
        <v>0.7</v>
      </c>
      <c r="Q21" s="460">
        <v>0.7</v>
      </c>
      <c r="R21" s="380">
        <v>80</v>
      </c>
      <c r="S21" s="460">
        <v>0.7</v>
      </c>
      <c r="T21" s="380">
        <v>55235.87</v>
      </c>
      <c r="U21" s="380">
        <v>0</v>
      </c>
      <c r="V21" s="380">
        <v>19348.63</v>
      </c>
      <c r="W21" s="380">
        <v>55415.360000000001</v>
      </c>
      <c r="X21" s="380">
        <v>21342.16</v>
      </c>
      <c r="Y21" s="380">
        <v>55415.360000000001</v>
      </c>
      <c r="Z21" s="380">
        <v>21502.86</v>
      </c>
      <c r="AA21" s="376" t="s">
        <v>281</v>
      </c>
      <c r="AB21" s="376" t="s">
        <v>282</v>
      </c>
      <c r="AC21" s="376" t="s">
        <v>283</v>
      </c>
      <c r="AD21" s="376" t="s">
        <v>240</v>
      </c>
      <c r="AE21" s="376" t="s">
        <v>280</v>
      </c>
      <c r="AF21" s="376" t="s">
        <v>219</v>
      </c>
      <c r="AG21" s="376" t="s">
        <v>178</v>
      </c>
      <c r="AH21" s="381">
        <v>38.06</v>
      </c>
      <c r="AI21" s="381">
        <v>21093.5</v>
      </c>
      <c r="AJ21" s="376" t="s">
        <v>179</v>
      </c>
      <c r="AK21" s="376" t="s">
        <v>180</v>
      </c>
      <c r="AL21" s="376" t="s">
        <v>181</v>
      </c>
      <c r="AM21" s="376" t="s">
        <v>182</v>
      </c>
      <c r="AN21" s="376" t="s">
        <v>68</v>
      </c>
      <c r="AO21" s="379">
        <v>80</v>
      </c>
      <c r="AP21" s="460">
        <v>1</v>
      </c>
      <c r="AQ21" s="460">
        <v>0.7</v>
      </c>
      <c r="AR21" s="458" t="s">
        <v>183</v>
      </c>
      <c r="AS21" s="462">
        <f t="shared" si="0"/>
        <v>0.7</v>
      </c>
      <c r="AT21">
        <f t="shared" si="1"/>
        <v>1</v>
      </c>
      <c r="AU21" s="462">
        <f>IF(AT21=0,"",IF(AND(AT21=1,M21="F",SUMIF(C2:C391,C21,AS2:AS391)&lt;=1),SUMIF(C2:C391,C21,AS2:AS391),IF(AND(AT21=1,M21="F",SUMIF(C2:C391,C21,AS2:AS391)&gt;1),1,"")))</f>
        <v>1</v>
      </c>
      <c r="AV21" s="462" t="str">
        <f>IF(AT21=0,"",IF(AND(AT21=3,M21="F",SUMIF(C2:C391,C21,AS2:AS391)&lt;=1),SUMIF(C2:C391,C21,AS2:AS391),IF(AND(AT21=3,M21="F",SUMIF(C2:C391,C21,AS2:AS391)&gt;1),1,"")))</f>
        <v/>
      </c>
      <c r="AW21" s="462">
        <f>SUMIF(C2:C391,C21,O2:O391)</f>
        <v>2</v>
      </c>
      <c r="AX21" s="462">
        <f>IF(AND(M21="F",AS21&lt;&gt;0),SUMIF(C2:C391,C21,W2:W391),0)</f>
        <v>79164.800000000003</v>
      </c>
      <c r="AY21" s="462">
        <f t="shared" si="2"/>
        <v>55415.360000000001</v>
      </c>
      <c r="AZ21" s="462" t="str">
        <f t="shared" si="3"/>
        <v/>
      </c>
      <c r="BA21" s="462">
        <f t="shared" si="4"/>
        <v>0</v>
      </c>
      <c r="BB21" s="462">
        <f>IF(AND(AT21=1,AK21="E",AU21&gt;=0.75,AW21=1),Health,IF(AND(AT21=1,AK21="E",AU21&gt;=0.75),Health*P21,IF(AND(AT21=1,AK21="E",AU21&gt;=0.5,AW21=1),PTHealth,IF(AND(AT21=1,AK21="E",AU21&gt;=0.5),PTHealth*P21,0))))</f>
        <v>8154.9999999999991</v>
      </c>
      <c r="BC21" s="462">
        <f>IF(AND(AT21=3,AK21="E",AV21&gt;=0.75,AW21=1),Health,IF(AND(AT21=3,AK21="E",AV21&gt;=0.75),Health*P21,IF(AND(AT21=3,AK21="E",AV21&gt;=0.5,AW21=1),PTHealth,IF(AND(AT21=3,AK21="E",AV21&gt;=0.5),PTHealth*P21,0))))</f>
        <v>0</v>
      </c>
      <c r="BD21" s="462">
        <f>IF(AND(AT21&lt;&gt;0,AX21&gt;=MAXSSDI),SSDI*MAXSSDI*P21,IF(AT21&lt;&gt;0,SSDI*W21,0))</f>
        <v>3435.7523200000001</v>
      </c>
      <c r="BE21" s="462">
        <f>IF(AT21&lt;&gt;0,SSHI*W21,0)</f>
        <v>803.52272000000005</v>
      </c>
      <c r="BF21" s="462">
        <f>IF(AND(AT21&lt;&gt;0,AN21&lt;&gt;"NE"),VLOOKUP(AN21,Retirement_Rates,3,FALSE)*W21,0)</f>
        <v>6616.5939840000001</v>
      </c>
      <c r="BG21" s="462">
        <f>IF(AND(AT21&lt;&gt;0,AJ21&lt;&gt;"PF"),Life*W21,0)</f>
        <v>399.5447456</v>
      </c>
      <c r="BH21" s="462">
        <f>IF(AND(AT21&lt;&gt;0,AM21="Y"),UI*W21,0)</f>
        <v>271.53526399999998</v>
      </c>
      <c r="BI21" s="462">
        <f>IF(AND(AT21&lt;&gt;0,N21&lt;&gt;"NR"),DHR*W21,0)</f>
        <v>169.57100159999999</v>
      </c>
      <c r="BJ21" s="462">
        <f>IF(AT21&lt;&gt;0,WC*W21,0)</f>
        <v>1490.673184</v>
      </c>
      <c r="BK21" s="462">
        <f>IF(OR(AND(AT21&lt;&gt;0,AJ21&lt;&gt;"PF",AN21&lt;&gt;"NE",AG21&lt;&gt;"A"),AND(AL21="E",OR(AT21=1,AT21=3))),Sick*W21,0)</f>
        <v>0</v>
      </c>
      <c r="BL21" s="462">
        <f t="shared" si="5"/>
        <v>13187.193219199999</v>
      </c>
      <c r="BM21" s="462">
        <f t="shared" si="6"/>
        <v>0</v>
      </c>
      <c r="BN21" s="462">
        <f>IF(AND(AT21=1,AK21="E",AU21&gt;=0.75,AW21=1),HealthBY,IF(AND(AT21=1,AK21="E",AU21&gt;=0.75),HealthBY*P21,IF(AND(AT21=1,AK21="E",AU21&gt;=0.5,AW21=1),PTHealthBY,IF(AND(AT21=1,AK21="E",AU21&gt;=0.5),PTHealthBY*P21,0))))</f>
        <v>8154.9999999999991</v>
      </c>
      <c r="BO21" s="462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62">
        <f>IF(AND(AT21&lt;&gt;0,(AX21+BA21)&gt;=MAXSSDIBY),SSDIBY*MAXSSDIBY*P21,IF(AT21&lt;&gt;0,SSDIBY*W21,0))</f>
        <v>3435.7523200000001</v>
      </c>
      <c r="BQ21" s="462">
        <f>IF(AT21&lt;&gt;0,SSHIBY*W21,0)</f>
        <v>803.52272000000005</v>
      </c>
      <c r="BR21" s="462">
        <f>IF(AND(AT21&lt;&gt;0,AN21&lt;&gt;"NE"),VLOOKUP(AN21,Retirement_Rates,4,FALSE)*W21,0)</f>
        <v>6616.5939840000001</v>
      </c>
      <c r="BS21" s="462">
        <f>IF(AND(AT21&lt;&gt;0,AJ21&lt;&gt;"PF"),LifeBY*W21,0)</f>
        <v>399.5447456</v>
      </c>
      <c r="BT21" s="462">
        <f>IF(AND(AT21&lt;&gt;0,AM21="Y"),UIBY*W21,0)</f>
        <v>0</v>
      </c>
      <c r="BU21" s="462">
        <f>IF(AND(AT21&lt;&gt;0,N21&lt;&gt;"NR"),DHRBY*W21,0)</f>
        <v>169.57100159999999</v>
      </c>
      <c r="BV21" s="462">
        <f>IF(AT21&lt;&gt;0,WCBY*W21,0)</f>
        <v>1922.912992</v>
      </c>
      <c r="BW21" s="462">
        <f>IF(OR(AND(AT21&lt;&gt;0,AJ21&lt;&gt;"PF",AN21&lt;&gt;"NE",AG21&lt;&gt;"A"),AND(AL21="E",OR(AT21=1,AT21=3))),SickBY*W21,0)</f>
        <v>0</v>
      </c>
      <c r="BX21" s="462">
        <f t="shared" si="7"/>
        <v>13347.897763199999</v>
      </c>
      <c r="BY21" s="462">
        <f t="shared" si="8"/>
        <v>0</v>
      </c>
      <c r="BZ21" s="462">
        <f t="shared" si="9"/>
        <v>0</v>
      </c>
      <c r="CA21" s="462">
        <f t="shared" si="10"/>
        <v>0</v>
      </c>
      <c r="CB21" s="462">
        <f t="shared" si="11"/>
        <v>0</v>
      </c>
      <c r="CC21" s="462">
        <f>IF(AT21&lt;&gt;0,SSHICHG*Y21,0)</f>
        <v>0</v>
      </c>
      <c r="CD21" s="462">
        <f>IF(AND(AT21&lt;&gt;0,AN21&lt;&gt;"NE"),VLOOKUP(AN21,Retirement_Rates,5,FALSE)*Y21,0)</f>
        <v>0</v>
      </c>
      <c r="CE21" s="462">
        <f>IF(AND(AT21&lt;&gt;0,AJ21&lt;&gt;"PF"),LifeCHG*Y21,0)</f>
        <v>0</v>
      </c>
      <c r="CF21" s="462">
        <f>IF(AND(AT21&lt;&gt;0,AM21="Y"),UICHG*Y21,0)</f>
        <v>-271.53526399999998</v>
      </c>
      <c r="CG21" s="462">
        <f>IF(AND(AT21&lt;&gt;0,N21&lt;&gt;"NR"),DHRCHG*Y21,0)</f>
        <v>0</v>
      </c>
      <c r="CH21" s="462">
        <f>IF(AT21&lt;&gt;0,WCCHG*Y21,0)</f>
        <v>432.2398080000001</v>
      </c>
      <c r="CI21" s="462">
        <f>IF(OR(AND(AT21&lt;&gt;0,AJ21&lt;&gt;"PF",AN21&lt;&gt;"NE",AG21&lt;&gt;"A"),AND(AL21="E",OR(AT21=1,AT21=3))),SickCHG*Y21,0)</f>
        <v>0</v>
      </c>
      <c r="CJ21" s="462">
        <f t="shared" si="12"/>
        <v>160.70454400000011</v>
      </c>
      <c r="CK21" s="462" t="str">
        <f t="shared" si="13"/>
        <v/>
      </c>
      <c r="CL21" s="462" t="str">
        <f t="shared" si="14"/>
        <v/>
      </c>
      <c r="CM21" s="462" t="str">
        <f t="shared" si="15"/>
        <v/>
      </c>
      <c r="CN21" s="462" t="str">
        <f t="shared" si="16"/>
        <v>0243-00</v>
      </c>
    </row>
    <row r="22" spans="1:92" ht="15" thickBot="1" x14ac:dyDescent="0.35">
      <c r="A22" s="376" t="s">
        <v>161</v>
      </c>
      <c r="B22" s="376" t="s">
        <v>162</v>
      </c>
      <c r="C22" s="376" t="s">
        <v>284</v>
      </c>
      <c r="D22" s="376" t="s">
        <v>285</v>
      </c>
      <c r="E22" s="376" t="s">
        <v>273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286</v>
      </c>
      <c r="L22" s="376" t="s">
        <v>166</v>
      </c>
      <c r="M22" s="376" t="s">
        <v>171</v>
      </c>
      <c r="N22" s="376" t="s">
        <v>223</v>
      </c>
      <c r="O22" s="379">
        <v>0</v>
      </c>
      <c r="P22" s="460">
        <v>1</v>
      </c>
      <c r="Q22" s="460">
        <v>0</v>
      </c>
      <c r="R22" s="380">
        <v>0</v>
      </c>
      <c r="S22" s="460">
        <v>0</v>
      </c>
      <c r="T22" s="380">
        <v>6950</v>
      </c>
      <c r="U22" s="380">
        <v>0</v>
      </c>
      <c r="V22" s="380">
        <v>1034.68</v>
      </c>
      <c r="W22" s="380">
        <v>6950</v>
      </c>
      <c r="X22" s="380">
        <v>1034.68</v>
      </c>
      <c r="Y22" s="380">
        <v>6950</v>
      </c>
      <c r="Z22" s="380">
        <v>1034.68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181</v>
      </c>
      <c r="AM22" s="378"/>
      <c r="AN22" s="378"/>
      <c r="AO22" s="379">
        <v>0</v>
      </c>
      <c r="AP22" s="460">
        <v>0</v>
      </c>
      <c r="AQ22" s="460">
        <v>0</v>
      </c>
      <c r="AR22" s="459"/>
      <c r="AS22" s="462">
        <f t="shared" si="0"/>
        <v>0</v>
      </c>
      <c r="AT22">
        <f t="shared" si="1"/>
        <v>0</v>
      </c>
      <c r="AU22" s="462" t="str">
        <f>IF(AT22=0,"",IF(AND(AT22=1,M22="F",SUMIF(C2:C391,C22,AS2:AS391)&lt;=1),SUMIF(C2:C391,C22,AS2:AS391),IF(AND(AT22=1,M22="F",SUMIF(C2:C391,C22,AS2:AS391)&gt;1),1,"")))</f>
        <v/>
      </c>
      <c r="AV22" s="462" t="str">
        <f>IF(AT22=0,"",IF(AND(AT22=3,M22="F",SUMIF(C2:C391,C22,AS2:AS391)&lt;=1),SUMIF(C2:C391,C22,AS2:AS391),IF(AND(AT22=3,M22="F",SUMIF(C2:C391,C22,AS2:AS391)&gt;1),1,"")))</f>
        <v/>
      </c>
      <c r="AW22" s="462">
        <f>SUMIF(C2:C391,C22,O2:O391)</f>
        <v>0</v>
      </c>
      <c r="AX22" s="462">
        <f>IF(AND(M22="F",AS22&lt;&gt;0),SUMIF(C2:C391,C22,W2:W391),0)</f>
        <v>0</v>
      </c>
      <c r="AY22" s="462" t="str">
        <f t="shared" si="2"/>
        <v/>
      </c>
      <c r="AZ22" s="462" t="str">
        <f t="shared" si="3"/>
        <v/>
      </c>
      <c r="BA22" s="462">
        <f t="shared" si="4"/>
        <v>0</v>
      </c>
      <c r="BB22" s="462">
        <f>IF(AND(AT22=1,AK22="E",AU22&gt;=0.75,AW22=1),Health,IF(AND(AT22=1,AK22="E",AU22&gt;=0.75),Health*P22,IF(AND(AT22=1,AK22="E",AU22&gt;=0.5,AW22=1),PTHealth,IF(AND(AT22=1,AK22="E",AU22&gt;=0.5),PTHealth*P22,0))))</f>
        <v>0</v>
      </c>
      <c r="BC22" s="462">
        <f>IF(AND(AT22=3,AK22="E",AV22&gt;=0.75,AW22=1),Health,IF(AND(AT22=3,AK22="E",AV22&gt;=0.75),Health*P22,IF(AND(AT22=3,AK22="E",AV22&gt;=0.5,AW22=1),PTHealth,IF(AND(AT22=3,AK22="E",AV22&gt;=0.5),PTHealth*P22,0))))</f>
        <v>0</v>
      </c>
      <c r="BD22" s="462">
        <f>IF(AND(AT22&lt;&gt;0,AX22&gt;=MAXSSDI),SSDI*MAXSSDI*P22,IF(AT22&lt;&gt;0,SSDI*W22,0))</f>
        <v>0</v>
      </c>
      <c r="BE22" s="462">
        <f>IF(AT22&lt;&gt;0,SSHI*W22,0)</f>
        <v>0</v>
      </c>
      <c r="BF22" s="462">
        <f>IF(AND(AT22&lt;&gt;0,AN22&lt;&gt;"NE"),VLOOKUP(AN22,Retirement_Rates,3,FALSE)*W22,0)</f>
        <v>0</v>
      </c>
      <c r="BG22" s="462">
        <f>IF(AND(AT22&lt;&gt;0,AJ22&lt;&gt;"PF"),Life*W22,0)</f>
        <v>0</v>
      </c>
      <c r="BH22" s="462">
        <f>IF(AND(AT22&lt;&gt;0,AM22="Y"),UI*W22,0)</f>
        <v>0</v>
      </c>
      <c r="BI22" s="462">
        <f>IF(AND(AT22&lt;&gt;0,N22&lt;&gt;"NR"),DHR*W22,0)</f>
        <v>0</v>
      </c>
      <c r="BJ22" s="462">
        <f>IF(AT22&lt;&gt;0,WC*W22,0)</f>
        <v>0</v>
      </c>
      <c r="BK22" s="462">
        <f>IF(OR(AND(AT22&lt;&gt;0,AJ22&lt;&gt;"PF",AN22&lt;&gt;"NE",AG22&lt;&gt;"A"),AND(AL22="E",OR(AT22=1,AT22=3))),Sick*W22,0)</f>
        <v>0</v>
      </c>
      <c r="BL22" s="462">
        <f t="shared" si="5"/>
        <v>0</v>
      </c>
      <c r="BM22" s="462">
        <f t="shared" si="6"/>
        <v>0</v>
      </c>
      <c r="BN22" s="462">
        <f>IF(AND(AT22=1,AK22="E",AU22&gt;=0.75,AW22=1),HealthBY,IF(AND(AT22=1,AK22="E",AU22&gt;=0.75),HealthBY*P22,IF(AND(AT22=1,AK22="E",AU22&gt;=0.5,AW22=1),PTHealthBY,IF(AND(AT22=1,AK22="E",AU22&gt;=0.5),PTHealthBY*P22,0))))</f>
        <v>0</v>
      </c>
      <c r="BO22" s="462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62">
        <f>IF(AND(AT22&lt;&gt;0,(AX22+BA22)&gt;=MAXSSDIBY),SSDIBY*MAXSSDIBY*P22,IF(AT22&lt;&gt;0,SSDIBY*W22,0))</f>
        <v>0</v>
      </c>
      <c r="BQ22" s="462">
        <f>IF(AT22&lt;&gt;0,SSHIBY*W22,0)</f>
        <v>0</v>
      </c>
      <c r="BR22" s="462">
        <f>IF(AND(AT22&lt;&gt;0,AN22&lt;&gt;"NE"),VLOOKUP(AN22,Retirement_Rates,4,FALSE)*W22,0)</f>
        <v>0</v>
      </c>
      <c r="BS22" s="462">
        <f>IF(AND(AT22&lt;&gt;0,AJ22&lt;&gt;"PF"),LifeBY*W22,0)</f>
        <v>0</v>
      </c>
      <c r="BT22" s="462">
        <f>IF(AND(AT22&lt;&gt;0,AM22="Y"),UIBY*W22,0)</f>
        <v>0</v>
      </c>
      <c r="BU22" s="462">
        <f>IF(AND(AT22&lt;&gt;0,N22&lt;&gt;"NR"),DHRBY*W22,0)</f>
        <v>0</v>
      </c>
      <c r="BV22" s="462">
        <f>IF(AT22&lt;&gt;0,WCBY*W22,0)</f>
        <v>0</v>
      </c>
      <c r="BW22" s="462">
        <f>IF(OR(AND(AT22&lt;&gt;0,AJ22&lt;&gt;"PF",AN22&lt;&gt;"NE",AG22&lt;&gt;"A"),AND(AL22="E",OR(AT22=1,AT22=3))),SickBY*W22,0)</f>
        <v>0</v>
      </c>
      <c r="BX22" s="462">
        <f t="shared" si="7"/>
        <v>0</v>
      </c>
      <c r="BY22" s="462">
        <f t="shared" si="8"/>
        <v>0</v>
      </c>
      <c r="BZ22" s="462">
        <f t="shared" si="9"/>
        <v>0</v>
      </c>
      <c r="CA22" s="462">
        <f t="shared" si="10"/>
        <v>0</v>
      </c>
      <c r="CB22" s="462">
        <f t="shared" si="11"/>
        <v>0</v>
      </c>
      <c r="CC22" s="462">
        <f>IF(AT22&lt;&gt;0,SSHICHG*Y22,0)</f>
        <v>0</v>
      </c>
      <c r="CD22" s="462">
        <f>IF(AND(AT22&lt;&gt;0,AN22&lt;&gt;"NE"),VLOOKUP(AN22,Retirement_Rates,5,FALSE)*Y22,0)</f>
        <v>0</v>
      </c>
      <c r="CE22" s="462">
        <f>IF(AND(AT22&lt;&gt;0,AJ22&lt;&gt;"PF"),LifeCHG*Y22,0)</f>
        <v>0</v>
      </c>
      <c r="CF22" s="462">
        <f>IF(AND(AT22&lt;&gt;0,AM22="Y"),UICHG*Y22,0)</f>
        <v>0</v>
      </c>
      <c r="CG22" s="462">
        <f>IF(AND(AT22&lt;&gt;0,N22&lt;&gt;"NR"),DHRCHG*Y22,0)</f>
        <v>0</v>
      </c>
      <c r="CH22" s="462">
        <f>IF(AT22&lt;&gt;0,WCCHG*Y22,0)</f>
        <v>0</v>
      </c>
      <c r="CI22" s="462">
        <f>IF(OR(AND(AT22&lt;&gt;0,AJ22&lt;&gt;"PF",AN22&lt;&gt;"NE",AG22&lt;&gt;"A"),AND(AL22="E",OR(AT22=1,AT22=3))),SickCHG*Y22,0)</f>
        <v>0</v>
      </c>
      <c r="CJ22" s="462">
        <f t="shared" si="12"/>
        <v>0</v>
      </c>
      <c r="CK22" s="462" t="str">
        <f t="shared" si="13"/>
        <v/>
      </c>
      <c r="CL22" s="462">
        <f t="shared" si="14"/>
        <v>6950</v>
      </c>
      <c r="CM22" s="462">
        <f t="shared" si="15"/>
        <v>1034.68</v>
      </c>
      <c r="CN22" s="462" t="str">
        <f t="shared" si="16"/>
        <v>0243-00</v>
      </c>
    </row>
    <row r="23" spans="1:92" ht="15" thickBot="1" x14ac:dyDescent="0.35">
      <c r="A23" s="376" t="s">
        <v>161</v>
      </c>
      <c r="B23" s="376" t="s">
        <v>162</v>
      </c>
      <c r="C23" s="376" t="s">
        <v>287</v>
      </c>
      <c r="D23" s="376" t="s">
        <v>288</v>
      </c>
      <c r="E23" s="376" t="s">
        <v>273</v>
      </c>
      <c r="F23" s="377" t="s">
        <v>166</v>
      </c>
      <c r="G23" s="376" t="s">
        <v>167</v>
      </c>
      <c r="H23" s="378"/>
      <c r="I23" s="378"/>
      <c r="J23" s="376" t="s">
        <v>229</v>
      </c>
      <c r="K23" s="376" t="s">
        <v>289</v>
      </c>
      <c r="L23" s="376" t="s">
        <v>215</v>
      </c>
      <c r="M23" s="376" t="s">
        <v>171</v>
      </c>
      <c r="N23" s="376" t="s">
        <v>172</v>
      </c>
      <c r="O23" s="379">
        <v>1</v>
      </c>
      <c r="P23" s="460">
        <v>0.3</v>
      </c>
      <c r="Q23" s="460">
        <v>0.3</v>
      </c>
      <c r="R23" s="380">
        <v>80</v>
      </c>
      <c r="S23" s="460">
        <v>0.3</v>
      </c>
      <c r="T23" s="380">
        <v>29117.06</v>
      </c>
      <c r="U23" s="380">
        <v>0</v>
      </c>
      <c r="V23" s="380">
        <v>9488.0499999999993</v>
      </c>
      <c r="W23" s="380">
        <v>28909.919999999998</v>
      </c>
      <c r="X23" s="380">
        <v>10374.68</v>
      </c>
      <c r="Y23" s="380">
        <v>28909.919999999998</v>
      </c>
      <c r="Z23" s="380">
        <v>10458.52</v>
      </c>
      <c r="AA23" s="376" t="s">
        <v>290</v>
      </c>
      <c r="AB23" s="376" t="s">
        <v>291</v>
      </c>
      <c r="AC23" s="376" t="s">
        <v>292</v>
      </c>
      <c r="AD23" s="376" t="s">
        <v>231</v>
      </c>
      <c r="AE23" s="376" t="s">
        <v>289</v>
      </c>
      <c r="AF23" s="376" t="s">
        <v>219</v>
      </c>
      <c r="AG23" s="376" t="s">
        <v>178</v>
      </c>
      <c r="AH23" s="381">
        <v>46.33</v>
      </c>
      <c r="AI23" s="379">
        <v>31960</v>
      </c>
      <c r="AJ23" s="376" t="s">
        <v>179</v>
      </c>
      <c r="AK23" s="376" t="s">
        <v>180</v>
      </c>
      <c r="AL23" s="376" t="s">
        <v>181</v>
      </c>
      <c r="AM23" s="376" t="s">
        <v>182</v>
      </c>
      <c r="AN23" s="376" t="s">
        <v>68</v>
      </c>
      <c r="AO23" s="379">
        <v>80</v>
      </c>
      <c r="AP23" s="460">
        <v>1</v>
      </c>
      <c r="AQ23" s="460">
        <v>0.3</v>
      </c>
      <c r="AR23" s="458" t="s">
        <v>183</v>
      </c>
      <c r="AS23" s="462">
        <f t="shared" si="0"/>
        <v>0.3</v>
      </c>
      <c r="AT23">
        <f t="shared" si="1"/>
        <v>1</v>
      </c>
      <c r="AU23" s="462">
        <f>IF(AT23=0,"",IF(AND(AT23=1,M23="F",SUMIF(C2:C391,C23,AS2:AS391)&lt;=1),SUMIF(C2:C391,C23,AS2:AS391),IF(AND(AT23=1,M23="F",SUMIF(C2:C391,C23,AS2:AS391)&gt;1),1,"")))</f>
        <v>1</v>
      </c>
      <c r="AV23" s="462" t="str">
        <f>IF(AT23=0,"",IF(AND(AT23=3,M23="F",SUMIF(C2:C391,C23,AS2:AS391)&lt;=1),SUMIF(C2:C391,C23,AS2:AS391),IF(AND(AT23=3,M23="F",SUMIF(C2:C391,C23,AS2:AS391)&gt;1),1,"")))</f>
        <v/>
      </c>
      <c r="AW23" s="462">
        <f>SUMIF(C2:C391,C23,O2:O391)</f>
        <v>3</v>
      </c>
      <c r="AX23" s="462">
        <f>IF(AND(M23="F",AS23&lt;&gt;0),SUMIF(C2:C391,C23,W2:W391),0)</f>
        <v>96366.399999999994</v>
      </c>
      <c r="AY23" s="462">
        <f t="shared" si="2"/>
        <v>28909.919999999998</v>
      </c>
      <c r="AZ23" s="462" t="str">
        <f t="shared" si="3"/>
        <v/>
      </c>
      <c r="BA23" s="462">
        <f t="shared" si="4"/>
        <v>0</v>
      </c>
      <c r="BB23" s="462">
        <f>IF(AND(AT23=1,AK23="E",AU23&gt;=0.75,AW23=1),Health,IF(AND(AT23=1,AK23="E",AU23&gt;=0.75),Health*P23,IF(AND(AT23=1,AK23="E",AU23&gt;=0.5,AW23=1),PTHealth,IF(AND(AT23=1,AK23="E",AU23&gt;=0.5),PTHealth*P23,0))))</f>
        <v>3495</v>
      </c>
      <c r="BC23" s="462">
        <f>IF(AND(AT23=3,AK23="E",AV23&gt;=0.75,AW23=1),Health,IF(AND(AT23=3,AK23="E",AV23&gt;=0.75),Health*P23,IF(AND(AT23=3,AK23="E",AV23&gt;=0.5,AW23=1),PTHealth,IF(AND(AT23=3,AK23="E",AV23&gt;=0.5),PTHealth*P23,0))))</f>
        <v>0</v>
      </c>
      <c r="BD23" s="462">
        <f>IF(AND(AT23&lt;&gt;0,AX23&gt;=MAXSSDI),SSDI*MAXSSDI*P23,IF(AT23&lt;&gt;0,SSDI*W23,0))</f>
        <v>1792.4150399999999</v>
      </c>
      <c r="BE23" s="462">
        <f>IF(AT23&lt;&gt;0,SSHI*W23,0)</f>
        <v>419.19384000000002</v>
      </c>
      <c r="BF23" s="462">
        <f>IF(AND(AT23&lt;&gt;0,AN23&lt;&gt;"NE"),VLOOKUP(AN23,Retirement_Rates,3,FALSE)*W23,0)</f>
        <v>3451.8444479999998</v>
      </c>
      <c r="BG23" s="462">
        <f>IF(AND(AT23&lt;&gt;0,AJ23&lt;&gt;"PF"),Life*W23,0)</f>
        <v>208.4405232</v>
      </c>
      <c r="BH23" s="462">
        <f>IF(AND(AT23&lt;&gt;0,AM23="Y"),UI*W23,0)</f>
        <v>141.65860799999999</v>
      </c>
      <c r="BI23" s="462">
        <f>IF(AND(AT23&lt;&gt;0,N23&lt;&gt;"NR"),DHR*W23,0)</f>
        <v>88.464355199999986</v>
      </c>
      <c r="BJ23" s="462">
        <f>IF(AT23&lt;&gt;0,WC*W23,0)</f>
        <v>777.67684799999995</v>
      </c>
      <c r="BK23" s="462">
        <f>IF(OR(AND(AT23&lt;&gt;0,AJ23&lt;&gt;"PF",AN23&lt;&gt;"NE",AG23&lt;&gt;"A"),AND(AL23="E",OR(AT23=1,AT23=3))),Sick*W23,0)</f>
        <v>0</v>
      </c>
      <c r="BL23" s="462">
        <f t="shared" si="5"/>
        <v>6879.6936623999991</v>
      </c>
      <c r="BM23" s="462">
        <f t="shared" si="6"/>
        <v>0</v>
      </c>
      <c r="BN23" s="462">
        <f>IF(AND(AT23=1,AK23="E",AU23&gt;=0.75,AW23=1),HealthBY,IF(AND(AT23=1,AK23="E",AU23&gt;=0.75),HealthBY*P23,IF(AND(AT23=1,AK23="E",AU23&gt;=0.5,AW23=1),PTHealthBY,IF(AND(AT23=1,AK23="E",AU23&gt;=0.5),PTHealthBY*P23,0))))</f>
        <v>3495</v>
      </c>
      <c r="BO23" s="462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62">
        <f>IF(AND(AT23&lt;&gt;0,(AX23+BA23)&gt;=MAXSSDIBY),SSDIBY*MAXSSDIBY*P23,IF(AT23&lt;&gt;0,SSDIBY*W23,0))</f>
        <v>1792.4150399999999</v>
      </c>
      <c r="BQ23" s="462">
        <f>IF(AT23&lt;&gt;0,SSHIBY*W23,0)</f>
        <v>419.19384000000002</v>
      </c>
      <c r="BR23" s="462">
        <f>IF(AND(AT23&lt;&gt;0,AN23&lt;&gt;"NE"),VLOOKUP(AN23,Retirement_Rates,4,FALSE)*W23,0)</f>
        <v>3451.8444479999998</v>
      </c>
      <c r="BS23" s="462">
        <f>IF(AND(AT23&lt;&gt;0,AJ23&lt;&gt;"PF"),LifeBY*W23,0)</f>
        <v>208.4405232</v>
      </c>
      <c r="BT23" s="462">
        <f>IF(AND(AT23&lt;&gt;0,AM23="Y"),UIBY*W23,0)</f>
        <v>0</v>
      </c>
      <c r="BU23" s="462">
        <f>IF(AND(AT23&lt;&gt;0,N23&lt;&gt;"NR"),DHRBY*W23,0)</f>
        <v>88.464355199999986</v>
      </c>
      <c r="BV23" s="462">
        <f>IF(AT23&lt;&gt;0,WCBY*W23,0)</f>
        <v>1003.174224</v>
      </c>
      <c r="BW23" s="462">
        <f>IF(OR(AND(AT23&lt;&gt;0,AJ23&lt;&gt;"PF",AN23&lt;&gt;"NE",AG23&lt;&gt;"A"),AND(AL23="E",OR(AT23=1,AT23=3))),SickBY*W23,0)</f>
        <v>0</v>
      </c>
      <c r="BX23" s="462">
        <f t="shared" si="7"/>
        <v>6963.5324303999996</v>
      </c>
      <c r="BY23" s="462">
        <f t="shared" si="8"/>
        <v>0</v>
      </c>
      <c r="BZ23" s="462">
        <f t="shared" si="9"/>
        <v>0</v>
      </c>
      <c r="CA23" s="462">
        <f t="shared" si="10"/>
        <v>0</v>
      </c>
      <c r="CB23" s="462">
        <f t="shared" si="11"/>
        <v>0</v>
      </c>
      <c r="CC23" s="462">
        <f>IF(AT23&lt;&gt;0,SSHICHG*Y23,0)</f>
        <v>0</v>
      </c>
      <c r="CD23" s="462">
        <f>IF(AND(AT23&lt;&gt;0,AN23&lt;&gt;"NE"),VLOOKUP(AN23,Retirement_Rates,5,FALSE)*Y23,0)</f>
        <v>0</v>
      </c>
      <c r="CE23" s="462">
        <f>IF(AND(AT23&lt;&gt;0,AJ23&lt;&gt;"PF"),LifeCHG*Y23,0)</f>
        <v>0</v>
      </c>
      <c r="CF23" s="462">
        <f>IF(AND(AT23&lt;&gt;0,AM23="Y"),UICHG*Y23,0)</f>
        <v>-141.65860799999999</v>
      </c>
      <c r="CG23" s="462">
        <f>IF(AND(AT23&lt;&gt;0,N23&lt;&gt;"NR"),DHRCHG*Y23,0)</f>
        <v>0</v>
      </c>
      <c r="CH23" s="462">
        <f>IF(AT23&lt;&gt;0,WCCHG*Y23,0)</f>
        <v>225.49737600000003</v>
      </c>
      <c r="CI23" s="462">
        <f>IF(OR(AND(AT23&lt;&gt;0,AJ23&lt;&gt;"PF",AN23&lt;&gt;"NE",AG23&lt;&gt;"A"),AND(AL23="E",OR(AT23=1,AT23=3))),SickCHG*Y23,0)</f>
        <v>0</v>
      </c>
      <c r="CJ23" s="462">
        <f t="shared" si="12"/>
        <v>83.838768000000044</v>
      </c>
      <c r="CK23" s="462" t="str">
        <f t="shared" si="13"/>
        <v/>
      </c>
      <c r="CL23" s="462" t="str">
        <f t="shared" si="14"/>
        <v/>
      </c>
      <c r="CM23" s="462" t="str">
        <f t="shared" si="15"/>
        <v/>
      </c>
      <c r="CN23" s="462" t="str">
        <f t="shared" si="16"/>
        <v>0243-00</v>
      </c>
    </row>
    <row r="24" spans="1:92" ht="15" thickBot="1" x14ac:dyDescent="0.35">
      <c r="A24" s="376" t="s">
        <v>161</v>
      </c>
      <c r="B24" s="376" t="s">
        <v>162</v>
      </c>
      <c r="C24" s="376" t="s">
        <v>293</v>
      </c>
      <c r="D24" s="376" t="s">
        <v>294</v>
      </c>
      <c r="E24" s="376" t="s">
        <v>273</v>
      </c>
      <c r="F24" s="377" t="s">
        <v>166</v>
      </c>
      <c r="G24" s="376" t="s">
        <v>167</v>
      </c>
      <c r="H24" s="378"/>
      <c r="I24" s="378"/>
      <c r="J24" s="376" t="s">
        <v>229</v>
      </c>
      <c r="K24" s="376" t="s">
        <v>295</v>
      </c>
      <c r="L24" s="376" t="s">
        <v>166</v>
      </c>
      <c r="M24" s="376" t="s">
        <v>171</v>
      </c>
      <c r="N24" s="376" t="s">
        <v>296</v>
      </c>
      <c r="O24" s="379">
        <v>1</v>
      </c>
      <c r="P24" s="460">
        <v>0.6</v>
      </c>
      <c r="Q24" s="460">
        <v>0.6</v>
      </c>
      <c r="R24" s="380">
        <v>80</v>
      </c>
      <c r="S24" s="460">
        <v>0.6</v>
      </c>
      <c r="T24" s="380">
        <v>57299.64</v>
      </c>
      <c r="U24" s="380">
        <v>0</v>
      </c>
      <c r="V24" s="380">
        <v>15811.61</v>
      </c>
      <c r="W24" s="380">
        <v>85687.679999999993</v>
      </c>
      <c r="X24" s="380">
        <v>27118.400000000001</v>
      </c>
      <c r="Y24" s="380">
        <v>85687.679999999993</v>
      </c>
      <c r="Z24" s="380">
        <v>27366.9</v>
      </c>
      <c r="AA24" s="376" t="s">
        <v>297</v>
      </c>
      <c r="AB24" s="376" t="s">
        <v>298</v>
      </c>
      <c r="AC24" s="376" t="s">
        <v>299</v>
      </c>
      <c r="AD24" s="376" t="s">
        <v>180</v>
      </c>
      <c r="AE24" s="376" t="s">
        <v>295</v>
      </c>
      <c r="AF24" s="376" t="s">
        <v>300</v>
      </c>
      <c r="AG24" s="376" t="s">
        <v>178</v>
      </c>
      <c r="AH24" s="381">
        <v>68.66</v>
      </c>
      <c r="AI24" s="381">
        <v>12037.4</v>
      </c>
      <c r="AJ24" s="376" t="s">
        <v>179</v>
      </c>
      <c r="AK24" s="376" t="s">
        <v>180</v>
      </c>
      <c r="AL24" s="376" t="s">
        <v>181</v>
      </c>
      <c r="AM24" s="376" t="s">
        <v>182</v>
      </c>
      <c r="AN24" s="376" t="s">
        <v>68</v>
      </c>
      <c r="AO24" s="379">
        <v>80</v>
      </c>
      <c r="AP24" s="460">
        <v>1</v>
      </c>
      <c r="AQ24" s="460">
        <v>0.6</v>
      </c>
      <c r="AR24" s="458" t="s">
        <v>183</v>
      </c>
      <c r="AS24" s="462">
        <f t="shared" si="0"/>
        <v>0.6</v>
      </c>
      <c r="AT24">
        <f t="shared" si="1"/>
        <v>1</v>
      </c>
      <c r="AU24" s="462">
        <f>IF(AT24=0,"",IF(AND(AT24=1,M24="F",SUMIF(C2:C391,C24,AS2:AS391)&lt;=1),SUMIF(C2:C391,C24,AS2:AS391),IF(AND(AT24=1,M24="F",SUMIF(C2:C391,C24,AS2:AS391)&gt;1),1,"")))</f>
        <v>0.99999999999999989</v>
      </c>
      <c r="AV24" s="462" t="str">
        <f>IF(AT24=0,"",IF(AND(AT24=3,M24="F",SUMIF(C2:C391,C24,AS2:AS391)&lt;=1),SUMIF(C2:C391,C24,AS2:AS391),IF(AND(AT24=3,M24="F",SUMIF(C2:C391,C24,AS2:AS391)&gt;1),1,"")))</f>
        <v/>
      </c>
      <c r="AW24" s="462">
        <f>SUMIF(C2:C391,C24,O2:O391)</f>
        <v>3</v>
      </c>
      <c r="AX24" s="462">
        <f>IF(AND(M24="F",AS24&lt;&gt;0),SUMIF(C2:C391,C24,W2:W391),0)</f>
        <v>142812.79999999999</v>
      </c>
      <c r="AY24" s="462">
        <f t="shared" si="2"/>
        <v>85687.679999999993</v>
      </c>
      <c r="AZ24" s="462" t="str">
        <f t="shared" si="3"/>
        <v/>
      </c>
      <c r="BA24" s="462">
        <f t="shared" si="4"/>
        <v>0</v>
      </c>
      <c r="BB24" s="462">
        <f>IF(AND(AT24=1,AK24="E",AU24&gt;=0.75,AW24=1),Health,IF(AND(AT24=1,AK24="E",AU24&gt;=0.75),Health*P24,IF(AND(AT24=1,AK24="E",AU24&gt;=0.5,AW24=1),PTHealth,IF(AND(AT24=1,AK24="E",AU24&gt;=0.5),PTHealth*P24,0))))</f>
        <v>6990</v>
      </c>
      <c r="BC24" s="462">
        <f>IF(AND(AT24=3,AK24="E",AV24&gt;=0.75,AW24=1),Health,IF(AND(AT24=3,AK24="E",AV24&gt;=0.75),Health*P24,IF(AND(AT24=3,AK24="E",AV24&gt;=0.5,AW24=1),PTHealth,IF(AND(AT24=3,AK24="E",AV24&gt;=0.5),PTHealth*P24,0))))</f>
        <v>0</v>
      </c>
      <c r="BD24" s="462">
        <f>IF(AND(AT24&lt;&gt;0,AX24&gt;=MAXSSDI),SSDI*MAXSSDI*P24,IF(AT24&lt;&gt;0,SSDI*W24,0))</f>
        <v>5122.4399999999996</v>
      </c>
      <c r="BE24" s="462">
        <f>IF(AT24&lt;&gt;0,SSHI*W24,0)</f>
        <v>1242.47136</v>
      </c>
      <c r="BF24" s="462">
        <f>IF(AND(AT24&lt;&gt;0,AN24&lt;&gt;"NE"),VLOOKUP(AN24,Retirement_Rates,3,FALSE)*W24,0)</f>
        <v>10231.108991999999</v>
      </c>
      <c r="BG24" s="462">
        <f>IF(AND(AT24&lt;&gt;0,AJ24&lt;&gt;"PF"),Life*W24,0)</f>
        <v>617.80817279999997</v>
      </c>
      <c r="BH24" s="462">
        <f>IF(AND(AT24&lt;&gt;0,AM24="Y"),UI*W24,0)</f>
        <v>419.86963199999997</v>
      </c>
      <c r="BI24" s="462">
        <f>IF(AND(AT24&lt;&gt;0,N24&lt;&gt;"NR"),DHR*W24,0)</f>
        <v>0</v>
      </c>
      <c r="BJ24" s="462">
        <f>IF(AT24&lt;&gt;0,WC*W24,0)</f>
        <v>2304.9985919999999</v>
      </c>
      <c r="BK24" s="462">
        <f>IF(OR(AND(AT24&lt;&gt;0,AJ24&lt;&gt;"PF",AN24&lt;&gt;"NE",AG24&lt;&gt;"A"),AND(AL24="E",OR(AT24=1,AT24=3))),Sick*W24,0)</f>
        <v>0</v>
      </c>
      <c r="BL24" s="462">
        <f t="shared" si="5"/>
        <v>19938.696748800001</v>
      </c>
      <c r="BM24" s="462">
        <f t="shared" si="6"/>
        <v>0</v>
      </c>
      <c r="BN24" s="462">
        <f>IF(AND(AT24=1,AK24="E",AU24&gt;=0.75,AW24=1),HealthBY,IF(AND(AT24=1,AK24="E",AU24&gt;=0.75),HealthBY*P24,IF(AND(AT24=1,AK24="E",AU24&gt;=0.5,AW24=1),PTHealthBY,IF(AND(AT24=1,AK24="E",AU24&gt;=0.5),PTHealthBY*P24,0))))</f>
        <v>6990</v>
      </c>
      <c r="BO24" s="462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62">
        <f>IF(AND(AT24&lt;&gt;0,(AX24+BA24)&gt;=MAXSSDIBY),SSDIBY*MAXSSDIBY*P24,IF(AT24&lt;&gt;0,SSDIBY*W24,0))</f>
        <v>5312.16</v>
      </c>
      <c r="BQ24" s="462">
        <f>IF(AT24&lt;&gt;0,SSHIBY*W24,0)</f>
        <v>1242.47136</v>
      </c>
      <c r="BR24" s="462">
        <f>IF(AND(AT24&lt;&gt;0,AN24&lt;&gt;"NE"),VLOOKUP(AN24,Retirement_Rates,4,FALSE)*W24,0)</f>
        <v>10231.108991999999</v>
      </c>
      <c r="BS24" s="462">
        <f>IF(AND(AT24&lt;&gt;0,AJ24&lt;&gt;"PF"),LifeBY*W24,0)</f>
        <v>617.80817279999997</v>
      </c>
      <c r="BT24" s="462">
        <f>IF(AND(AT24&lt;&gt;0,AM24="Y"),UIBY*W24,0)</f>
        <v>0</v>
      </c>
      <c r="BU24" s="462">
        <f>IF(AND(AT24&lt;&gt;0,N24&lt;&gt;"NR"),DHRBY*W24,0)</f>
        <v>0</v>
      </c>
      <c r="BV24" s="462">
        <f>IF(AT24&lt;&gt;0,WCBY*W24,0)</f>
        <v>2973.3624959999997</v>
      </c>
      <c r="BW24" s="462">
        <f>IF(OR(AND(AT24&lt;&gt;0,AJ24&lt;&gt;"PF",AN24&lt;&gt;"NE",AG24&lt;&gt;"A"),AND(AL24="E",OR(AT24=1,AT24=3))),SickBY*W24,0)</f>
        <v>0</v>
      </c>
      <c r="BX24" s="462">
        <f t="shared" si="7"/>
        <v>20376.911020799998</v>
      </c>
      <c r="BY24" s="462">
        <f t="shared" si="8"/>
        <v>0</v>
      </c>
      <c r="BZ24" s="462">
        <f t="shared" si="9"/>
        <v>0</v>
      </c>
      <c r="CA24" s="462">
        <f t="shared" si="10"/>
        <v>0</v>
      </c>
      <c r="CB24" s="462">
        <f t="shared" si="11"/>
        <v>189.72000000000025</v>
      </c>
      <c r="CC24" s="462">
        <f>IF(AT24&lt;&gt;0,SSHICHG*Y24,0)</f>
        <v>0</v>
      </c>
      <c r="CD24" s="462">
        <f>IF(AND(AT24&lt;&gt;0,AN24&lt;&gt;"NE"),VLOOKUP(AN24,Retirement_Rates,5,FALSE)*Y24,0)</f>
        <v>0</v>
      </c>
      <c r="CE24" s="462">
        <f>IF(AND(AT24&lt;&gt;0,AJ24&lt;&gt;"PF"),LifeCHG*Y24,0)</f>
        <v>0</v>
      </c>
      <c r="CF24" s="462">
        <f>IF(AND(AT24&lt;&gt;0,AM24="Y"),UICHG*Y24,0)</f>
        <v>-419.86963199999997</v>
      </c>
      <c r="CG24" s="462">
        <f>IF(AND(AT24&lt;&gt;0,N24&lt;&gt;"NR"),DHRCHG*Y24,0)</f>
        <v>0</v>
      </c>
      <c r="CH24" s="462">
        <f>IF(AT24&lt;&gt;0,WCCHG*Y24,0)</f>
        <v>668.36390400000005</v>
      </c>
      <c r="CI24" s="462">
        <f>IF(OR(AND(AT24&lt;&gt;0,AJ24&lt;&gt;"PF",AN24&lt;&gt;"NE",AG24&lt;&gt;"A"),AND(AL24="E",OR(AT24=1,AT24=3))),SickCHG*Y24,0)</f>
        <v>0</v>
      </c>
      <c r="CJ24" s="462">
        <f t="shared" si="12"/>
        <v>438.21427200000034</v>
      </c>
      <c r="CK24" s="462" t="str">
        <f t="shared" si="13"/>
        <v/>
      </c>
      <c r="CL24" s="462" t="str">
        <f t="shared" si="14"/>
        <v/>
      </c>
      <c r="CM24" s="462" t="str">
        <f t="shared" si="15"/>
        <v/>
      </c>
      <c r="CN24" s="462" t="str">
        <f t="shared" si="16"/>
        <v>0243-00</v>
      </c>
    </row>
    <row r="25" spans="1:92" ht="15" thickBot="1" x14ac:dyDescent="0.35">
      <c r="A25" s="376" t="s">
        <v>161</v>
      </c>
      <c r="B25" s="376" t="s">
        <v>162</v>
      </c>
      <c r="C25" s="376" t="s">
        <v>301</v>
      </c>
      <c r="D25" s="376" t="s">
        <v>302</v>
      </c>
      <c r="E25" s="376" t="s">
        <v>273</v>
      </c>
      <c r="F25" s="377" t="s">
        <v>166</v>
      </c>
      <c r="G25" s="376" t="s">
        <v>167</v>
      </c>
      <c r="H25" s="378"/>
      <c r="I25" s="378"/>
      <c r="J25" s="376" t="s">
        <v>193</v>
      </c>
      <c r="K25" s="376" t="s">
        <v>303</v>
      </c>
      <c r="L25" s="376" t="s">
        <v>240</v>
      </c>
      <c r="M25" s="376" t="s">
        <v>171</v>
      </c>
      <c r="N25" s="376" t="s">
        <v>172</v>
      </c>
      <c r="O25" s="379">
        <v>1</v>
      </c>
      <c r="P25" s="460">
        <v>0.9</v>
      </c>
      <c r="Q25" s="460">
        <v>0.9</v>
      </c>
      <c r="R25" s="380">
        <v>80</v>
      </c>
      <c r="S25" s="460">
        <v>0.9</v>
      </c>
      <c r="T25" s="380">
        <v>32805.410000000003</v>
      </c>
      <c r="U25" s="380">
        <v>0</v>
      </c>
      <c r="V25" s="380">
        <v>17040.07</v>
      </c>
      <c r="W25" s="380">
        <v>42382.080000000002</v>
      </c>
      <c r="X25" s="380">
        <v>20570.62</v>
      </c>
      <c r="Y25" s="380">
        <v>42382.080000000002</v>
      </c>
      <c r="Z25" s="380">
        <v>20693.53</v>
      </c>
      <c r="AA25" s="376" t="s">
        <v>304</v>
      </c>
      <c r="AB25" s="376" t="s">
        <v>305</v>
      </c>
      <c r="AC25" s="376" t="s">
        <v>306</v>
      </c>
      <c r="AD25" s="376" t="s">
        <v>176</v>
      </c>
      <c r="AE25" s="376" t="s">
        <v>303</v>
      </c>
      <c r="AF25" s="376" t="s">
        <v>244</v>
      </c>
      <c r="AG25" s="376" t="s">
        <v>178</v>
      </c>
      <c r="AH25" s="381">
        <v>22.64</v>
      </c>
      <c r="AI25" s="381">
        <v>13855.9</v>
      </c>
      <c r="AJ25" s="376" t="s">
        <v>179</v>
      </c>
      <c r="AK25" s="376" t="s">
        <v>180</v>
      </c>
      <c r="AL25" s="376" t="s">
        <v>181</v>
      </c>
      <c r="AM25" s="376" t="s">
        <v>182</v>
      </c>
      <c r="AN25" s="376" t="s">
        <v>68</v>
      </c>
      <c r="AO25" s="379">
        <v>80</v>
      </c>
      <c r="AP25" s="460">
        <v>1</v>
      </c>
      <c r="AQ25" s="460">
        <v>0.9</v>
      </c>
      <c r="AR25" s="458" t="s">
        <v>183</v>
      </c>
      <c r="AS25" s="462">
        <f t="shared" si="0"/>
        <v>0.9</v>
      </c>
      <c r="AT25">
        <f t="shared" si="1"/>
        <v>1</v>
      </c>
      <c r="AU25" s="462">
        <f>IF(AT25=0,"",IF(AND(AT25=1,M25="F",SUMIF(C2:C391,C25,AS2:AS391)&lt;=1),SUMIF(C2:C391,C25,AS2:AS391),IF(AND(AT25=1,M25="F",SUMIF(C2:C391,C25,AS2:AS391)&gt;1),1,"")))</f>
        <v>1</v>
      </c>
      <c r="AV25" s="462" t="str">
        <f>IF(AT25=0,"",IF(AND(AT25=3,M25="F",SUMIF(C2:C391,C25,AS2:AS391)&lt;=1),SUMIF(C2:C391,C25,AS2:AS391),IF(AND(AT25=3,M25="F",SUMIF(C2:C391,C25,AS2:AS391)&gt;1),1,"")))</f>
        <v/>
      </c>
      <c r="AW25" s="462">
        <f>SUMIF(C2:C391,C25,O2:O391)</f>
        <v>2</v>
      </c>
      <c r="AX25" s="462">
        <f>IF(AND(M25="F",AS25&lt;&gt;0),SUMIF(C2:C391,C25,W2:W391),0)</f>
        <v>47091.200000000004</v>
      </c>
      <c r="AY25" s="462">
        <f t="shared" si="2"/>
        <v>42382.080000000002</v>
      </c>
      <c r="AZ25" s="462" t="str">
        <f t="shared" si="3"/>
        <v/>
      </c>
      <c r="BA25" s="462">
        <f t="shared" si="4"/>
        <v>0</v>
      </c>
      <c r="BB25" s="462">
        <f>IF(AND(AT25=1,AK25="E",AU25&gt;=0.75,AW25=1),Health,IF(AND(AT25=1,AK25="E",AU25&gt;=0.75),Health*P25,IF(AND(AT25=1,AK25="E",AU25&gt;=0.5,AW25=1),PTHealth,IF(AND(AT25=1,AK25="E",AU25&gt;=0.5),PTHealth*P25,0))))</f>
        <v>10485</v>
      </c>
      <c r="BC25" s="462">
        <f>IF(AND(AT25=3,AK25="E",AV25&gt;=0.75,AW25=1),Health,IF(AND(AT25=3,AK25="E",AV25&gt;=0.75),Health*P25,IF(AND(AT25=3,AK25="E",AV25&gt;=0.5,AW25=1),PTHealth,IF(AND(AT25=3,AK25="E",AV25&gt;=0.5),PTHealth*P25,0))))</f>
        <v>0</v>
      </c>
      <c r="BD25" s="462">
        <f>IF(AND(AT25&lt;&gt;0,AX25&gt;=MAXSSDI),SSDI*MAXSSDI*P25,IF(AT25&lt;&gt;0,SSDI*W25,0))</f>
        <v>2627.68896</v>
      </c>
      <c r="BE25" s="462">
        <f>IF(AT25&lt;&gt;0,SSHI*W25,0)</f>
        <v>614.54016000000001</v>
      </c>
      <c r="BF25" s="462">
        <f>IF(AND(AT25&lt;&gt;0,AN25&lt;&gt;"NE"),VLOOKUP(AN25,Retirement_Rates,3,FALSE)*W25,0)</f>
        <v>5060.4203520000001</v>
      </c>
      <c r="BG25" s="462">
        <f>IF(AND(AT25&lt;&gt;0,AJ25&lt;&gt;"PF"),Life*W25,0)</f>
        <v>305.5747968</v>
      </c>
      <c r="BH25" s="462">
        <f>IF(AND(AT25&lt;&gt;0,AM25="Y"),UI*W25,0)</f>
        <v>207.672192</v>
      </c>
      <c r="BI25" s="462">
        <f>IF(AND(AT25&lt;&gt;0,N25&lt;&gt;"NR"),DHR*W25,0)</f>
        <v>129.68916479999999</v>
      </c>
      <c r="BJ25" s="462">
        <f>IF(AT25&lt;&gt;0,WC*W25,0)</f>
        <v>1140.0779520000001</v>
      </c>
      <c r="BK25" s="462">
        <f>IF(OR(AND(AT25&lt;&gt;0,AJ25&lt;&gt;"PF",AN25&lt;&gt;"NE",AG25&lt;&gt;"A"),AND(AL25="E",OR(AT25=1,AT25=3))),Sick*W25,0)</f>
        <v>0</v>
      </c>
      <c r="BL25" s="462">
        <f t="shared" si="5"/>
        <v>10085.6635776</v>
      </c>
      <c r="BM25" s="462">
        <f t="shared" si="6"/>
        <v>0</v>
      </c>
      <c r="BN25" s="462">
        <f>IF(AND(AT25=1,AK25="E",AU25&gt;=0.75,AW25=1),HealthBY,IF(AND(AT25=1,AK25="E",AU25&gt;=0.75),HealthBY*P25,IF(AND(AT25=1,AK25="E",AU25&gt;=0.5,AW25=1),PTHealthBY,IF(AND(AT25=1,AK25="E",AU25&gt;=0.5),PTHealthBY*P25,0))))</f>
        <v>10485</v>
      </c>
      <c r="BO25" s="462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62">
        <f>IF(AND(AT25&lt;&gt;0,(AX25+BA25)&gt;=MAXSSDIBY),SSDIBY*MAXSSDIBY*P25,IF(AT25&lt;&gt;0,SSDIBY*W25,0))</f>
        <v>2627.68896</v>
      </c>
      <c r="BQ25" s="462">
        <f>IF(AT25&lt;&gt;0,SSHIBY*W25,0)</f>
        <v>614.54016000000001</v>
      </c>
      <c r="BR25" s="462">
        <f>IF(AND(AT25&lt;&gt;0,AN25&lt;&gt;"NE"),VLOOKUP(AN25,Retirement_Rates,4,FALSE)*W25,0)</f>
        <v>5060.4203520000001</v>
      </c>
      <c r="BS25" s="462">
        <f>IF(AND(AT25&lt;&gt;0,AJ25&lt;&gt;"PF"),LifeBY*W25,0)</f>
        <v>305.5747968</v>
      </c>
      <c r="BT25" s="462">
        <f>IF(AND(AT25&lt;&gt;0,AM25="Y"),UIBY*W25,0)</f>
        <v>0</v>
      </c>
      <c r="BU25" s="462">
        <f>IF(AND(AT25&lt;&gt;0,N25&lt;&gt;"NR"),DHRBY*W25,0)</f>
        <v>129.68916479999999</v>
      </c>
      <c r="BV25" s="462">
        <f>IF(AT25&lt;&gt;0,WCBY*W25,0)</f>
        <v>1470.6581760000001</v>
      </c>
      <c r="BW25" s="462">
        <f>IF(OR(AND(AT25&lt;&gt;0,AJ25&lt;&gt;"PF",AN25&lt;&gt;"NE",AG25&lt;&gt;"A"),AND(AL25="E",OR(AT25=1,AT25=3))),SickBY*W25,0)</f>
        <v>0</v>
      </c>
      <c r="BX25" s="462">
        <f t="shared" si="7"/>
        <v>10208.571609600001</v>
      </c>
      <c r="BY25" s="462">
        <f t="shared" si="8"/>
        <v>0</v>
      </c>
      <c r="BZ25" s="462">
        <f t="shared" si="9"/>
        <v>0</v>
      </c>
      <c r="CA25" s="462">
        <f t="shared" si="10"/>
        <v>0</v>
      </c>
      <c r="CB25" s="462">
        <f t="shared" si="11"/>
        <v>0</v>
      </c>
      <c r="CC25" s="462">
        <f>IF(AT25&lt;&gt;0,SSHICHG*Y25,0)</f>
        <v>0</v>
      </c>
      <c r="CD25" s="462">
        <f>IF(AND(AT25&lt;&gt;0,AN25&lt;&gt;"NE"),VLOOKUP(AN25,Retirement_Rates,5,FALSE)*Y25,0)</f>
        <v>0</v>
      </c>
      <c r="CE25" s="462">
        <f>IF(AND(AT25&lt;&gt;0,AJ25&lt;&gt;"PF"),LifeCHG*Y25,0)</f>
        <v>0</v>
      </c>
      <c r="CF25" s="462">
        <f>IF(AND(AT25&lt;&gt;0,AM25="Y"),UICHG*Y25,0)</f>
        <v>-207.672192</v>
      </c>
      <c r="CG25" s="462">
        <f>IF(AND(AT25&lt;&gt;0,N25&lt;&gt;"NR"),DHRCHG*Y25,0)</f>
        <v>0</v>
      </c>
      <c r="CH25" s="462">
        <f>IF(AT25&lt;&gt;0,WCCHG*Y25,0)</f>
        <v>330.58022400000004</v>
      </c>
      <c r="CI25" s="462">
        <f>IF(OR(AND(AT25&lt;&gt;0,AJ25&lt;&gt;"PF",AN25&lt;&gt;"NE",AG25&lt;&gt;"A"),AND(AL25="E",OR(AT25=1,AT25=3))),SickCHG*Y25,0)</f>
        <v>0</v>
      </c>
      <c r="CJ25" s="462">
        <f t="shared" si="12"/>
        <v>122.90803200000005</v>
      </c>
      <c r="CK25" s="462" t="str">
        <f t="shared" si="13"/>
        <v/>
      </c>
      <c r="CL25" s="462" t="str">
        <f t="shared" si="14"/>
        <v/>
      </c>
      <c r="CM25" s="462" t="str">
        <f t="shared" si="15"/>
        <v/>
      </c>
      <c r="CN25" s="462" t="str">
        <f t="shared" si="16"/>
        <v>0243-00</v>
      </c>
    </row>
    <row r="26" spans="1:92" ht="15" thickBot="1" x14ac:dyDescent="0.35">
      <c r="A26" s="376" t="s">
        <v>161</v>
      </c>
      <c r="B26" s="376" t="s">
        <v>162</v>
      </c>
      <c r="C26" s="376" t="s">
        <v>307</v>
      </c>
      <c r="D26" s="376" t="s">
        <v>308</v>
      </c>
      <c r="E26" s="376" t="s">
        <v>273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309</v>
      </c>
      <c r="L26" s="376" t="s">
        <v>170</v>
      </c>
      <c r="M26" s="376" t="s">
        <v>171</v>
      </c>
      <c r="N26" s="376" t="s">
        <v>296</v>
      </c>
      <c r="O26" s="379">
        <v>1</v>
      </c>
      <c r="P26" s="460">
        <v>1</v>
      </c>
      <c r="Q26" s="460">
        <v>1</v>
      </c>
      <c r="R26" s="380">
        <v>80</v>
      </c>
      <c r="S26" s="460">
        <v>1</v>
      </c>
      <c r="T26" s="380">
        <v>69327.679999999993</v>
      </c>
      <c r="U26" s="380">
        <v>0</v>
      </c>
      <c r="V26" s="380">
        <v>25969.54</v>
      </c>
      <c r="W26" s="380">
        <v>69076.800000000003</v>
      </c>
      <c r="X26" s="380">
        <v>27876.799999999999</v>
      </c>
      <c r="Y26" s="380">
        <v>69076.800000000003</v>
      </c>
      <c r="Z26" s="380">
        <v>28077.13</v>
      </c>
      <c r="AA26" s="376" t="s">
        <v>310</v>
      </c>
      <c r="AB26" s="376" t="s">
        <v>311</v>
      </c>
      <c r="AC26" s="376" t="s">
        <v>312</v>
      </c>
      <c r="AD26" s="376" t="s">
        <v>176</v>
      </c>
      <c r="AE26" s="376" t="s">
        <v>309</v>
      </c>
      <c r="AF26" s="376" t="s">
        <v>300</v>
      </c>
      <c r="AG26" s="376" t="s">
        <v>178</v>
      </c>
      <c r="AH26" s="381">
        <v>33.21</v>
      </c>
      <c r="AI26" s="379">
        <v>3085</v>
      </c>
      <c r="AJ26" s="376" t="s">
        <v>179</v>
      </c>
      <c r="AK26" s="376" t="s">
        <v>180</v>
      </c>
      <c r="AL26" s="376" t="s">
        <v>181</v>
      </c>
      <c r="AM26" s="376" t="s">
        <v>182</v>
      </c>
      <c r="AN26" s="376" t="s">
        <v>68</v>
      </c>
      <c r="AO26" s="379">
        <v>80</v>
      </c>
      <c r="AP26" s="460">
        <v>1</v>
      </c>
      <c r="AQ26" s="460">
        <v>1</v>
      </c>
      <c r="AR26" s="458" t="s">
        <v>183</v>
      </c>
      <c r="AS26" s="462">
        <f t="shared" si="0"/>
        <v>1</v>
      </c>
      <c r="AT26">
        <f t="shared" si="1"/>
        <v>1</v>
      </c>
      <c r="AU26" s="462">
        <f>IF(AT26=0,"",IF(AND(AT26=1,M26="F",SUMIF(C2:C391,C26,AS2:AS391)&lt;=1),SUMIF(C2:C391,C26,AS2:AS391),IF(AND(AT26=1,M26="F",SUMIF(C2:C391,C26,AS2:AS391)&gt;1),1,"")))</f>
        <v>1</v>
      </c>
      <c r="AV26" s="462" t="str">
        <f>IF(AT26=0,"",IF(AND(AT26=3,M26="F",SUMIF(C2:C391,C26,AS2:AS391)&lt;=1),SUMIF(C2:C391,C26,AS2:AS391),IF(AND(AT26=3,M26="F",SUMIF(C2:C391,C26,AS2:AS391)&gt;1),1,"")))</f>
        <v/>
      </c>
      <c r="AW26" s="462">
        <f>SUMIF(C2:C391,C26,O2:O391)</f>
        <v>1</v>
      </c>
      <c r="AX26" s="462">
        <f>IF(AND(M26="F",AS26&lt;&gt;0),SUMIF(C2:C391,C26,W2:W391),0)</f>
        <v>69076.800000000003</v>
      </c>
      <c r="AY26" s="462">
        <f t="shared" si="2"/>
        <v>69076.800000000003</v>
      </c>
      <c r="AZ26" s="462" t="str">
        <f t="shared" si="3"/>
        <v/>
      </c>
      <c r="BA26" s="462">
        <f t="shared" si="4"/>
        <v>0</v>
      </c>
      <c r="BB26" s="462">
        <f>IF(AND(AT26=1,AK26="E",AU26&gt;=0.75,AW26=1),Health,IF(AND(AT26=1,AK26="E",AU26&gt;=0.75),Health*P26,IF(AND(AT26=1,AK26="E",AU26&gt;=0.5,AW26=1),PTHealth,IF(AND(AT26=1,AK26="E",AU26&gt;=0.5),PTHealth*P26,0))))</f>
        <v>11650</v>
      </c>
      <c r="BC26" s="462">
        <f>IF(AND(AT26=3,AK26="E",AV26&gt;=0.75,AW26=1),Health,IF(AND(AT26=3,AK26="E",AV26&gt;=0.75),Health*P26,IF(AND(AT26=3,AK26="E",AV26&gt;=0.5,AW26=1),PTHealth,IF(AND(AT26=3,AK26="E",AV26&gt;=0.5),PTHealth*P26,0))))</f>
        <v>0</v>
      </c>
      <c r="BD26" s="462">
        <f>IF(AND(AT26&lt;&gt;0,AX26&gt;=MAXSSDI),SSDI*MAXSSDI*P26,IF(AT26&lt;&gt;0,SSDI*W26,0))</f>
        <v>4282.7615999999998</v>
      </c>
      <c r="BE26" s="462">
        <f>IF(AT26&lt;&gt;0,SSHI*W26,0)</f>
        <v>1001.6136000000001</v>
      </c>
      <c r="BF26" s="462">
        <f>IF(AND(AT26&lt;&gt;0,AN26&lt;&gt;"NE"),VLOOKUP(AN26,Retirement_Rates,3,FALSE)*W26,0)</f>
        <v>8247.7699200000006</v>
      </c>
      <c r="BG26" s="462">
        <f>IF(AND(AT26&lt;&gt;0,AJ26&lt;&gt;"PF"),Life*W26,0)</f>
        <v>498.04372800000004</v>
      </c>
      <c r="BH26" s="462">
        <f>IF(AND(AT26&lt;&gt;0,AM26="Y"),UI*W26,0)</f>
        <v>338.47631999999999</v>
      </c>
      <c r="BI26" s="462">
        <f>IF(AND(AT26&lt;&gt;0,N26&lt;&gt;"NR"),DHR*W26,0)</f>
        <v>0</v>
      </c>
      <c r="BJ26" s="462">
        <f>IF(AT26&lt;&gt;0,WC*W26,0)</f>
        <v>1858.1659200000001</v>
      </c>
      <c r="BK26" s="462">
        <f>IF(OR(AND(AT26&lt;&gt;0,AJ26&lt;&gt;"PF",AN26&lt;&gt;"NE",AG26&lt;&gt;"A"),AND(AL26="E",OR(AT26=1,AT26=3))),Sick*W26,0)</f>
        <v>0</v>
      </c>
      <c r="BL26" s="462">
        <f t="shared" si="5"/>
        <v>16226.831088000001</v>
      </c>
      <c r="BM26" s="462">
        <f t="shared" si="6"/>
        <v>0</v>
      </c>
      <c r="BN26" s="462">
        <f>IF(AND(AT26=1,AK26="E",AU26&gt;=0.75,AW26=1),HealthBY,IF(AND(AT26=1,AK26="E",AU26&gt;=0.75),HealthBY*P26,IF(AND(AT26=1,AK26="E",AU26&gt;=0.5,AW26=1),PTHealthBY,IF(AND(AT26=1,AK26="E",AU26&gt;=0.5),PTHealthBY*P26,0))))</f>
        <v>11650</v>
      </c>
      <c r="BO26" s="462">
        <f>IF(AND(AT26=3,AK26="E",AV26&gt;=0.75,AW26=1),HealthBY,IF(AND(AT26=3,AK26="E",AV26&gt;=0.75),HealthBY*P26,IF(AND(AT26=3,AK26="E",AV26&gt;=0.5,AW26=1),PTHealthBY,IF(AND(AT26=3,AK26="E",AV26&gt;=0.5),PTHealthBY*P26,0))))</f>
        <v>0</v>
      </c>
      <c r="BP26" s="462">
        <f>IF(AND(AT26&lt;&gt;0,(AX26+BA26)&gt;=MAXSSDIBY),SSDIBY*MAXSSDIBY*P26,IF(AT26&lt;&gt;0,SSDIBY*W26,0))</f>
        <v>4282.7615999999998</v>
      </c>
      <c r="BQ26" s="462">
        <f>IF(AT26&lt;&gt;0,SSHIBY*W26,0)</f>
        <v>1001.6136000000001</v>
      </c>
      <c r="BR26" s="462">
        <f>IF(AND(AT26&lt;&gt;0,AN26&lt;&gt;"NE"),VLOOKUP(AN26,Retirement_Rates,4,FALSE)*W26,0)</f>
        <v>8247.7699200000006</v>
      </c>
      <c r="BS26" s="462">
        <f>IF(AND(AT26&lt;&gt;0,AJ26&lt;&gt;"PF"),LifeBY*W26,0)</f>
        <v>498.04372800000004</v>
      </c>
      <c r="BT26" s="462">
        <f>IF(AND(AT26&lt;&gt;0,AM26="Y"),UIBY*W26,0)</f>
        <v>0</v>
      </c>
      <c r="BU26" s="462">
        <f>IF(AND(AT26&lt;&gt;0,N26&lt;&gt;"NR"),DHRBY*W26,0)</f>
        <v>0</v>
      </c>
      <c r="BV26" s="462">
        <f>IF(AT26&lt;&gt;0,WCBY*W26,0)</f>
        <v>2396.9649600000002</v>
      </c>
      <c r="BW26" s="462">
        <f>IF(OR(AND(AT26&lt;&gt;0,AJ26&lt;&gt;"PF",AN26&lt;&gt;"NE",AG26&lt;&gt;"A"),AND(AL26="E",OR(AT26=1,AT26=3))),SickBY*W26,0)</f>
        <v>0</v>
      </c>
      <c r="BX26" s="462">
        <f t="shared" si="7"/>
        <v>16427.153808000003</v>
      </c>
      <c r="BY26" s="462">
        <f t="shared" si="8"/>
        <v>0</v>
      </c>
      <c r="BZ26" s="462">
        <f t="shared" si="9"/>
        <v>0</v>
      </c>
      <c r="CA26" s="462">
        <f t="shared" si="10"/>
        <v>0</v>
      </c>
      <c r="CB26" s="462">
        <f t="shared" si="11"/>
        <v>0</v>
      </c>
      <c r="CC26" s="462">
        <f>IF(AT26&lt;&gt;0,SSHICHG*Y26,0)</f>
        <v>0</v>
      </c>
      <c r="CD26" s="462">
        <f>IF(AND(AT26&lt;&gt;0,AN26&lt;&gt;"NE"),VLOOKUP(AN26,Retirement_Rates,5,FALSE)*Y26,0)</f>
        <v>0</v>
      </c>
      <c r="CE26" s="462">
        <f>IF(AND(AT26&lt;&gt;0,AJ26&lt;&gt;"PF"),LifeCHG*Y26,0)</f>
        <v>0</v>
      </c>
      <c r="CF26" s="462">
        <f>IF(AND(AT26&lt;&gt;0,AM26="Y"),UICHG*Y26,0)</f>
        <v>-338.47631999999999</v>
      </c>
      <c r="CG26" s="462">
        <f>IF(AND(AT26&lt;&gt;0,N26&lt;&gt;"NR"),DHRCHG*Y26,0)</f>
        <v>0</v>
      </c>
      <c r="CH26" s="462">
        <f>IF(AT26&lt;&gt;0,WCCHG*Y26,0)</f>
        <v>538.7990400000001</v>
      </c>
      <c r="CI26" s="462">
        <f>IF(OR(AND(AT26&lt;&gt;0,AJ26&lt;&gt;"PF",AN26&lt;&gt;"NE",AG26&lt;&gt;"A"),AND(AL26="E",OR(AT26=1,AT26=3))),SickCHG*Y26,0)</f>
        <v>0</v>
      </c>
      <c r="CJ26" s="462">
        <f t="shared" si="12"/>
        <v>200.32272000000012</v>
      </c>
      <c r="CK26" s="462" t="str">
        <f t="shared" si="13"/>
        <v/>
      </c>
      <c r="CL26" s="462" t="str">
        <f t="shared" si="14"/>
        <v/>
      </c>
      <c r="CM26" s="462" t="str">
        <f t="shared" si="15"/>
        <v/>
      </c>
      <c r="CN26" s="462" t="str">
        <f t="shared" si="16"/>
        <v>0243-00</v>
      </c>
    </row>
    <row r="27" spans="1:92" ht="15" thickBot="1" x14ac:dyDescent="0.35">
      <c r="A27" s="376" t="s">
        <v>161</v>
      </c>
      <c r="B27" s="376" t="s">
        <v>162</v>
      </c>
      <c r="C27" s="376" t="s">
        <v>313</v>
      </c>
      <c r="D27" s="376" t="s">
        <v>314</v>
      </c>
      <c r="E27" s="376" t="s">
        <v>273</v>
      </c>
      <c r="F27" s="377" t="s">
        <v>166</v>
      </c>
      <c r="G27" s="376" t="s">
        <v>167</v>
      </c>
      <c r="H27" s="378"/>
      <c r="I27" s="378"/>
      <c r="J27" s="376" t="s">
        <v>229</v>
      </c>
      <c r="K27" s="376" t="s">
        <v>315</v>
      </c>
      <c r="L27" s="376" t="s">
        <v>316</v>
      </c>
      <c r="M27" s="376" t="s">
        <v>171</v>
      </c>
      <c r="N27" s="376" t="s">
        <v>172</v>
      </c>
      <c r="O27" s="379">
        <v>1</v>
      </c>
      <c r="P27" s="460">
        <v>0.4</v>
      </c>
      <c r="Q27" s="460">
        <v>0.4</v>
      </c>
      <c r="R27" s="380">
        <v>80</v>
      </c>
      <c r="S27" s="460">
        <v>0.4</v>
      </c>
      <c r="T27" s="380">
        <v>3209.57</v>
      </c>
      <c r="U27" s="380">
        <v>0</v>
      </c>
      <c r="V27" s="380">
        <v>2210.04</v>
      </c>
      <c r="W27" s="380">
        <v>11098.88</v>
      </c>
      <c r="X27" s="380">
        <v>7301.18</v>
      </c>
      <c r="Y27" s="380">
        <v>11098.88</v>
      </c>
      <c r="Z27" s="380">
        <v>7333.37</v>
      </c>
      <c r="AA27" s="376" t="s">
        <v>317</v>
      </c>
      <c r="AB27" s="376" t="s">
        <v>318</v>
      </c>
      <c r="AC27" s="376" t="s">
        <v>319</v>
      </c>
      <c r="AD27" s="376" t="s">
        <v>176</v>
      </c>
      <c r="AE27" s="376" t="s">
        <v>315</v>
      </c>
      <c r="AF27" s="376" t="s">
        <v>320</v>
      </c>
      <c r="AG27" s="376" t="s">
        <v>178</v>
      </c>
      <c r="AH27" s="381">
        <v>13.34</v>
      </c>
      <c r="AI27" s="379">
        <v>360</v>
      </c>
      <c r="AJ27" s="376" t="s">
        <v>179</v>
      </c>
      <c r="AK27" s="376" t="s">
        <v>180</v>
      </c>
      <c r="AL27" s="376" t="s">
        <v>181</v>
      </c>
      <c r="AM27" s="376" t="s">
        <v>182</v>
      </c>
      <c r="AN27" s="376" t="s">
        <v>68</v>
      </c>
      <c r="AO27" s="379">
        <v>80</v>
      </c>
      <c r="AP27" s="460">
        <v>1</v>
      </c>
      <c r="AQ27" s="460">
        <v>0.4</v>
      </c>
      <c r="AR27" s="458" t="s">
        <v>183</v>
      </c>
      <c r="AS27" s="462">
        <f t="shared" si="0"/>
        <v>0.4</v>
      </c>
      <c r="AT27">
        <f t="shared" si="1"/>
        <v>1</v>
      </c>
      <c r="AU27" s="462">
        <f>IF(AT27=0,"",IF(AND(AT27=1,M27="F",SUMIF(C2:C391,C27,AS2:AS391)&lt;=1),SUMIF(C2:C391,C27,AS2:AS391),IF(AND(AT27=1,M27="F",SUMIF(C2:C391,C27,AS2:AS391)&gt;1),1,"")))</f>
        <v>1</v>
      </c>
      <c r="AV27" s="462" t="str">
        <f>IF(AT27=0,"",IF(AND(AT27=3,M27="F",SUMIF(C2:C391,C27,AS2:AS391)&lt;=1),SUMIF(C2:C391,C27,AS2:AS391),IF(AND(AT27=3,M27="F",SUMIF(C2:C391,C27,AS2:AS391)&gt;1),1,"")))</f>
        <v/>
      </c>
      <c r="AW27" s="462">
        <f>SUMIF(C2:C391,C27,O2:O391)</f>
        <v>3</v>
      </c>
      <c r="AX27" s="462">
        <f>IF(AND(M27="F",AS27&lt;&gt;0),SUMIF(C2:C391,C27,W2:W391),0)</f>
        <v>27747.200000000001</v>
      </c>
      <c r="AY27" s="462">
        <f t="shared" si="2"/>
        <v>11098.88</v>
      </c>
      <c r="AZ27" s="462" t="str">
        <f t="shared" si="3"/>
        <v/>
      </c>
      <c r="BA27" s="462">
        <f t="shared" si="4"/>
        <v>0</v>
      </c>
      <c r="BB27" s="462">
        <f>IF(AND(AT27=1,AK27="E",AU27&gt;=0.75,AW27=1),Health,IF(AND(AT27=1,AK27="E",AU27&gt;=0.75),Health*P27,IF(AND(AT27=1,AK27="E",AU27&gt;=0.5,AW27=1),PTHealth,IF(AND(AT27=1,AK27="E",AU27&gt;=0.5),PTHealth*P27,0))))</f>
        <v>4660</v>
      </c>
      <c r="BC27" s="462">
        <f>IF(AND(AT27=3,AK27="E",AV27&gt;=0.75,AW27=1),Health,IF(AND(AT27=3,AK27="E",AV27&gt;=0.75),Health*P27,IF(AND(AT27=3,AK27="E",AV27&gt;=0.5,AW27=1),PTHealth,IF(AND(AT27=3,AK27="E",AV27&gt;=0.5),PTHealth*P27,0))))</f>
        <v>0</v>
      </c>
      <c r="BD27" s="462">
        <f>IF(AND(AT27&lt;&gt;0,AX27&gt;=MAXSSDI),SSDI*MAXSSDI*P27,IF(AT27&lt;&gt;0,SSDI*W27,0))</f>
        <v>688.13055999999995</v>
      </c>
      <c r="BE27" s="462">
        <f>IF(AT27&lt;&gt;0,SSHI*W27,0)</f>
        <v>160.93376000000001</v>
      </c>
      <c r="BF27" s="462">
        <f>IF(AND(AT27&lt;&gt;0,AN27&lt;&gt;"NE"),VLOOKUP(AN27,Retirement_Rates,3,FALSE)*W27,0)</f>
        <v>1325.2062719999999</v>
      </c>
      <c r="BG27" s="462">
        <f>IF(AND(AT27&lt;&gt;0,AJ27&lt;&gt;"PF"),Life*W27,0)</f>
        <v>80.022924799999998</v>
      </c>
      <c r="BH27" s="462">
        <f>IF(AND(AT27&lt;&gt;0,AM27="Y"),UI*W27,0)</f>
        <v>54.384511999999994</v>
      </c>
      <c r="BI27" s="462">
        <f>IF(AND(AT27&lt;&gt;0,N27&lt;&gt;"NR"),DHR*W27,0)</f>
        <v>33.962572799999997</v>
      </c>
      <c r="BJ27" s="462">
        <f>IF(AT27&lt;&gt;0,WC*W27,0)</f>
        <v>298.55987199999998</v>
      </c>
      <c r="BK27" s="462">
        <f>IF(OR(AND(AT27&lt;&gt;0,AJ27&lt;&gt;"PF",AN27&lt;&gt;"NE",AG27&lt;&gt;"A"),AND(AL27="E",OR(AT27=1,AT27=3))),Sick*W27,0)</f>
        <v>0</v>
      </c>
      <c r="BL27" s="462">
        <f t="shared" si="5"/>
        <v>2641.2004735999999</v>
      </c>
      <c r="BM27" s="462">
        <f t="shared" si="6"/>
        <v>0</v>
      </c>
      <c r="BN27" s="462">
        <f>IF(AND(AT27=1,AK27="E",AU27&gt;=0.75,AW27=1),HealthBY,IF(AND(AT27=1,AK27="E",AU27&gt;=0.75),HealthBY*P27,IF(AND(AT27=1,AK27="E",AU27&gt;=0.5,AW27=1),PTHealthBY,IF(AND(AT27=1,AK27="E",AU27&gt;=0.5),PTHealthBY*P27,0))))</f>
        <v>4660</v>
      </c>
      <c r="BO27" s="462">
        <f>IF(AND(AT27=3,AK27="E",AV27&gt;=0.75,AW27=1),HealthBY,IF(AND(AT27=3,AK27="E",AV27&gt;=0.75),HealthBY*P27,IF(AND(AT27=3,AK27="E",AV27&gt;=0.5,AW27=1),PTHealthBY,IF(AND(AT27=3,AK27="E",AV27&gt;=0.5),PTHealthBY*P27,0))))</f>
        <v>0</v>
      </c>
      <c r="BP27" s="462">
        <f>IF(AND(AT27&lt;&gt;0,(AX27+BA27)&gt;=MAXSSDIBY),SSDIBY*MAXSSDIBY*P27,IF(AT27&lt;&gt;0,SSDIBY*W27,0))</f>
        <v>688.13055999999995</v>
      </c>
      <c r="BQ27" s="462">
        <f>IF(AT27&lt;&gt;0,SSHIBY*W27,0)</f>
        <v>160.93376000000001</v>
      </c>
      <c r="BR27" s="462">
        <f>IF(AND(AT27&lt;&gt;0,AN27&lt;&gt;"NE"),VLOOKUP(AN27,Retirement_Rates,4,FALSE)*W27,0)</f>
        <v>1325.2062719999999</v>
      </c>
      <c r="BS27" s="462">
        <f>IF(AND(AT27&lt;&gt;0,AJ27&lt;&gt;"PF"),LifeBY*W27,0)</f>
        <v>80.022924799999998</v>
      </c>
      <c r="BT27" s="462">
        <f>IF(AND(AT27&lt;&gt;0,AM27="Y"),UIBY*W27,0)</f>
        <v>0</v>
      </c>
      <c r="BU27" s="462">
        <f>IF(AND(AT27&lt;&gt;0,N27&lt;&gt;"NR"),DHRBY*W27,0)</f>
        <v>33.962572799999997</v>
      </c>
      <c r="BV27" s="462">
        <f>IF(AT27&lt;&gt;0,WCBY*W27,0)</f>
        <v>385.13113599999997</v>
      </c>
      <c r="BW27" s="462">
        <f>IF(OR(AND(AT27&lt;&gt;0,AJ27&lt;&gt;"PF",AN27&lt;&gt;"NE",AG27&lt;&gt;"A"),AND(AL27="E",OR(AT27=1,AT27=3))),SickBY*W27,0)</f>
        <v>0</v>
      </c>
      <c r="BX27" s="462">
        <f t="shared" si="7"/>
        <v>2673.3872256</v>
      </c>
      <c r="BY27" s="462">
        <f t="shared" si="8"/>
        <v>0</v>
      </c>
      <c r="BZ27" s="462">
        <f t="shared" si="9"/>
        <v>0</v>
      </c>
      <c r="CA27" s="462">
        <f t="shared" si="10"/>
        <v>0</v>
      </c>
      <c r="CB27" s="462">
        <f t="shared" si="11"/>
        <v>0</v>
      </c>
      <c r="CC27" s="462">
        <f>IF(AT27&lt;&gt;0,SSHICHG*Y27,0)</f>
        <v>0</v>
      </c>
      <c r="CD27" s="462">
        <f>IF(AND(AT27&lt;&gt;0,AN27&lt;&gt;"NE"),VLOOKUP(AN27,Retirement_Rates,5,FALSE)*Y27,0)</f>
        <v>0</v>
      </c>
      <c r="CE27" s="462">
        <f>IF(AND(AT27&lt;&gt;0,AJ27&lt;&gt;"PF"),LifeCHG*Y27,0)</f>
        <v>0</v>
      </c>
      <c r="CF27" s="462">
        <f>IF(AND(AT27&lt;&gt;0,AM27="Y"),UICHG*Y27,0)</f>
        <v>-54.384511999999994</v>
      </c>
      <c r="CG27" s="462">
        <f>IF(AND(AT27&lt;&gt;0,N27&lt;&gt;"NR"),DHRCHG*Y27,0)</f>
        <v>0</v>
      </c>
      <c r="CH27" s="462">
        <f>IF(AT27&lt;&gt;0,WCCHG*Y27,0)</f>
        <v>86.571264000000014</v>
      </c>
      <c r="CI27" s="462">
        <f>IF(OR(AND(AT27&lt;&gt;0,AJ27&lt;&gt;"PF",AN27&lt;&gt;"NE",AG27&lt;&gt;"A"),AND(AL27="E",OR(AT27=1,AT27=3))),SickCHG*Y27,0)</f>
        <v>0</v>
      </c>
      <c r="CJ27" s="462">
        <f t="shared" si="12"/>
        <v>32.18675200000002</v>
      </c>
      <c r="CK27" s="462" t="str">
        <f t="shared" si="13"/>
        <v/>
      </c>
      <c r="CL27" s="462" t="str">
        <f t="shared" si="14"/>
        <v/>
      </c>
      <c r="CM27" s="462" t="str">
        <f t="shared" si="15"/>
        <v/>
      </c>
      <c r="CN27" s="462" t="str">
        <f t="shared" si="16"/>
        <v>0243-00</v>
      </c>
    </row>
    <row r="28" spans="1:92" ht="15" thickBot="1" x14ac:dyDescent="0.35">
      <c r="A28" s="376" t="s">
        <v>161</v>
      </c>
      <c r="B28" s="376" t="s">
        <v>162</v>
      </c>
      <c r="C28" s="376" t="s">
        <v>321</v>
      </c>
      <c r="D28" s="376" t="s">
        <v>322</v>
      </c>
      <c r="E28" s="376" t="s">
        <v>273</v>
      </c>
      <c r="F28" s="377" t="s">
        <v>166</v>
      </c>
      <c r="G28" s="376" t="s">
        <v>167</v>
      </c>
      <c r="H28" s="378"/>
      <c r="I28" s="378"/>
      <c r="J28" s="376" t="s">
        <v>193</v>
      </c>
      <c r="K28" s="376" t="s">
        <v>323</v>
      </c>
      <c r="L28" s="376" t="s">
        <v>231</v>
      </c>
      <c r="M28" s="376" t="s">
        <v>324</v>
      </c>
      <c r="N28" s="376" t="s">
        <v>172</v>
      </c>
      <c r="O28" s="379">
        <v>0</v>
      </c>
      <c r="P28" s="460">
        <v>0</v>
      </c>
      <c r="Q28" s="460">
        <v>0</v>
      </c>
      <c r="R28" s="380">
        <v>80</v>
      </c>
      <c r="S28" s="460">
        <v>0</v>
      </c>
      <c r="T28" s="380">
        <v>0</v>
      </c>
      <c r="U28" s="380">
        <v>0</v>
      </c>
      <c r="V28" s="380">
        <v>-242.71</v>
      </c>
      <c r="W28" s="380">
        <v>0</v>
      </c>
      <c r="X28" s="380">
        <v>0</v>
      </c>
      <c r="Y28" s="380">
        <v>0</v>
      </c>
      <c r="Z28" s="380">
        <v>0</v>
      </c>
      <c r="AA28" s="378"/>
      <c r="AB28" s="376" t="s">
        <v>45</v>
      </c>
      <c r="AC28" s="376" t="s">
        <v>45</v>
      </c>
      <c r="AD28" s="378"/>
      <c r="AE28" s="378"/>
      <c r="AF28" s="378"/>
      <c r="AG28" s="378"/>
      <c r="AH28" s="379">
        <v>0</v>
      </c>
      <c r="AI28" s="379">
        <v>0</v>
      </c>
      <c r="AJ28" s="378"/>
      <c r="AK28" s="378"/>
      <c r="AL28" s="376" t="s">
        <v>181</v>
      </c>
      <c r="AM28" s="378"/>
      <c r="AN28" s="378"/>
      <c r="AO28" s="379">
        <v>0</v>
      </c>
      <c r="AP28" s="460">
        <v>0</v>
      </c>
      <c r="AQ28" s="460">
        <v>0</v>
      </c>
      <c r="AR28" s="459"/>
      <c r="AS28" s="462">
        <f t="shared" si="0"/>
        <v>0</v>
      </c>
      <c r="AT28">
        <f t="shared" si="1"/>
        <v>0</v>
      </c>
      <c r="AU28" s="462" t="str">
        <f>IF(AT28=0,"",IF(AND(AT28=1,M28="F",SUMIF(C2:C391,C28,AS2:AS391)&lt;=1),SUMIF(C2:C391,C28,AS2:AS391),IF(AND(AT28=1,M28="F",SUMIF(C2:C391,C28,AS2:AS391)&gt;1),1,"")))</f>
        <v/>
      </c>
      <c r="AV28" s="462" t="str">
        <f>IF(AT28=0,"",IF(AND(AT28=3,M28="F",SUMIF(C2:C391,C28,AS2:AS391)&lt;=1),SUMIF(C2:C391,C28,AS2:AS391),IF(AND(AT28=3,M28="F",SUMIF(C2:C391,C28,AS2:AS391)&gt;1),1,"")))</f>
        <v/>
      </c>
      <c r="AW28" s="462">
        <f>SUMIF(C2:C391,C28,O2:O391)</f>
        <v>0</v>
      </c>
      <c r="AX28" s="462">
        <f>IF(AND(M28="F",AS28&lt;&gt;0),SUMIF(C2:C391,C28,W2:W391),0)</f>
        <v>0</v>
      </c>
      <c r="AY28" s="462" t="str">
        <f t="shared" si="2"/>
        <v/>
      </c>
      <c r="AZ28" s="462" t="str">
        <f t="shared" si="3"/>
        <v/>
      </c>
      <c r="BA28" s="462">
        <f t="shared" si="4"/>
        <v>0</v>
      </c>
      <c r="BB28" s="462">
        <f>IF(AND(AT28=1,AK28="E",AU28&gt;=0.75,AW28=1),Health,IF(AND(AT28=1,AK28="E",AU28&gt;=0.75),Health*P28,IF(AND(AT28=1,AK28="E",AU28&gt;=0.5,AW28=1),PTHealth,IF(AND(AT28=1,AK28="E",AU28&gt;=0.5),PTHealth*P28,0))))</f>
        <v>0</v>
      </c>
      <c r="BC28" s="462">
        <f>IF(AND(AT28=3,AK28="E",AV28&gt;=0.75,AW28=1),Health,IF(AND(AT28=3,AK28="E",AV28&gt;=0.75),Health*P28,IF(AND(AT28=3,AK28="E",AV28&gt;=0.5,AW28=1),PTHealth,IF(AND(AT28=3,AK28="E",AV28&gt;=0.5),PTHealth*P28,0))))</f>
        <v>0</v>
      </c>
      <c r="BD28" s="462">
        <f>IF(AND(AT28&lt;&gt;0,AX28&gt;=MAXSSDI),SSDI*MAXSSDI*P28,IF(AT28&lt;&gt;0,SSDI*W28,0))</f>
        <v>0</v>
      </c>
      <c r="BE28" s="462">
        <f>IF(AT28&lt;&gt;0,SSHI*W28,0)</f>
        <v>0</v>
      </c>
      <c r="BF28" s="462">
        <f>IF(AND(AT28&lt;&gt;0,AN28&lt;&gt;"NE"),VLOOKUP(AN28,Retirement_Rates,3,FALSE)*W28,0)</f>
        <v>0</v>
      </c>
      <c r="BG28" s="462">
        <f>IF(AND(AT28&lt;&gt;0,AJ28&lt;&gt;"PF"),Life*W28,0)</f>
        <v>0</v>
      </c>
      <c r="BH28" s="462">
        <f>IF(AND(AT28&lt;&gt;0,AM28="Y"),UI*W28,0)</f>
        <v>0</v>
      </c>
      <c r="BI28" s="462">
        <f>IF(AND(AT28&lt;&gt;0,N28&lt;&gt;"NR"),DHR*W28,0)</f>
        <v>0</v>
      </c>
      <c r="BJ28" s="462">
        <f>IF(AT28&lt;&gt;0,WC*W28,0)</f>
        <v>0</v>
      </c>
      <c r="BK28" s="462">
        <f>IF(OR(AND(AT28&lt;&gt;0,AJ28&lt;&gt;"PF",AN28&lt;&gt;"NE",AG28&lt;&gt;"A"),AND(AL28="E",OR(AT28=1,AT28=3))),Sick*W28,0)</f>
        <v>0</v>
      </c>
      <c r="BL28" s="462">
        <f t="shared" si="5"/>
        <v>0</v>
      </c>
      <c r="BM28" s="462">
        <f t="shared" si="6"/>
        <v>0</v>
      </c>
      <c r="BN28" s="462">
        <f>IF(AND(AT28=1,AK28="E",AU28&gt;=0.75,AW28=1),HealthBY,IF(AND(AT28=1,AK28="E",AU28&gt;=0.75),HealthBY*P28,IF(AND(AT28=1,AK28="E",AU28&gt;=0.5,AW28=1),PTHealthBY,IF(AND(AT28=1,AK28="E",AU28&gt;=0.5),PTHealthBY*P28,0))))</f>
        <v>0</v>
      </c>
      <c r="BO28" s="462">
        <f>IF(AND(AT28=3,AK28="E",AV28&gt;=0.75,AW28=1),HealthBY,IF(AND(AT28=3,AK28="E",AV28&gt;=0.75),HealthBY*P28,IF(AND(AT28=3,AK28="E",AV28&gt;=0.5,AW28=1),PTHealthBY,IF(AND(AT28=3,AK28="E",AV28&gt;=0.5),PTHealthBY*P28,0))))</f>
        <v>0</v>
      </c>
      <c r="BP28" s="462">
        <f>IF(AND(AT28&lt;&gt;0,(AX28+BA28)&gt;=MAXSSDIBY),SSDIBY*MAXSSDIBY*P28,IF(AT28&lt;&gt;0,SSDIBY*W28,0))</f>
        <v>0</v>
      </c>
      <c r="BQ28" s="462">
        <f>IF(AT28&lt;&gt;0,SSHIBY*W28,0)</f>
        <v>0</v>
      </c>
      <c r="BR28" s="462">
        <f>IF(AND(AT28&lt;&gt;0,AN28&lt;&gt;"NE"),VLOOKUP(AN28,Retirement_Rates,4,FALSE)*W28,0)</f>
        <v>0</v>
      </c>
      <c r="BS28" s="462">
        <f>IF(AND(AT28&lt;&gt;0,AJ28&lt;&gt;"PF"),LifeBY*W28,0)</f>
        <v>0</v>
      </c>
      <c r="BT28" s="462">
        <f>IF(AND(AT28&lt;&gt;0,AM28="Y"),UIBY*W28,0)</f>
        <v>0</v>
      </c>
      <c r="BU28" s="462">
        <f>IF(AND(AT28&lt;&gt;0,N28&lt;&gt;"NR"),DHRBY*W28,0)</f>
        <v>0</v>
      </c>
      <c r="BV28" s="462">
        <f>IF(AT28&lt;&gt;0,WCBY*W28,0)</f>
        <v>0</v>
      </c>
      <c r="BW28" s="462">
        <f>IF(OR(AND(AT28&lt;&gt;0,AJ28&lt;&gt;"PF",AN28&lt;&gt;"NE",AG28&lt;&gt;"A"),AND(AL28="E",OR(AT28=1,AT28=3))),SickBY*W28,0)</f>
        <v>0</v>
      </c>
      <c r="BX28" s="462">
        <f t="shared" si="7"/>
        <v>0</v>
      </c>
      <c r="BY28" s="462">
        <f t="shared" si="8"/>
        <v>0</v>
      </c>
      <c r="BZ28" s="462">
        <f t="shared" si="9"/>
        <v>0</v>
      </c>
      <c r="CA28" s="462">
        <f t="shared" si="10"/>
        <v>0</v>
      </c>
      <c r="CB28" s="462">
        <f t="shared" si="11"/>
        <v>0</v>
      </c>
      <c r="CC28" s="462">
        <f>IF(AT28&lt;&gt;0,SSHICHG*Y28,0)</f>
        <v>0</v>
      </c>
      <c r="CD28" s="462">
        <f>IF(AND(AT28&lt;&gt;0,AN28&lt;&gt;"NE"),VLOOKUP(AN28,Retirement_Rates,5,FALSE)*Y28,0)</f>
        <v>0</v>
      </c>
      <c r="CE28" s="462">
        <f>IF(AND(AT28&lt;&gt;0,AJ28&lt;&gt;"PF"),LifeCHG*Y28,0)</f>
        <v>0</v>
      </c>
      <c r="CF28" s="462">
        <f>IF(AND(AT28&lt;&gt;0,AM28="Y"),UICHG*Y28,0)</f>
        <v>0</v>
      </c>
      <c r="CG28" s="462">
        <f>IF(AND(AT28&lt;&gt;0,N28&lt;&gt;"NR"),DHRCHG*Y28,0)</f>
        <v>0</v>
      </c>
      <c r="CH28" s="462">
        <f>IF(AT28&lt;&gt;0,WCCHG*Y28,0)</f>
        <v>0</v>
      </c>
      <c r="CI28" s="462">
        <f>IF(OR(AND(AT28&lt;&gt;0,AJ28&lt;&gt;"PF",AN28&lt;&gt;"NE",AG28&lt;&gt;"A"),AND(AL28="E",OR(AT28=1,AT28=3))),SickCHG*Y28,0)</f>
        <v>0</v>
      </c>
      <c r="CJ28" s="462">
        <f t="shared" si="12"/>
        <v>0</v>
      </c>
      <c r="CK28" s="462" t="str">
        <f t="shared" si="13"/>
        <v/>
      </c>
      <c r="CL28" s="462" t="str">
        <f t="shared" si="14"/>
        <v/>
      </c>
      <c r="CM28" s="462" t="str">
        <f t="shared" si="15"/>
        <v/>
      </c>
      <c r="CN28" s="462" t="str">
        <f t="shared" si="16"/>
        <v>0243-00</v>
      </c>
    </row>
    <row r="29" spans="1:92" ht="15" thickBot="1" x14ac:dyDescent="0.35">
      <c r="A29" s="376" t="s">
        <v>161</v>
      </c>
      <c r="B29" s="376" t="s">
        <v>162</v>
      </c>
      <c r="C29" s="376" t="s">
        <v>265</v>
      </c>
      <c r="D29" s="376" t="s">
        <v>266</v>
      </c>
      <c r="E29" s="376" t="s">
        <v>273</v>
      </c>
      <c r="F29" s="377" t="s">
        <v>166</v>
      </c>
      <c r="G29" s="376" t="s">
        <v>167</v>
      </c>
      <c r="H29" s="378"/>
      <c r="I29" s="378"/>
      <c r="J29" s="376" t="s">
        <v>193</v>
      </c>
      <c r="K29" s="376" t="s">
        <v>267</v>
      </c>
      <c r="L29" s="376" t="s">
        <v>231</v>
      </c>
      <c r="M29" s="376" t="s">
        <v>171</v>
      </c>
      <c r="N29" s="376" t="s">
        <v>172</v>
      </c>
      <c r="O29" s="379">
        <v>1</v>
      </c>
      <c r="P29" s="460">
        <v>0.5</v>
      </c>
      <c r="Q29" s="460">
        <v>0.5</v>
      </c>
      <c r="R29" s="380">
        <v>80</v>
      </c>
      <c r="S29" s="460">
        <v>0.5</v>
      </c>
      <c r="T29" s="380">
        <v>20276.77</v>
      </c>
      <c r="U29" s="380">
        <v>0</v>
      </c>
      <c r="V29" s="380">
        <v>10534.74</v>
      </c>
      <c r="W29" s="380">
        <v>20696</v>
      </c>
      <c r="X29" s="380">
        <v>10750.01</v>
      </c>
      <c r="Y29" s="380">
        <v>20696</v>
      </c>
      <c r="Z29" s="380">
        <v>10810.03</v>
      </c>
      <c r="AA29" s="376" t="s">
        <v>268</v>
      </c>
      <c r="AB29" s="376" t="s">
        <v>269</v>
      </c>
      <c r="AC29" s="376" t="s">
        <v>270</v>
      </c>
      <c r="AD29" s="376" t="s">
        <v>170</v>
      </c>
      <c r="AE29" s="376" t="s">
        <v>267</v>
      </c>
      <c r="AF29" s="376" t="s">
        <v>236</v>
      </c>
      <c r="AG29" s="376" t="s">
        <v>178</v>
      </c>
      <c r="AH29" s="381">
        <v>19.899999999999999</v>
      </c>
      <c r="AI29" s="381">
        <v>12501.9</v>
      </c>
      <c r="AJ29" s="376" t="s">
        <v>179</v>
      </c>
      <c r="AK29" s="376" t="s">
        <v>180</v>
      </c>
      <c r="AL29" s="376" t="s">
        <v>181</v>
      </c>
      <c r="AM29" s="376" t="s">
        <v>182</v>
      </c>
      <c r="AN29" s="376" t="s">
        <v>68</v>
      </c>
      <c r="AO29" s="379">
        <v>80</v>
      </c>
      <c r="AP29" s="460">
        <v>1</v>
      </c>
      <c r="AQ29" s="460">
        <v>0.5</v>
      </c>
      <c r="AR29" s="458" t="s">
        <v>183</v>
      </c>
      <c r="AS29" s="462">
        <f t="shared" si="0"/>
        <v>0.5</v>
      </c>
      <c r="AT29">
        <f t="shared" si="1"/>
        <v>1</v>
      </c>
      <c r="AU29" s="462">
        <f>IF(AT29=0,"",IF(AND(AT29=1,M29="F",SUMIF(C2:C391,C29,AS2:AS391)&lt;=1),SUMIF(C2:C391,C29,AS2:AS391),IF(AND(AT29=1,M29="F",SUMIF(C2:C391,C29,AS2:AS391)&gt;1),1,"")))</f>
        <v>1</v>
      </c>
      <c r="AV29" s="462" t="str">
        <f>IF(AT29=0,"",IF(AND(AT29=3,M29="F",SUMIF(C2:C391,C29,AS2:AS391)&lt;=1),SUMIF(C2:C391,C29,AS2:AS391),IF(AND(AT29=3,M29="F",SUMIF(C2:C391,C29,AS2:AS391)&gt;1),1,"")))</f>
        <v/>
      </c>
      <c r="AW29" s="462">
        <f>SUMIF(C2:C391,C29,O2:O391)</f>
        <v>2</v>
      </c>
      <c r="AX29" s="462">
        <f>IF(AND(M29="F",AS29&lt;&gt;0),SUMIF(C2:C391,C29,W2:W391),0)</f>
        <v>41392</v>
      </c>
      <c r="AY29" s="462">
        <f t="shared" si="2"/>
        <v>20696</v>
      </c>
      <c r="AZ29" s="462" t="str">
        <f t="shared" si="3"/>
        <v/>
      </c>
      <c r="BA29" s="462">
        <f t="shared" si="4"/>
        <v>0</v>
      </c>
      <c r="BB29" s="462">
        <f>IF(AND(AT29=1,AK29="E",AU29&gt;=0.75,AW29=1),Health,IF(AND(AT29=1,AK29="E",AU29&gt;=0.75),Health*P29,IF(AND(AT29=1,AK29="E",AU29&gt;=0.5,AW29=1),PTHealth,IF(AND(AT29=1,AK29="E",AU29&gt;=0.5),PTHealth*P29,0))))</f>
        <v>5825</v>
      </c>
      <c r="BC29" s="462">
        <f>IF(AND(AT29=3,AK29="E",AV29&gt;=0.75,AW29=1),Health,IF(AND(AT29=3,AK29="E",AV29&gt;=0.75),Health*P29,IF(AND(AT29=3,AK29="E",AV29&gt;=0.5,AW29=1),PTHealth,IF(AND(AT29=3,AK29="E",AV29&gt;=0.5),PTHealth*P29,0))))</f>
        <v>0</v>
      </c>
      <c r="BD29" s="462">
        <f>IF(AND(AT29&lt;&gt;0,AX29&gt;=MAXSSDI),SSDI*MAXSSDI*P29,IF(AT29&lt;&gt;0,SSDI*W29,0))</f>
        <v>1283.152</v>
      </c>
      <c r="BE29" s="462">
        <f>IF(AT29&lt;&gt;0,SSHI*W29,0)</f>
        <v>300.09200000000004</v>
      </c>
      <c r="BF29" s="462">
        <f>IF(AND(AT29&lt;&gt;0,AN29&lt;&gt;"NE"),VLOOKUP(AN29,Retirement_Rates,3,FALSE)*W29,0)</f>
        <v>2471.1024000000002</v>
      </c>
      <c r="BG29" s="462">
        <f>IF(AND(AT29&lt;&gt;0,AJ29&lt;&gt;"PF"),Life*W29,0)</f>
        <v>149.21816000000001</v>
      </c>
      <c r="BH29" s="462">
        <f>IF(AND(AT29&lt;&gt;0,AM29="Y"),UI*W29,0)</f>
        <v>101.4104</v>
      </c>
      <c r="BI29" s="462">
        <f>IF(AND(AT29&lt;&gt;0,N29&lt;&gt;"NR"),DHR*W29,0)</f>
        <v>63.329759999999993</v>
      </c>
      <c r="BJ29" s="462">
        <f>IF(AT29&lt;&gt;0,WC*W29,0)</f>
        <v>556.72239999999999</v>
      </c>
      <c r="BK29" s="462">
        <f>IF(OR(AND(AT29&lt;&gt;0,AJ29&lt;&gt;"PF",AN29&lt;&gt;"NE",AG29&lt;&gt;"A"),AND(AL29="E",OR(AT29=1,AT29=3))),Sick*W29,0)</f>
        <v>0</v>
      </c>
      <c r="BL29" s="462">
        <f t="shared" si="5"/>
        <v>4925.0271199999997</v>
      </c>
      <c r="BM29" s="462">
        <f t="shared" si="6"/>
        <v>0</v>
      </c>
      <c r="BN29" s="462">
        <f>IF(AND(AT29=1,AK29="E",AU29&gt;=0.75,AW29=1),HealthBY,IF(AND(AT29=1,AK29="E",AU29&gt;=0.75),HealthBY*P29,IF(AND(AT29=1,AK29="E",AU29&gt;=0.5,AW29=1),PTHealthBY,IF(AND(AT29=1,AK29="E",AU29&gt;=0.5),PTHealthBY*P29,0))))</f>
        <v>5825</v>
      </c>
      <c r="BO29" s="462">
        <f>IF(AND(AT29=3,AK29="E",AV29&gt;=0.75,AW29=1),HealthBY,IF(AND(AT29=3,AK29="E",AV29&gt;=0.75),HealthBY*P29,IF(AND(AT29=3,AK29="E",AV29&gt;=0.5,AW29=1),PTHealthBY,IF(AND(AT29=3,AK29="E",AV29&gt;=0.5),PTHealthBY*P29,0))))</f>
        <v>0</v>
      </c>
      <c r="BP29" s="462">
        <f>IF(AND(AT29&lt;&gt;0,(AX29+BA29)&gt;=MAXSSDIBY),SSDIBY*MAXSSDIBY*P29,IF(AT29&lt;&gt;0,SSDIBY*W29,0))</f>
        <v>1283.152</v>
      </c>
      <c r="BQ29" s="462">
        <f>IF(AT29&lt;&gt;0,SSHIBY*W29,0)</f>
        <v>300.09200000000004</v>
      </c>
      <c r="BR29" s="462">
        <f>IF(AND(AT29&lt;&gt;0,AN29&lt;&gt;"NE"),VLOOKUP(AN29,Retirement_Rates,4,FALSE)*W29,0)</f>
        <v>2471.1024000000002</v>
      </c>
      <c r="BS29" s="462">
        <f>IF(AND(AT29&lt;&gt;0,AJ29&lt;&gt;"PF"),LifeBY*W29,0)</f>
        <v>149.21816000000001</v>
      </c>
      <c r="BT29" s="462">
        <f>IF(AND(AT29&lt;&gt;0,AM29="Y"),UIBY*W29,0)</f>
        <v>0</v>
      </c>
      <c r="BU29" s="462">
        <f>IF(AND(AT29&lt;&gt;0,N29&lt;&gt;"NR"),DHRBY*W29,0)</f>
        <v>63.329759999999993</v>
      </c>
      <c r="BV29" s="462">
        <f>IF(AT29&lt;&gt;0,WCBY*W29,0)</f>
        <v>718.15120000000002</v>
      </c>
      <c r="BW29" s="462">
        <f>IF(OR(AND(AT29&lt;&gt;0,AJ29&lt;&gt;"PF",AN29&lt;&gt;"NE",AG29&lt;&gt;"A"),AND(AL29="E",OR(AT29=1,AT29=3))),SickBY*W29,0)</f>
        <v>0</v>
      </c>
      <c r="BX29" s="462">
        <f t="shared" si="7"/>
        <v>4985.0455200000006</v>
      </c>
      <c r="BY29" s="462">
        <f t="shared" si="8"/>
        <v>0</v>
      </c>
      <c r="BZ29" s="462">
        <f t="shared" si="9"/>
        <v>0</v>
      </c>
      <c r="CA29" s="462">
        <f t="shared" si="10"/>
        <v>0</v>
      </c>
      <c r="CB29" s="462">
        <f t="shared" si="11"/>
        <v>0</v>
      </c>
      <c r="CC29" s="462">
        <f>IF(AT29&lt;&gt;0,SSHICHG*Y29,0)</f>
        <v>0</v>
      </c>
      <c r="CD29" s="462">
        <f>IF(AND(AT29&lt;&gt;0,AN29&lt;&gt;"NE"),VLOOKUP(AN29,Retirement_Rates,5,FALSE)*Y29,0)</f>
        <v>0</v>
      </c>
      <c r="CE29" s="462">
        <f>IF(AND(AT29&lt;&gt;0,AJ29&lt;&gt;"PF"),LifeCHG*Y29,0)</f>
        <v>0</v>
      </c>
      <c r="CF29" s="462">
        <f>IF(AND(AT29&lt;&gt;0,AM29="Y"),UICHG*Y29,0)</f>
        <v>-101.4104</v>
      </c>
      <c r="CG29" s="462">
        <f>IF(AND(AT29&lt;&gt;0,N29&lt;&gt;"NR"),DHRCHG*Y29,0)</f>
        <v>0</v>
      </c>
      <c r="CH29" s="462">
        <f>IF(AT29&lt;&gt;0,WCCHG*Y29,0)</f>
        <v>161.42880000000002</v>
      </c>
      <c r="CI29" s="462">
        <f>IF(OR(AND(AT29&lt;&gt;0,AJ29&lt;&gt;"PF",AN29&lt;&gt;"NE",AG29&lt;&gt;"A"),AND(AL29="E",OR(AT29=1,AT29=3))),SickCHG*Y29,0)</f>
        <v>0</v>
      </c>
      <c r="CJ29" s="462">
        <f t="shared" si="12"/>
        <v>60.018400000000028</v>
      </c>
      <c r="CK29" s="462" t="str">
        <f t="shared" si="13"/>
        <v/>
      </c>
      <c r="CL29" s="462" t="str">
        <f t="shared" si="14"/>
        <v/>
      </c>
      <c r="CM29" s="462" t="str">
        <f t="shared" si="15"/>
        <v/>
      </c>
      <c r="CN29" s="462" t="str">
        <f t="shared" si="16"/>
        <v>0243-00</v>
      </c>
    </row>
    <row r="30" spans="1:92" ht="15" thickBot="1" x14ac:dyDescent="0.35">
      <c r="A30" s="376" t="s">
        <v>161</v>
      </c>
      <c r="B30" s="376" t="s">
        <v>162</v>
      </c>
      <c r="C30" s="376" t="s">
        <v>212</v>
      </c>
      <c r="D30" s="376" t="s">
        <v>213</v>
      </c>
      <c r="E30" s="376" t="s">
        <v>273</v>
      </c>
      <c r="F30" s="377" t="s">
        <v>166</v>
      </c>
      <c r="G30" s="376" t="s">
        <v>167</v>
      </c>
      <c r="H30" s="378"/>
      <c r="I30" s="378"/>
      <c r="J30" s="376" t="s">
        <v>193</v>
      </c>
      <c r="K30" s="376" t="s">
        <v>214</v>
      </c>
      <c r="L30" s="376" t="s">
        <v>215</v>
      </c>
      <c r="M30" s="376" t="s">
        <v>171</v>
      </c>
      <c r="N30" s="376" t="s">
        <v>172</v>
      </c>
      <c r="O30" s="379">
        <v>1</v>
      </c>
      <c r="P30" s="460">
        <v>0.3</v>
      </c>
      <c r="Q30" s="460">
        <v>0.3</v>
      </c>
      <c r="R30" s="380">
        <v>80</v>
      </c>
      <c r="S30" s="460">
        <v>0.3</v>
      </c>
      <c r="T30" s="380">
        <v>36142.15</v>
      </c>
      <c r="U30" s="380">
        <v>0</v>
      </c>
      <c r="V30" s="380">
        <v>13417.15</v>
      </c>
      <c r="W30" s="380">
        <v>22201.919999999998</v>
      </c>
      <c r="X30" s="380">
        <v>8778.3799999999992</v>
      </c>
      <c r="Y30" s="380">
        <v>22201.919999999998</v>
      </c>
      <c r="Z30" s="380">
        <v>8842.76</v>
      </c>
      <c r="AA30" s="376" t="s">
        <v>216</v>
      </c>
      <c r="AB30" s="376" t="s">
        <v>217</v>
      </c>
      <c r="AC30" s="376" t="s">
        <v>218</v>
      </c>
      <c r="AD30" s="376" t="s">
        <v>176</v>
      </c>
      <c r="AE30" s="376" t="s">
        <v>214</v>
      </c>
      <c r="AF30" s="376" t="s">
        <v>219</v>
      </c>
      <c r="AG30" s="376" t="s">
        <v>178</v>
      </c>
      <c r="AH30" s="381">
        <v>35.58</v>
      </c>
      <c r="AI30" s="379">
        <v>5840</v>
      </c>
      <c r="AJ30" s="376" t="s">
        <v>179</v>
      </c>
      <c r="AK30" s="376" t="s">
        <v>180</v>
      </c>
      <c r="AL30" s="376" t="s">
        <v>181</v>
      </c>
      <c r="AM30" s="376" t="s">
        <v>182</v>
      </c>
      <c r="AN30" s="376" t="s">
        <v>68</v>
      </c>
      <c r="AO30" s="379">
        <v>80</v>
      </c>
      <c r="AP30" s="460">
        <v>1</v>
      </c>
      <c r="AQ30" s="460">
        <v>0.3</v>
      </c>
      <c r="AR30" s="458" t="s">
        <v>183</v>
      </c>
      <c r="AS30" s="462">
        <f t="shared" si="0"/>
        <v>0.3</v>
      </c>
      <c r="AT30">
        <f t="shared" si="1"/>
        <v>1</v>
      </c>
      <c r="AU30" s="462">
        <f>IF(AT30=0,"",IF(AND(AT30=1,M30="F",SUMIF(C2:C391,C30,AS2:AS391)&lt;=1),SUMIF(C2:C391,C30,AS2:AS391),IF(AND(AT30=1,M30="F",SUMIF(C2:C391,C30,AS2:AS391)&gt;1),1,"")))</f>
        <v>1</v>
      </c>
      <c r="AV30" s="462" t="str">
        <f>IF(AT30=0,"",IF(AND(AT30=3,M30="F",SUMIF(C2:C391,C30,AS2:AS391)&lt;=1),SUMIF(C2:C391,C30,AS2:AS391),IF(AND(AT30=3,M30="F",SUMIF(C2:C391,C30,AS2:AS391)&gt;1),1,"")))</f>
        <v/>
      </c>
      <c r="AW30" s="462">
        <f>SUMIF(C2:C391,C30,O2:O391)</f>
        <v>2</v>
      </c>
      <c r="AX30" s="462">
        <f>IF(AND(M30="F",AS30&lt;&gt;0),SUMIF(C2:C391,C30,W2:W391),0)</f>
        <v>74006.399999999994</v>
      </c>
      <c r="AY30" s="462">
        <f t="shared" si="2"/>
        <v>22201.919999999998</v>
      </c>
      <c r="AZ30" s="462" t="str">
        <f t="shared" si="3"/>
        <v/>
      </c>
      <c r="BA30" s="462">
        <f t="shared" si="4"/>
        <v>0</v>
      </c>
      <c r="BB30" s="462">
        <f>IF(AND(AT30=1,AK30="E",AU30&gt;=0.75,AW30=1),Health,IF(AND(AT30=1,AK30="E",AU30&gt;=0.75),Health*P30,IF(AND(AT30=1,AK30="E",AU30&gt;=0.5,AW30=1),PTHealth,IF(AND(AT30=1,AK30="E",AU30&gt;=0.5),PTHealth*P30,0))))</f>
        <v>3495</v>
      </c>
      <c r="BC30" s="462">
        <f>IF(AND(AT30=3,AK30="E",AV30&gt;=0.75,AW30=1),Health,IF(AND(AT30=3,AK30="E",AV30&gt;=0.75),Health*P30,IF(AND(AT30=3,AK30="E",AV30&gt;=0.5,AW30=1),PTHealth,IF(AND(AT30=3,AK30="E",AV30&gt;=0.5),PTHealth*P30,0))))</f>
        <v>0</v>
      </c>
      <c r="BD30" s="462">
        <f>IF(AND(AT30&lt;&gt;0,AX30&gt;=MAXSSDI),SSDI*MAXSSDI*P30,IF(AT30&lt;&gt;0,SSDI*W30,0))</f>
        <v>1376.5190399999999</v>
      </c>
      <c r="BE30" s="462">
        <f>IF(AT30&lt;&gt;0,SSHI*W30,0)</f>
        <v>321.92784</v>
      </c>
      <c r="BF30" s="462">
        <f>IF(AND(AT30&lt;&gt;0,AN30&lt;&gt;"NE"),VLOOKUP(AN30,Retirement_Rates,3,FALSE)*W30,0)</f>
        <v>2650.9092479999999</v>
      </c>
      <c r="BG30" s="462">
        <f>IF(AND(AT30&lt;&gt;0,AJ30&lt;&gt;"PF"),Life*W30,0)</f>
        <v>160.07584319999998</v>
      </c>
      <c r="BH30" s="462">
        <f>IF(AND(AT30&lt;&gt;0,AM30="Y"),UI*W30,0)</f>
        <v>108.78940799999999</v>
      </c>
      <c r="BI30" s="462">
        <f>IF(AND(AT30&lt;&gt;0,N30&lt;&gt;"NR"),DHR*W30,0)</f>
        <v>67.937875199999993</v>
      </c>
      <c r="BJ30" s="462">
        <f>IF(AT30&lt;&gt;0,WC*W30,0)</f>
        <v>597.23164799999995</v>
      </c>
      <c r="BK30" s="462">
        <f>IF(OR(AND(AT30&lt;&gt;0,AJ30&lt;&gt;"PF",AN30&lt;&gt;"NE",AG30&lt;&gt;"A"),AND(AL30="E",OR(AT30=1,AT30=3))),Sick*W30,0)</f>
        <v>0</v>
      </c>
      <c r="BL30" s="462">
        <f t="shared" si="5"/>
        <v>5283.3909023999995</v>
      </c>
      <c r="BM30" s="462">
        <f t="shared" si="6"/>
        <v>0</v>
      </c>
      <c r="BN30" s="462">
        <f>IF(AND(AT30=1,AK30="E",AU30&gt;=0.75,AW30=1),HealthBY,IF(AND(AT30=1,AK30="E",AU30&gt;=0.75),HealthBY*P30,IF(AND(AT30=1,AK30="E",AU30&gt;=0.5,AW30=1),PTHealthBY,IF(AND(AT30=1,AK30="E",AU30&gt;=0.5),PTHealthBY*P30,0))))</f>
        <v>3495</v>
      </c>
      <c r="BO30" s="462">
        <f>IF(AND(AT30=3,AK30="E",AV30&gt;=0.75,AW30=1),HealthBY,IF(AND(AT30=3,AK30="E",AV30&gt;=0.75),HealthBY*P30,IF(AND(AT30=3,AK30="E",AV30&gt;=0.5,AW30=1),PTHealthBY,IF(AND(AT30=3,AK30="E",AV30&gt;=0.5),PTHealthBY*P30,0))))</f>
        <v>0</v>
      </c>
      <c r="BP30" s="462">
        <f>IF(AND(AT30&lt;&gt;0,(AX30+BA30)&gt;=MAXSSDIBY),SSDIBY*MAXSSDIBY*P30,IF(AT30&lt;&gt;0,SSDIBY*W30,0))</f>
        <v>1376.5190399999999</v>
      </c>
      <c r="BQ30" s="462">
        <f>IF(AT30&lt;&gt;0,SSHIBY*W30,0)</f>
        <v>321.92784</v>
      </c>
      <c r="BR30" s="462">
        <f>IF(AND(AT30&lt;&gt;0,AN30&lt;&gt;"NE"),VLOOKUP(AN30,Retirement_Rates,4,FALSE)*W30,0)</f>
        <v>2650.9092479999999</v>
      </c>
      <c r="BS30" s="462">
        <f>IF(AND(AT30&lt;&gt;0,AJ30&lt;&gt;"PF"),LifeBY*W30,0)</f>
        <v>160.07584319999998</v>
      </c>
      <c r="BT30" s="462">
        <f>IF(AND(AT30&lt;&gt;0,AM30="Y"),UIBY*W30,0)</f>
        <v>0</v>
      </c>
      <c r="BU30" s="462">
        <f>IF(AND(AT30&lt;&gt;0,N30&lt;&gt;"NR"),DHRBY*W30,0)</f>
        <v>67.937875199999993</v>
      </c>
      <c r="BV30" s="462">
        <f>IF(AT30&lt;&gt;0,WCBY*W30,0)</f>
        <v>770.40662399999997</v>
      </c>
      <c r="BW30" s="462">
        <f>IF(OR(AND(AT30&lt;&gt;0,AJ30&lt;&gt;"PF",AN30&lt;&gt;"NE",AG30&lt;&gt;"A"),AND(AL30="E",OR(AT30=1,AT30=3))),SickBY*W30,0)</f>
        <v>0</v>
      </c>
      <c r="BX30" s="462">
        <f t="shared" si="7"/>
        <v>5347.7764704000001</v>
      </c>
      <c r="BY30" s="462">
        <f t="shared" si="8"/>
        <v>0</v>
      </c>
      <c r="BZ30" s="462">
        <f t="shared" si="9"/>
        <v>0</v>
      </c>
      <c r="CA30" s="462">
        <f t="shared" si="10"/>
        <v>0</v>
      </c>
      <c r="CB30" s="462">
        <f t="shared" si="11"/>
        <v>0</v>
      </c>
      <c r="CC30" s="462">
        <f>IF(AT30&lt;&gt;0,SSHICHG*Y30,0)</f>
        <v>0</v>
      </c>
      <c r="CD30" s="462">
        <f>IF(AND(AT30&lt;&gt;0,AN30&lt;&gt;"NE"),VLOOKUP(AN30,Retirement_Rates,5,FALSE)*Y30,0)</f>
        <v>0</v>
      </c>
      <c r="CE30" s="462">
        <f>IF(AND(AT30&lt;&gt;0,AJ30&lt;&gt;"PF"),LifeCHG*Y30,0)</f>
        <v>0</v>
      </c>
      <c r="CF30" s="462">
        <f>IF(AND(AT30&lt;&gt;0,AM30="Y"),UICHG*Y30,0)</f>
        <v>-108.78940799999999</v>
      </c>
      <c r="CG30" s="462">
        <f>IF(AND(AT30&lt;&gt;0,N30&lt;&gt;"NR"),DHRCHG*Y30,0)</f>
        <v>0</v>
      </c>
      <c r="CH30" s="462">
        <f>IF(AT30&lt;&gt;0,WCCHG*Y30,0)</f>
        <v>173.17497600000002</v>
      </c>
      <c r="CI30" s="462">
        <f>IF(OR(AND(AT30&lt;&gt;0,AJ30&lt;&gt;"PF",AN30&lt;&gt;"NE",AG30&lt;&gt;"A"),AND(AL30="E",OR(AT30=1,AT30=3))),SickCHG*Y30,0)</f>
        <v>0</v>
      </c>
      <c r="CJ30" s="462">
        <f t="shared" si="12"/>
        <v>64.385568000000021</v>
      </c>
      <c r="CK30" s="462" t="str">
        <f t="shared" si="13"/>
        <v/>
      </c>
      <c r="CL30" s="462" t="str">
        <f t="shared" si="14"/>
        <v/>
      </c>
      <c r="CM30" s="462" t="str">
        <f t="shared" si="15"/>
        <v/>
      </c>
      <c r="CN30" s="462" t="str">
        <f t="shared" si="16"/>
        <v>0243-00</v>
      </c>
    </row>
    <row r="31" spans="1:92" ht="15" thickBot="1" x14ac:dyDescent="0.35">
      <c r="A31" s="376" t="s">
        <v>161</v>
      </c>
      <c r="B31" s="376" t="s">
        <v>162</v>
      </c>
      <c r="C31" s="376" t="s">
        <v>325</v>
      </c>
      <c r="D31" s="376" t="s">
        <v>326</v>
      </c>
      <c r="E31" s="376" t="s">
        <v>273</v>
      </c>
      <c r="F31" s="377" t="s">
        <v>166</v>
      </c>
      <c r="G31" s="376" t="s">
        <v>167</v>
      </c>
      <c r="H31" s="378"/>
      <c r="I31" s="378"/>
      <c r="J31" s="376" t="s">
        <v>193</v>
      </c>
      <c r="K31" s="376" t="s">
        <v>327</v>
      </c>
      <c r="L31" s="376" t="s">
        <v>170</v>
      </c>
      <c r="M31" s="376" t="s">
        <v>324</v>
      </c>
      <c r="N31" s="376" t="s">
        <v>172</v>
      </c>
      <c r="O31" s="379">
        <v>0</v>
      </c>
      <c r="P31" s="460">
        <v>0</v>
      </c>
      <c r="Q31" s="460">
        <v>0</v>
      </c>
      <c r="R31" s="380">
        <v>80</v>
      </c>
      <c r="S31" s="460">
        <v>0</v>
      </c>
      <c r="T31" s="380">
        <v>0</v>
      </c>
      <c r="U31" s="380">
        <v>0</v>
      </c>
      <c r="V31" s="380">
        <v>-242.71</v>
      </c>
      <c r="W31" s="380">
        <v>0</v>
      </c>
      <c r="X31" s="380">
        <v>0</v>
      </c>
      <c r="Y31" s="380">
        <v>0</v>
      </c>
      <c r="Z31" s="380">
        <v>0</v>
      </c>
      <c r="AA31" s="378"/>
      <c r="AB31" s="376" t="s">
        <v>45</v>
      </c>
      <c r="AC31" s="376" t="s">
        <v>45</v>
      </c>
      <c r="AD31" s="378"/>
      <c r="AE31" s="378"/>
      <c r="AF31" s="378"/>
      <c r="AG31" s="378"/>
      <c r="AH31" s="379">
        <v>0</v>
      </c>
      <c r="AI31" s="379">
        <v>0</v>
      </c>
      <c r="AJ31" s="378"/>
      <c r="AK31" s="378"/>
      <c r="AL31" s="376" t="s">
        <v>181</v>
      </c>
      <c r="AM31" s="378"/>
      <c r="AN31" s="378"/>
      <c r="AO31" s="379">
        <v>0</v>
      </c>
      <c r="AP31" s="460">
        <v>0</v>
      </c>
      <c r="AQ31" s="460">
        <v>0</v>
      </c>
      <c r="AR31" s="459"/>
      <c r="AS31" s="462">
        <f t="shared" si="0"/>
        <v>0</v>
      </c>
      <c r="AT31">
        <f t="shared" si="1"/>
        <v>0</v>
      </c>
      <c r="AU31" s="462" t="str">
        <f>IF(AT31=0,"",IF(AND(AT31=1,M31="F",SUMIF(C2:C391,C31,AS2:AS391)&lt;=1),SUMIF(C2:C391,C31,AS2:AS391),IF(AND(AT31=1,M31="F",SUMIF(C2:C391,C31,AS2:AS391)&gt;1),1,"")))</f>
        <v/>
      </c>
      <c r="AV31" s="462" t="str">
        <f>IF(AT31=0,"",IF(AND(AT31=3,M31="F",SUMIF(C2:C391,C31,AS2:AS391)&lt;=1),SUMIF(C2:C391,C31,AS2:AS391),IF(AND(AT31=3,M31="F",SUMIF(C2:C391,C31,AS2:AS391)&gt;1),1,"")))</f>
        <v/>
      </c>
      <c r="AW31" s="462">
        <f>SUMIF(C2:C391,C31,O2:O391)</f>
        <v>0</v>
      </c>
      <c r="AX31" s="462">
        <f>IF(AND(M31="F",AS31&lt;&gt;0),SUMIF(C2:C391,C31,W2:W391),0)</f>
        <v>0</v>
      </c>
      <c r="AY31" s="462" t="str">
        <f t="shared" si="2"/>
        <v/>
      </c>
      <c r="AZ31" s="462" t="str">
        <f t="shared" si="3"/>
        <v/>
      </c>
      <c r="BA31" s="462">
        <f t="shared" si="4"/>
        <v>0</v>
      </c>
      <c r="BB31" s="462">
        <f>IF(AND(AT31=1,AK31="E",AU31&gt;=0.75,AW31=1),Health,IF(AND(AT31=1,AK31="E",AU31&gt;=0.75),Health*P31,IF(AND(AT31=1,AK31="E",AU31&gt;=0.5,AW31=1),PTHealth,IF(AND(AT31=1,AK31="E",AU31&gt;=0.5),PTHealth*P31,0))))</f>
        <v>0</v>
      </c>
      <c r="BC31" s="462">
        <f>IF(AND(AT31=3,AK31="E",AV31&gt;=0.75,AW31=1),Health,IF(AND(AT31=3,AK31="E",AV31&gt;=0.75),Health*P31,IF(AND(AT31=3,AK31="E",AV31&gt;=0.5,AW31=1),PTHealth,IF(AND(AT31=3,AK31="E",AV31&gt;=0.5),PTHealth*P31,0))))</f>
        <v>0</v>
      </c>
      <c r="BD31" s="462">
        <f>IF(AND(AT31&lt;&gt;0,AX31&gt;=MAXSSDI),SSDI*MAXSSDI*P31,IF(AT31&lt;&gt;0,SSDI*W31,0))</f>
        <v>0</v>
      </c>
      <c r="BE31" s="462">
        <f>IF(AT31&lt;&gt;0,SSHI*W31,0)</f>
        <v>0</v>
      </c>
      <c r="BF31" s="462">
        <f>IF(AND(AT31&lt;&gt;0,AN31&lt;&gt;"NE"),VLOOKUP(AN31,Retirement_Rates,3,FALSE)*W31,0)</f>
        <v>0</v>
      </c>
      <c r="BG31" s="462">
        <f>IF(AND(AT31&lt;&gt;0,AJ31&lt;&gt;"PF"),Life*W31,0)</f>
        <v>0</v>
      </c>
      <c r="BH31" s="462">
        <f>IF(AND(AT31&lt;&gt;0,AM31="Y"),UI*W31,0)</f>
        <v>0</v>
      </c>
      <c r="BI31" s="462">
        <f>IF(AND(AT31&lt;&gt;0,N31&lt;&gt;"NR"),DHR*W31,0)</f>
        <v>0</v>
      </c>
      <c r="BJ31" s="462">
        <f>IF(AT31&lt;&gt;0,WC*W31,0)</f>
        <v>0</v>
      </c>
      <c r="BK31" s="462">
        <f>IF(OR(AND(AT31&lt;&gt;0,AJ31&lt;&gt;"PF",AN31&lt;&gt;"NE",AG31&lt;&gt;"A"),AND(AL31="E",OR(AT31=1,AT31=3))),Sick*W31,0)</f>
        <v>0</v>
      </c>
      <c r="BL31" s="462">
        <f t="shared" si="5"/>
        <v>0</v>
      </c>
      <c r="BM31" s="462">
        <f t="shared" si="6"/>
        <v>0</v>
      </c>
      <c r="BN31" s="462">
        <f>IF(AND(AT31=1,AK31="E",AU31&gt;=0.75,AW31=1),HealthBY,IF(AND(AT31=1,AK31="E",AU31&gt;=0.75),HealthBY*P31,IF(AND(AT31=1,AK31="E",AU31&gt;=0.5,AW31=1),PTHealthBY,IF(AND(AT31=1,AK31="E",AU31&gt;=0.5),PTHealthBY*P31,0))))</f>
        <v>0</v>
      </c>
      <c r="BO31" s="462">
        <f>IF(AND(AT31=3,AK31="E",AV31&gt;=0.75,AW31=1),HealthBY,IF(AND(AT31=3,AK31="E",AV31&gt;=0.75),HealthBY*P31,IF(AND(AT31=3,AK31="E",AV31&gt;=0.5,AW31=1),PTHealthBY,IF(AND(AT31=3,AK31="E",AV31&gt;=0.5),PTHealthBY*P31,0))))</f>
        <v>0</v>
      </c>
      <c r="BP31" s="462">
        <f>IF(AND(AT31&lt;&gt;0,(AX31+BA31)&gt;=MAXSSDIBY),SSDIBY*MAXSSDIBY*P31,IF(AT31&lt;&gt;0,SSDIBY*W31,0))</f>
        <v>0</v>
      </c>
      <c r="BQ31" s="462">
        <f>IF(AT31&lt;&gt;0,SSHIBY*W31,0)</f>
        <v>0</v>
      </c>
      <c r="BR31" s="462">
        <f>IF(AND(AT31&lt;&gt;0,AN31&lt;&gt;"NE"),VLOOKUP(AN31,Retirement_Rates,4,FALSE)*W31,0)</f>
        <v>0</v>
      </c>
      <c r="BS31" s="462">
        <f>IF(AND(AT31&lt;&gt;0,AJ31&lt;&gt;"PF"),LifeBY*W31,0)</f>
        <v>0</v>
      </c>
      <c r="BT31" s="462">
        <f>IF(AND(AT31&lt;&gt;0,AM31="Y"),UIBY*W31,0)</f>
        <v>0</v>
      </c>
      <c r="BU31" s="462">
        <f>IF(AND(AT31&lt;&gt;0,N31&lt;&gt;"NR"),DHRBY*W31,0)</f>
        <v>0</v>
      </c>
      <c r="BV31" s="462">
        <f>IF(AT31&lt;&gt;0,WCBY*W31,0)</f>
        <v>0</v>
      </c>
      <c r="BW31" s="462">
        <f>IF(OR(AND(AT31&lt;&gt;0,AJ31&lt;&gt;"PF",AN31&lt;&gt;"NE",AG31&lt;&gt;"A"),AND(AL31="E",OR(AT31=1,AT31=3))),SickBY*W31,0)</f>
        <v>0</v>
      </c>
      <c r="BX31" s="462">
        <f t="shared" si="7"/>
        <v>0</v>
      </c>
      <c r="BY31" s="462">
        <f t="shared" si="8"/>
        <v>0</v>
      </c>
      <c r="BZ31" s="462">
        <f t="shared" si="9"/>
        <v>0</v>
      </c>
      <c r="CA31" s="462">
        <f t="shared" si="10"/>
        <v>0</v>
      </c>
      <c r="CB31" s="462">
        <f t="shared" si="11"/>
        <v>0</v>
      </c>
      <c r="CC31" s="462">
        <f>IF(AT31&lt;&gt;0,SSHICHG*Y31,0)</f>
        <v>0</v>
      </c>
      <c r="CD31" s="462">
        <f>IF(AND(AT31&lt;&gt;0,AN31&lt;&gt;"NE"),VLOOKUP(AN31,Retirement_Rates,5,FALSE)*Y31,0)</f>
        <v>0</v>
      </c>
      <c r="CE31" s="462">
        <f>IF(AND(AT31&lt;&gt;0,AJ31&lt;&gt;"PF"),LifeCHG*Y31,0)</f>
        <v>0</v>
      </c>
      <c r="CF31" s="462">
        <f>IF(AND(AT31&lt;&gt;0,AM31="Y"),UICHG*Y31,0)</f>
        <v>0</v>
      </c>
      <c r="CG31" s="462">
        <f>IF(AND(AT31&lt;&gt;0,N31&lt;&gt;"NR"),DHRCHG*Y31,0)</f>
        <v>0</v>
      </c>
      <c r="CH31" s="462">
        <f>IF(AT31&lt;&gt;0,WCCHG*Y31,0)</f>
        <v>0</v>
      </c>
      <c r="CI31" s="462">
        <f>IF(OR(AND(AT31&lt;&gt;0,AJ31&lt;&gt;"PF",AN31&lt;&gt;"NE",AG31&lt;&gt;"A"),AND(AL31="E",OR(AT31=1,AT31=3))),SickCHG*Y31,0)</f>
        <v>0</v>
      </c>
      <c r="CJ31" s="462">
        <f t="shared" si="12"/>
        <v>0</v>
      </c>
      <c r="CK31" s="462" t="str">
        <f t="shared" si="13"/>
        <v/>
      </c>
      <c r="CL31" s="462" t="str">
        <f t="shared" si="14"/>
        <v/>
      </c>
      <c r="CM31" s="462" t="str">
        <f t="shared" si="15"/>
        <v/>
      </c>
      <c r="CN31" s="462" t="str">
        <f t="shared" si="16"/>
        <v>0243-00</v>
      </c>
    </row>
    <row r="32" spans="1:92" ht="15" thickBot="1" x14ac:dyDescent="0.35">
      <c r="A32" s="376" t="s">
        <v>161</v>
      </c>
      <c r="B32" s="376" t="s">
        <v>162</v>
      </c>
      <c r="C32" s="376" t="s">
        <v>328</v>
      </c>
      <c r="D32" s="376" t="s">
        <v>329</v>
      </c>
      <c r="E32" s="376" t="s">
        <v>273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330</v>
      </c>
      <c r="L32" s="376" t="s">
        <v>240</v>
      </c>
      <c r="M32" s="376" t="s">
        <v>324</v>
      </c>
      <c r="N32" s="376" t="s">
        <v>172</v>
      </c>
      <c r="O32" s="379">
        <v>0</v>
      </c>
      <c r="P32" s="460">
        <v>0</v>
      </c>
      <c r="Q32" s="460">
        <v>0</v>
      </c>
      <c r="R32" s="380">
        <v>80</v>
      </c>
      <c r="S32" s="460">
        <v>0</v>
      </c>
      <c r="T32" s="380">
        <v>0</v>
      </c>
      <c r="U32" s="380">
        <v>0</v>
      </c>
      <c r="V32" s="380">
        <v>-485.42</v>
      </c>
      <c r="W32" s="380">
        <v>0</v>
      </c>
      <c r="X32" s="380">
        <v>0</v>
      </c>
      <c r="Y32" s="380">
        <v>0</v>
      </c>
      <c r="Z32" s="380">
        <v>0</v>
      </c>
      <c r="AA32" s="378"/>
      <c r="AB32" s="376" t="s">
        <v>45</v>
      </c>
      <c r="AC32" s="376" t="s">
        <v>45</v>
      </c>
      <c r="AD32" s="378"/>
      <c r="AE32" s="378"/>
      <c r="AF32" s="378"/>
      <c r="AG32" s="378"/>
      <c r="AH32" s="379">
        <v>0</v>
      </c>
      <c r="AI32" s="379">
        <v>0</v>
      </c>
      <c r="AJ32" s="378"/>
      <c r="AK32" s="378"/>
      <c r="AL32" s="376" t="s">
        <v>181</v>
      </c>
      <c r="AM32" s="378"/>
      <c r="AN32" s="378"/>
      <c r="AO32" s="379">
        <v>0</v>
      </c>
      <c r="AP32" s="460">
        <v>0</v>
      </c>
      <c r="AQ32" s="460">
        <v>0</v>
      </c>
      <c r="AR32" s="459"/>
      <c r="AS32" s="462">
        <f t="shared" si="0"/>
        <v>0</v>
      </c>
      <c r="AT32">
        <f t="shared" si="1"/>
        <v>0</v>
      </c>
      <c r="AU32" s="462" t="str">
        <f>IF(AT32=0,"",IF(AND(AT32=1,M32="F",SUMIF(C2:C391,C32,AS2:AS391)&lt;=1),SUMIF(C2:C391,C32,AS2:AS391),IF(AND(AT32=1,M32="F",SUMIF(C2:C391,C32,AS2:AS391)&gt;1),1,"")))</f>
        <v/>
      </c>
      <c r="AV32" s="462" t="str">
        <f>IF(AT32=0,"",IF(AND(AT32=3,M32="F",SUMIF(C2:C391,C32,AS2:AS391)&lt;=1),SUMIF(C2:C391,C32,AS2:AS391),IF(AND(AT32=3,M32="F",SUMIF(C2:C391,C32,AS2:AS391)&gt;1),1,"")))</f>
        <v/>
      </c>
      <c r="AW32" s="462">
        <f>SUMIF(C2:C391,C32,O2:O391)</f>
        <v>0</v>
      </c>
      <c r="AX32" s="462">
        <f>IF(AND(M32="F",AS32&lt;&gt;0),SUMIF(C2:C391,C32,W2:W391),0)</f>
        <v>0</v>
      </c>
      <c r="AY32" s="462" t="str">
        <f t="shared" si="2"/>
        <v/>
      </c>
      <c r="AZ32" s="462" t="str">
        <f t="shared" si="3"/>
        <v/>
      </c>
      <c r="BA32" s="462">
        <f t="shared" si="4"/>
        <v>0</v>
      </c>
      <c r="BB32" s="462">
        <f>IF(AND(AT32=1,AK32="E",AU32&gt;=0.75,AW32=1),Health,IF(AND(AT32=1,AK32="E",AU32&gt;=0.75),Health*P32,IF(AND(AT32=1,AK32="E",AU32&gt;=0.5,AW32=1),PTHealth,IF(AND(AT32=1,AK32="E",AU32&gt;=0.5),PTHealth*P32,0))))</f>
        <v>0</v>
      </c>
      <c r="BC32" s="462">
        <f>IF(AND(AT32=3,AK32="E",AV32&gt;=0.75,AW32=1),Health,IF(AND(AT32=3,AK32="E",AV32&gt;=0.75),Health*P32,IF(AND(AT32=3,AK32="E",AV32&gt;=0.5,AW32=1),PTHealth,IF(AND(AT32=3,AK32="E",AV32&gt;=0.5),PTHealth*P32,0))))</f>
        <v>0</v>
      </c>
      <c r="BD32" s="462">
        <f>IF(AND(AT32&lt;&gt;0,AX32&gt;=MAXSSDI),SSDI*MAXSSDI*P32,IF(AT32&lt;&gt;0,SSDI*W32,0))</f>
        <v>0</v>
      </c>
      <c r="BE32" s="462">
        <f>IF(AT32&lt;&gt;0,SSHI*W32,0)</f>
        <v>0</v>
      </c>
      <c r="BF32" s="462">
        <f>IF(AND(AT32&lt;&gt;0,AN32&lt;&gt;"NE"),VLOOKUP(AN32,Retirement_Rates,3,FALSE)*W32,0)</f>
        <v>0</v>
      </c>
      <c r="BG32" s="462">
        <f>IF(AND(AT32&lt;&gt;0,AJ32&lt;&gt;"PF"),Life*W32,0)</f>
        <v>0</v>
      </c>
      <c r="BH32" s="462">
        <f>IF(AND(AT32&lt;&gt;0,AM32="Y"),UI*W32,0)</f>
        <v>0</v>
      </c>
      <c r="BI32" s="462">
        <f>IF(AND(AT32&lt;&gt;0,N32&lt;&gt;"NR"),DHR*W32,0)</f>
        <v>0</v>
      </c>
      <c r="BJ32" s="462">
        <f>IF(AT32&lt;&gt;0,WC*W32,0)</f>
        <v>0</v>
      </c>
      <c r="BK32" s="462">
        <f>IF(OR(AND(AT32&lt;&gt;0,AJ32&lt;&gt;"PF",AN32&lt;&gt;"NE",AG32&lt;&gt;"A"),AND(AL32="E",OR(AT32=1,AT32=3))),Sick*W32,0)</f>
        <v>0</v>
      </c>
      <c r="BL32" s="462">
        <f t="shared" si="5"/>
        <v>0</v>
      </c>
      <c r="BM32" s="462">
        <f t="shared" si="6"/>
        <v>0</v>
      </c>
      <c r="BN32" s="462">
        <f>IF(AND(AT32=1,AK32="E",AU32&gt;=0.75,AW32=1),HealthBY,IF(AND(AT32=1,AK32="E",AU32&gt;=0.75),HealthBY*P32,IF(AND(AT32=1,AK32="E",AU32&gt;=0.5,AW32=1),PTHealthBY,IF(AND(AT32=1,AK32="E",AU32&gt;=0.5),PTHealthBY*P32,0))))</f>
        <v>0</v>
      </c>
      <c r="BO32" s="462">
        <f>IF(AND(AT32=3,AK32="E",AV32&gt;=0.75,AW32=1),HealthBY,IF(AND(AT32=3,AK32="E",AV32&gt;=0.75),HealthBY*P32,IF(AND(AT32=3,AK32="E",AV32&gt;=0.5,AW32=1),PTHealthBY,IF(AND(AT32=3,AK32="E",AV32&gt;=0.5),PTHealthBY*P32,0))))</f>
        <v>0</v>
      </c>
      <c r="BP32" s="462">
        <f>IF(AND(AT32&lt;&gt;0,(AX32+BA32)&gt;=MAXSSDIBY),SSDIBY*MAXSSDIBY*P32,IF(AT32&lt;&gt;0,SSDIBY*W32,0))</f>
        <v>0</v>
      </c>
      <c r="BQ32" s="462">
        <f>IF(AT32&lt;&gt;0,SSHIBY*W32,0)</f>
        <v>0</v>
      </c>
      <c r="BR32" s="462">
        <f>IF(AND(AT32&lt;&gt;0,AN32&lt;&gt;"NE"),VLOOKUP(AN32,Retirement_Rates,4,FALSE)*W32,0)</f>
        <v>0</v>
      </c>
      <c r="BS32" s="462">
        <f>IF(AND(AT32&lt;&gt;0,AJ32&lt;&gt;"PF"),LifeBY*W32,0)</f>
        <v>0</v>
      </c>
      <c r="BT32" s="462">
        <f>IF(AND(AT32&lt;&gt;0,AM32="Y"),UIBY*W32,0)</f>
        <v>0</v>
      </c>
      <c r="BU32" s="462">
        <f>IF(AND(AT32&lt;&gt;0,N32&lt;&gt;"NR"),DHRBY*W32,0)</f>
        <v>0</v>
      </c>
      <c r="BV32" s="462">
        <f>IF(AT32&lt;&gt;0,WCBY*W32,0)</f>
        <v>0</v>
      </c>
      <c r="BW32" s="462">
        <f>IF(OR(AND(AT32&lt;&gt;0,AJ32&lt;&gt;"PF",AN32&lt;&gt;"NE",AG32&lt;&gt;"A"),AND(AL32="E",OR(AT32=1,AT32=3))),SickBY*W32,0)</f>
        <v>0</v>
      </c>
      <c r="BX32" s="462">
        <f t="shared" si="7"/>
        <v>0</v>
      </c>
      <c r="BY32" s="462">
        <f t="shared" si="8"/>
        <v>0</v>
      </c>
      <c r="BZ32" s="462">
        <f t="shared" si="9"/>
        <v>0</v>
      </c>
      <c r="CA32" s="462">
        <f t="shared" si="10"/>
        <v>0</v>
      </c>
      <c r="CB32" s="462">
        <f t="shared" si="11"/>
        <v>0</v>
      </c>
      <c r="CC32" s="462">
        <f>IF(AT32&lt;&gt;0,SSHICHG*Y32,0)</f>
        <v>0</v>
      </c>
      <c r="CD32" s="462">
        <f>IF(AND(AT32&lt;&gt;0,AN32&lt;&gt;"NE"),VLOOKUP(AN32,Retirement_Rates,5,FALSE)*Y32,0)</f>
        <v>0</v>
      </c>
      <c r="CE32" s="462">
        <f>IF(AND(AT32&lt;&gt;0,AJ32&lt;&gt;"PF"),LifeCHG*Y32,0)</f>
        <v>0</v>
      </c>
      <c r="CF32" s="462">
        <f>IF(AND(AT32&lt;&gt;0,AM32="Y"),UICHG*Y32,0)</f>
        <v>0</v>
      </c>
      <c r="CG32" s="462">
        <f>IF(AND(AT32&lt;&gt;0,N32&lt;&gt;"NR"),DHRCHG*Y32,0)</f>
        <v>0</v>
      </c>
      <c r="CH32" s="462">
        <f>IF(AT32&lt;&gt;0,WCCHG*Y32,0)</f>
        <v>0</v>
      </c>
      <c r="CI32" s="462">
        <f>IF(OR(AND(AT32&lt;&gt;0,AJ32&lt;&gt;"PF",AN32&lt;&gt;"NE",AG32&lt;&gt;"A"),AND(AL32="E",OR(AT32=1,AT32=3))),SickCHG*Y32,0)</f>
        <v>0</v>
      </c>
      <c r="CJ32" s="462">
        <f t="shared" si="12"/>
        <v>0</v>
      </c>
      <c r="CK32" s="462" t="str">
        <f t="shared" si="13"/>
        <v/>
      </c>
      <c r="CL32" s="462" t="str">
        <f t="shared" si="14"/>
        <v/>
      </c>
      <c r="CM32" s="462" t="str">
        <f t="shared" si="15"/>
        <v/>
      </c>
      <c r="CN32" s="462" t="str">
        <f t="shared" si="16"/>
        <v>0243-00</v>
      </c>
    </row>
    <row r="33" spans="1:92" ht="15" thickBot="1" x14ac:dyDescent="0.35">
      <c r="A33" s="376" t="s">
        <v>161</v>
      </c>
      <c r="B33" s="376" t="s">
        <v>162</v>
      </c>
      <c r="C33" s="376" t="s">
        <v>331</v>
      </c>
      <c r="D33" s="376" t="s">
        <v>332</v>
      </c>
      <c r="E33" s="376" t="s">
        <v>273</v>
      </c>
      <c r="F33" s="377" t="s">
        <v>166</v>
      </c>
      <c r="G33" s="376" t="s">
        <v>167</v>
      </c>
      <c r="H33" s="378"/>
      <c r="I33" s="378"/>
      <c r="J33" s="376" t="s">
        <v>193</v>
      </c>
      <c r="K33" s="376" t="s">
        <v>333</v>
      </c>
      <c r="L33" s="376" t="s">
        <v>181</v>
      </c>
      <c r="M33" s="376" t="s">
        <v>324</v>
      </c>
      <c r="N33" s="376" t="s">
        <v>172</v>
      </c>
      <c r="O33" s="379">
        <v>0</v>
      </c>
      <c r="P33" s="460">
        <v>0</v>
      </c>
      <c r="Q33" s="460">
        <v>0</v>
      </c>
      <c r="R33" s="380">
        <v>80</v>
      </c>
      <c r="S33" s="460">
        <v>0</v>
      </c>
      <c r="T33" s="380">
        <v>0</v>
      </c>
      <c r="U33" s="380">
        <v>0</v>
      </c>
      <c r="V33" s="380">
        <v>-242.72</v>
      </c>
      <c r="W33" s="380">
        <v>0</v>
      </c>
      <c r="X33" s="380">
        <v>0</v>
      </c>
      <c r="Y33" s="380">
        <v>0</v>
      </c>
      <c r="Z33" s="380">
        <v>0</v>
      </c>
      <c r="AA33" s="378"/>
      <c r="AB33" s="376" t="s">
        <v>45</v>
      </c>
      <c r="AC33" s="376" t="s">
        <v>45</v>
      </c>
      <c r="AD33" s="378"/>
      <c r="AE33" s="378"/>
      <c r="AF33" s="378"/>
      <c r="AG33" s="378"/>
      <c r="AH33" s="379">
        <v>0</v>
      </c>
      <c r="AI33" s="379">
        <v>0</v>
      </c>
      <c r="AJ33" s="378"/>
      <c r="AK33" s="378"/>
      <c r="AL33" s="376" t="s">
        <v>181</v>
      </c>
      <c r="AM33" s="378"/>
      <c r="AN33" s="378"/>
      <c r="AO33" s="379">
        <v>0</v>
      </c>
      <c r="AP33" s="460">
        <v>0</v>
      </c>
      <c r="AQ33" s="460">
        <v>0</v>
      </c>
      <c r="AR33" s="459"/>
      <c r="AS33" s="462">
        <f t="shared" si="0"/>
        <v>0</v>
      </c>
      <c r="AT33">
        <f t="shared" si="1"/>
        <v>0</v>
      </c>
      <c r="AU33" s="462" t="str">
        <f>IF(AT33=0,"",IF(AND(AT33=1,M33="F",SUMIF(C2:C391,C33,AS2:AS391)&lt;=1),SUMIF(C2:C391,C33,AS2:AS391),IF(AND(AT33=1,M33="F",SUMIF(C2:C391,C33,AS2:AS391)&gt;1),1,"")))</f>
        <v/>
      </c>
      <c r="AV33" s="462" t="str">
        <f>IF(AT33=0,"",IF(AND(AT33=3,M33="F",SUMIF(C2:C391,C33,AS2:AS391)&lt;=1),SUMIF(C2:C391,C33,AS2:AS391),IF(AND(AT33=3,M33="F",SUMIF(C2:C391,C33,AS2:AS391)&gt;1),1,"")))</f>
        <v/>
      </c>
      <c r="AW33" s="462">
        <f>SUMIF(C2:C391,C33,O2:O391)</f>
        <v>0</v>
      </c>
      <c r="AX33" s="462">
        <f>IF(AND(M33="F",AS33&lt;&gt;0),SUMIF(C2:C391,C33,W2:W391),0)</f>
        <v>0</v>
      </c>
      <c r="AY33" s="462" t="str">
        <f t="shared" si="2"/>
        <v/>
      </c>
      <c r="AZ33" s="462" t="str">
        <f t="shared" si="3"/>
        <v/>
      </c>
      <c r="BA33" s="462">
        <f t="shared" si="4"/>
        <v>0</v>
      </c>
      <c r="BB33" s="462">
        <f>IF(AND(AT33=1,AK33="E",AU33&gt;=0.75,AW33=1),Health,IF(AND(AT33=1,AK33="E",AU33&gt;=0.75),Health*P33,IF(AND(AT33=1,AK33="E",AU33&gt;=0.5,AW33=1),PTHealth,IF(AND(AT33=1,AK33="E",AU33&gt;=0.5),PTHealth*P33,0))))</f>
        <v>0</v>
      </c>
      <c r="BC33" s="462">
        <f>IF(AND(AT33=3,AK33="E",AV33&gt;=0.75,AW33=1),Health,IF(AND(AT33=3,AK33="E",AV33&gt;=0.75),Health*P33,IF(AND(AT33=3,AK33="E",AV33&gt;=0.5,AW33=1),PTHealth,IF(AND(AT33=3,AK33="E",AV33&gt;=0.5),PTHealth*P33,0))))</f>
        <v>0</v>
      </c>
      <c r="BD33" s="462">
        <f>IF(AND(AT33&lt;&gt;0,AX33&gt;=MAXSSDI),SSDI*MAXSSDI*P33,IF(AT33&lt;&gt;0,SSDI*W33,0))</f>
        <v>0</v>
      </c>
      <c r="BE33" s="462">
        <f>IF(AT33&lt;&gt;0,SSHI*W33,0)</f>
        <v>0</v>
      </c>
      <c r="BF33" s="462">
        <f>IF(AND(AT33&lt;&gt;0,AN33&lt;&gt;"NE"),VLOOKUP(AN33,Retirement_Rates,3,FALSE)*W33,0)</f>
        <v>0</v>
      </c>
      <c r="BG33" s="462">
        <f>IF(AND(AT33&lt;&gt;0,AJ33&lt;&gt;"PF"),Life*W33,0)</f>
        <v>0</v>
      </c>
      <c r="BH33" s="462">
        <f>IF(AND(AT33&lt;&gt;0,AM33="Y"),UI*W33,0)</f>
        <v>0</v>
      </c>
      <c r="BI33" s="462">
        <f>IF(AND(AT33&lt;&gt;0,N33&lt;&gt;"NR"),DHR*W33,0)</f>
        <v>0</v>
      </c>
      <c r="BJ33" s="462">
        <f>IF(AT33&lt;&gt;0,WC*W33,0)</f>
        <v>0</v>
      </c>
      <c r="BK33" s="462">
        <f>IF(OR(AND(AT33&lt;&gt;0,AJ33&lt;&gt;"PF",AN33&lt;&gt;"NE",AG33&lt;&gt;"A"),AND(AL33="E",OR(AT33=1,AT33=3))),Sick*W33,0)</f>
        <v>0</v>
      </c>
      <c r="BL33" s="462">
        <f t="shared" si="5"/>
        <v>0</v>
      </c>
      <c r="BM33" s="462">
        <f t="shared" si="6"/>
        <v>0</v>
      </c>
      <c r="BN33" s="462">
        <f>IF(AND(AT33=1,AK33="E",AU33&gt;=0.75,AW33=1),HealthBY,IF(AND(AT33=1,AK33="E",AU33&gt;=0.75),HealthBY*P33,IF(AND(AT33=1,AK33="E",AU33&gt;=0.5,AW33=1),PTHealthBY,IF(AND(AT33=1,AK33="E",AU33&gt;=0.5),PTHealthBY*P33,0))))</f>
        <v>0</v>
      </c>
      <c r="BO33" s="462">
        <f>IF(AND(AT33=3,AK33="E",AV33&gt;=0.75,AW33=1),HealthBY,IF(AND(AT33=3,AK33="E",AV33&gt;=0.75),HealthBY*P33,IF(AND(AT33=3,AK33="E",AV33&gt;=0.5,AW33=1),PTHealthBY,IF(AND(AT33=3,AK33="E",AV33&gt;=0.5),PTHealthBY*P33,0))))</f>
        <v>0</v>
      </c>
      <c r="BP33" s="462">
        <f>IF(AND(AT33&lt;&gt;0,(AX33+BA33)&gt;=MAXSSDIBY),SSDIBY*MAXSSDIBY*P33,IF(AT33&lt;&gt;0,SSDIBY*W33,0))</f>
        <v>0</v>
      </c>
      <c r="BQ33" s="462">
        <f>IF(AT33&lt;&gt;0,SSHIBY*W33,0)</f>
        <v>0</v>
      </c>
      <c r="BR33" s="462">
        <f>IF(AND(AT33&lt;&gt;0,AN33&lt;&gt;"NE"),VLOOKUP(AN33,Retirement_Rates,4,FALSE)*W33,0)</f>
        <v>0</v>
      </c>
      <c r="BS33" s="462">
        <f>IF(AND(AT33&lt;&gt;0,AJ33&lt;&gt;"PF"),LifeBY*W33,0)</f>
        <v>0</v>
      </c>
      <c r="BT33" s="462">
        <f>IF(AND(AT33&lt;&gt;0,AM33="Y"),UIBY*W33,0)</f>
        <v>0</v>
      </c>
      <c r="BU33" s="462">
        <f>IF(AND(AT33&lt;&gt;0,N33&lt;&gt;"NR"),DHRBY*W33,0)</f>
        <v>0</v>
      </c>
      <c r="BV33" s="462">
        <f>IF(AT33&lt;&gt;0,WCBY*W33,0)</f>
        <v>0</v>
      </c>
      <c r="BW33" s="462">
        <f>IF(OR(AND(AT33&lt;&gt;0,AJ33&lt;&gt;"PF",AN33&lt;&gt;"NE",AG33&lt;&gt;"A"),AND(AL33="E",OR(AT33=1,AT33=3))),SickBY*W33,0)</f>
        <v>0</v>
      </c>
      <c r="BX33" s="462">
        <f t="shared" si="7"/>
        <v>0</v>
      </c>
      <c r="BY33" s="462">
        <f t="shared" si="8"/>
        <v>0</v>
      </c>
      <c r="BZ33" s="462">
        <f t="shared" si="9"/>
        <v>0</v>
      </c>
      <c r="CA33" s="462">
        <f t="shared" si="10"/>
        <v>0</v>
      </c>
      <c r="CB33" s="462">
        <f t="shared" si="11"/>
        <v>0</v>
      </c>
      <c r="CC33" s="462">
        <f>IF(AT33&lt;&gt;0,SSHICHG*Y33,0)</f>
        <v>0</v>
      </c>
      <c r="CD33" s="462">
        <f>IF(AND(AT33&lt;&gt;0,AN33&lt;&gt;"NE"),VLOOKUP(AN33,Retirement_Rates,5,FALSE)*Y33,0)</f>
        <v>0</v>
      </c>
      <c r="CE33" s="462">
        <f>IF(AND(AT33&lt;&gt;0,AJ33&lt;&gt;"PF"),LifeCHG*Y33,0)</f>
        <v>0</v>
      </c>
      <c r="CF33" s="462">
        <f>IF(AND(AT33&lt;&gt;0,AM33="Y"),UICHG*Y33,0)</f>
        <v>0</v>
      </c>
      <c r="CG33" s="462">
        <f>IF(AND(AT33&lt;&gt;0,N33&lt;&gt;"NR"),DHRCHG*Y33,0)</f>
        <v>0</v>
      </c>
      <c r="CH33" s="462">
        <f>IF(AT33&lt;&gt;0,WCCHG*Y33,0)</f>
        <v>0</v>
      </c>
      <c r="CI33" s="462">
        <f>IF(OR(AND(AT33&lt;&gt;0,AJ33&lt;&gt;"PF",AN33&lt;&gt;"NE",AG33&lt;&gt;"A"),AND(AL33="E",OR(AT33=1,AT33=3))),SickCHG*Y33,0)</f>
        <v>0</v>
      </c>
      <c r="CJ33" s="462">
        <f t="shared" si="12"/>
        <v>0</v>
      </c>
      <c r="CK33" s="462" t="str">
        <f t="shared" si="13"/>
        <v/>
      </c>
      <c r="CL33" s="462" t="str">
        <f t="shared" si="14"/>
        <v/>
      </c>
      <c r="CM33" s="462" t="str">
        <f t="shared" si="15"/>
        <v/>
      </c>
      <c r="CN33" s="462" t="str">
        <f t="shared" si="16"/>
        <v>0243-00</v>
      </c>
    </row>
    <row r="34" spans="1:92" ht="15" thickBot="1" x14ac:dyDescent="0.35">
      <c r="A34" s="376" t="s">
        <v>161</v>
      </c>
      <c r="B34" s="376" t="s">
        <v>162</v>
      </c>
      <c r="C34" s="376" t="s">
        <v>334</v>
      </c>
      <c r="D34" s="376" t="s">
        <v>221</v>
      </c>
      <c r="E34" s="376" t="s">
        <v>273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222</v>
      </c>
      <c r="L34" s="376" t="s">
        <v>166</v>
      </c>
      <c r="M34" s="376" t="s">
        <v>225</v>
      </c>
      <c r="N34" s="376" t="s">
        <v>223</v>
      </c>
      <c r="O34" s="379">
        <v>0</v>
      </c>
      <c r="P34" s="460">
        <v>1</v>
      </c>
      <c r="Q34" s="460">
        <v>0</v>
      </c>
      <c r="R34" s="380">
        <v>0</v>
      </c>
      <c r="S34" s="460">
        <v>0</v>
      </c>
      <c r="T34" s="380">
        <v>0</v>
      </c>
      <c r="U34" s="380">
        <v>0</v>
      </c>
      <c r="V34" s="380">
        <v>0</v>
      </c>
      <c r="W34" s="380">
        <v>0</v>
      </c>
      <c r="X34" s="380">
        <v>0</v>
      </c>
      <c r="Y34" s="380">
        <v>0</v>
      </c>
      <c r="Z34" s="380">
        <v>0</v>
      </c>
      <c r="AA34" s="378"/>
      <c r="AB34" s="376" t="s">
        <v>45</v>
      </c>
      <c r="AC34" s="376" t="s">
        <v>45</v>
      </c>
      <c r="AD34" s="378"/>
      <c r="AE34" s="378"/>
      <c r="AF34" s="378"/>
      <c r="AG34" s="378"/>
      <c r="AH34" s="379">
        <v>0</v>
      </c>
      <c r="AI34" s="379">
        <v>0</v>
      </c>
      <c r="AJ34" s="378"/>
      <c r="AK34" s="378"/>
      <c r="AL34" s="376" t="s">
        <v>181</v>
      </c>
      <c r="AM34" s="378"/>
      <c r="AN34" s="378"/>
      <c r="AO34" s="379">
        <v>0</v>
      </c>
      <c r="AP34" s="460">
        <v>0</v>
      </c>
      <c r="AQ34" s="460">
        <v>0</v>
      </c>
      <c r="AR34" s="459"/>
      <c r="AS34" s="462">
        <f t="shared" si="0"/>
        <v>0</v>
      </c>
      <c r="AT34">
        <f t="shared" si="1"/>
        <v>0</v>
      </c>
      <c r="AU34" s="462" t="str">
        <f>IF(AT34=0,"",IF(AND(AT34=1,M34="F",SUMIF(C2:C391,C34,AS2:AS391)&lt;=1),SUMIF(C2:C391,C34,AS2:AS391),IF(AND(AT34=1,M34="F",SUMIF(C2:C391,C34,AS2:AS391)&gt;1),1,"")))</f>
        <v/>
      </c>
      <c r="AV34" s="462" t="str">
        <f>IF(AT34=0,"",IF(AND(AT34=3,M34="F",SUMIF(C2:C391,C34,AS2:AS391)&lt;=1),SUMIF(C2:C391,C34,AS2:AS391),IF(AND(AT34=3,M34="F",SUMIF(C2:C391,C34,AS2:AS391)&gt;1),1,"")))</f>
        <v/>
      </c>
      <c r="AW34" s="462">
        <f>SUMIF(C2:C391,C34,O2:O391)</f>
        <v>0</v>
      </c>
      <c r="AX34" s="462">
        <f>IF(AND(M34="F",AS34&lt;&gt;0),SUMIF(C2:C391,C34,W2:W391),0)</f>
        <v>0</v>
      </c>
      <c r="AY34" s="462" t="str">
        <f t="shared" si="2"/>
        <v/>
      </c>
      <c r="AZ34" s="462" t="str">
        <f t="shared" si="3"/>
        <v/>
      </c>
      <c r="BA34" s="462">
        <f t="shared" si="4"/>
        <v>0</v>
      </c>
      <c r="BB34" s="462">
        <f>IF(AND(AT34=1,AK34="E",AU34&gt;=0.75,AW34=1),Health,IF(AND(AT34=1,AK34="E",AU34&gt;=0.75),Health*P34,IF(AND(AT34=1,AK34="E",AU34&gt;=0.5,AW34=1),PTHealth,IF(AND(AT34=1,AK34="E",AU34&gt;=0.5),PTHealth*P34,0))))</f>
        <v>0</v>
      </c>
      <c r="BC34" s="462">
        <f>IF(AND(AT34=3,AK34="E",AV34&gt;=0.75,AW34=1),Health,IF(AND(AT34=3,AK34="E",AV34&gt;=0.75),Health*P34,IF(AND(AT34=3,AK34="E",AV34&gt;=0.5,AW34=1),PTHealth,IF(AND(AT34=3,AK34="E",AV34&gt;=0.5),PTHealth*P34,0))))</f>
        <v>0</v>
      </c>
      <c r="BD34" s="462">
        <f>IF(AND(AT34&lt;&gt;0,AX34&gt;=MAXSSDI),SSDI*MAXSSDI*P34,IF(AT34&lt;&gt;0,SSDI*W34,0))</f>
        <v>0</v>
      </c>
      <c r="BE34" s="462">
        <f>IF(AT34&lt;&gt;0,SSHI*W34,0)</f>
        <v>0</v>
      </c>
      <c r="BF34" s="462">
        <f>IF(AND(AT34&lt;&gt;0,AN34&lt;&gt;"NE"),VLOOKUP(AN34,Retirement_Rates,3,FALSE)*W34,0)</f>
        <v>0</v>
      </c>
      <c r="BG34" s="462">
        <f>IF(AND(AT34&lt;&gt;0,AJ34&lt;&gt;"PF"),Life*W34,0)</f>
        <v>0</v>
      </c>
      <c r="BH34" s="462">
        <f>IF(AND(AT34&lt;&gt;0,AM34="Y"),UI*W34,0)</f>
        <v>0</v>
      </c>
      <c r="BI34" s="462">
        <f>IF(AND(AT34&lt;&gt;0,N34&lt;&gt;"NR"),DHR*W34,0)</f>
        <v>0</v>
      </c>
      <c r="BJ34" s="462">
        <f>IF(AT34&lt;&gt;0,WC*W34,0)</f>
        <v>0</v>
      </c>
      <c r="BK34" s="462">
        <f>IF(OR(AND(AT34&lt;&gt;0,AJ34&lt;&gt;"PF",AN34&lt;&gt;"NE",AG34&lt;&gt;"A"),AND(AL34="E",OR(AT34=1,AT34=3))),Sick*W34,0)</f>
        <v>0</v>
      </c>
      <c r="BL34" s="462">
        <f t="shared" si="5"/>
        <v>0</v>
      </c>
      <c r="BM34" s="462">
        <f t="shared" si="6"/>
        <v>0</v>
      </c>
      <c r="BN34" s="462">
        <f>IF(AND(AT34=1,AK34="E",AU34&gt;=0.75,AW34=1),HealthBY,IF(AND(AT34=1,AK34="E",AU34&gt;=0.75),HealthBY*P34,IF(AND(AT34=1,AK34="E",AU34&gt;=0.5,AW34=1),PTHealthBY,IF(AND(AT34=1,AK34="E",AU34&gt;=0.5),PTHealthBY*P34,0))))</f>
        <v>0</v>
      </c>
      <c r="BO34" s="462">
        <f>IF(AND(AT34=3,AK34="E",AV34&gt;=0.75,AW34=1),HealthBY,IF(AND(AT34=3,AK34="E",AV34&gt;=0.75),HealthBY*P34,IF(AND(AT34=3,AK34="E",AV34&gt;=0.5,AW34=1),PTHealthBY,IF(AND(AT34=3,AK34="E",AV34&gt;=0.5),PTHealthBY*P34,0))))</f>
        <v>0</v>
      </c>
      <c r="BP34" s="462">
        <f>IF(AND(AT34&lt;&gt;0,(AX34+BA34)&gt;=MAXSSDIBY),SSDIBY*MAXSSDIBY*P34,IF(AT34&lt;&gt;0,SSDIBY*W34,0))</f>
        <v>0</v>
      </c>
      <c r="BQ34" s="462">
        <f>IF(AT34&lt;&gt;0,SSHIBY*W34,0)</f>
        <v>0</v>
      </c>
      <c r="BR34" s="462">
        <f>IF(AND(AT34&lt;&gt;0,AN34&lt;&gt;"NE"),VLOOKUP(AN34,Retirement_Rates,4,FALSE)*W34,0)</f>
        <v>0</v>
      </c>
      <c r="BS34" s="462">
        <f>IF(AND(AT34&lt;&gt;0,AJ34&lt;&gt;"PF"),LifeBY*W34,0)</f>
        <v>0</v>
      </c>
      <c r="BT34" s="462">
        <f>IF(AND(AT34&lt;&gt;0,AM34="Y"),UIBY*W34,0)</f>
        <v>0</v>
      </c>
      <c r="BU34" s="462">
        <f>IF(AND(AT34&lt;&gt;0,N34&lt;&gt;"NR"),DHRBY*W34,0)</f>
        <v>0</v>
      </c>
      <c r="BV34" s="462">
        <f>IF(AT34&lt;&gt;0,WCBY*W34,0)</f>
        <v>0</v>
      </c>
      <c r="BW34" s="462">
        <f>IF(OR(AND(AT34&lt;&gt;0,AJ34&lt;&gt;"PF",AN34&lt;&gt;"NE",AG34&lt;&gt;"A"),AND(AL34="E",OR(AT34=1,AT34=3))),SickBY*W34,0)</f>
        <v>0</v>
      </c>
      <c r="BX34" s="462">
        <f t="shared" si="7"/>
        <v>0</v>
      </c>
      <c r="BY34" s="462">
        <f t="shared" si="8"/>
        <v>0</v>
      </c>
      <c r="BZ34" s="462">
        <f t="shared" si="9"/>
        <v>0</v>
      </c>
      <c r="CA34" s="462">
        <f t="shared" si="10"/>
        <v>0</v>
      </c>
      <c r="CB34" s="462">
        <f t="shared" si="11"/>
        <v>0</v>
      </c>
      <c r="CC34" s="462">
        <f>IF(AT34&lt;&gt;0,SSHICHG*Y34,0)</f>
        <v>0</v>
      </c>
      <c r="CD34" s="462">
        <f>IF(AND(AT34&lt;&gt;0,AN34&lt;&gt;"NE"),VLOOKUP(AN34,Retirement_Rates,5,FALSE)*Y34,0)</f>
        <v>0</v>
      </c>
      <c r="CE34" s="462">
        <f>IF(AND(AT34&lt;&gt;0,AJ34&lt;&gt;"PF"),LifeCHG*Y34,0)</f>
        <v>0</v>
      </c>
      <c r="CF34" s="462">
        <f>IF(AND(AT34&lt;&gt;0,AM34="Y"),UICHG*Y34,0)</f>
        <v>0</v>
      </c>
      <c r="CG34" s="462">
        <f>IF(AND(AT34&lt;&gt;0,N34&lt;&gt;"NR"),DHRCHG*Y34,0)</f>
        <v>0</v>
      </c>
      <c r="CH34" s="462">
        <f>IF(AT34&lt;&gt;0,WCCHG*Y34,0)</f>
        <v>0</v>
      </c>
      <c r="CI34" s="462">
        <f>IF(OR(AND(AT34&lt;&gt;0,AJ34&lt;&gt;"PF",AN34&lt;&gt;"NE",AG34&lt;&gt;"A"),AND(AL34="E",OR(AT34=1,AT34=3))),SickCHG*Y34,0)</f>
        <v>0</v>
      </c>
      <c r="CJ34" s="462">
        <f t="shared" si="12"/>
        <v>0</v>
      </c>
      <c r="CK34" s="462" t="str">
        <f t="shared" si="13"/>
        <v/>
      </c>
      <c r="CL34" s="462">
        <f t="shared" si="14"/>
        <v>0</v>
      </c>
      <c r="CM34" s="462">
        <f t="shared" si="15"/>
        <v>0</v>
      </c>
      <c r="CN34" s="462" t="str">
        <f t="shared" si="16"/>
        <v>0243-00</v>
      </c>
    </row>
    <row r="35" spans="1:92" ht="15" thickBot="1" x14ac:dyDescent="0.35">
      <c r="A35" s="376" t="s">
        <v>161</v>
      </c>
      <c r="B35" s="376" t="s">
        <v>162</v>
      </c>
      <c r="C35" s="376" t="s">
        <v>335</v>
      </c>
      <c r="D35" s="376" t="s">
        <v>238</v>
      </c>
      <c r="E35" s="376" t="s">
        <v>273</v>
      </c>
      <c r="F35" s="377" t="s">
        <v>166</v>
      </c>
      <c r="G35" s="376" t="s">
        <v>167</v>
      </c>
      <c r="H35" s="378"/>
      <c r="I35" s="378"/>
      <c r="J35" s="376" t="s">
        <v>229</v>
      </c>
      <c r="K35" s="376" t="s">
        <v>336</v>
      </c>
      <c r="L35" s="376" t="s">
        <v>195</v>
      </c>
      <c r="M35" s="376" t="s">
        <v>225</v>
      </c>
      <c r="N35" s="376" t="s">
        <v>172</v>
      </c>
      <c r="O35" s="379">
        <v>0</v>
      </c>
      <c r="P35" s="460">
        <v>0.4</v>
      </c>
      <c r="Q35" s="460">
        <v>0.4</v>
      </c>
      <c r="R35" s="380">
        <v>80</v>
      </c>
      <c r="S35" s="460">
        <v>0.4</v>
      </c>
      <c r="T35" s="380">
        <v>22773.4</v>
      </c>
      <c r="U35" s="380">
        <v>0</v>
      </c>
      <c r="V35" s="380">
        <v>8808.93</v>
      </c>
      <c r="W35" s="380">
        <v>21390.720000000001</v>
      </c>
      <c r="X35" s="380">
        <v>9369.1299999999992</v>
      </c>
      <c r="Y35" s="380">
        <v>21390.720000000001</v>
      </c>
      <c r="Z35" s="380">
        <v>9262.18</v>
      </c>
      <c r="AA35" s="378"/>
      <c r="AB35" s="376" t="s">
        <v>45</v>
      </c>
      <c r="AC35" s="376" t="s">
        <v>45</v>
      </c>
      <c r="AD35" s="378"/>
      <c r="AE35" s="378"/>
      <c r="AF35" s="378"/>
      <c r="AG35" s="378"/>
      <c r="AH35" s="379">
        <v>0</v>
      </c>
      <c r="AI35" s="379">
        <v>0</v>
      </c>
      <c r="AJ35" s="378"/>
      <c r="AK35" s="378"/>
      <c r="AL35" s="376" t="s">
        <v>181</v>
      </c>
      <c r="AM35" s="378"/>
      <c r="AN35" s="378"/>
      <c r="AO35" s="379">
        <v>0</v>
      </c>
      <c r="AP35" s="460">
        <v>0</v>
      </c>
      <c r="AQ35" s="460">
        <v>0</v>
      </c>
      <c r="AR35" s="459"/>
      <c r="AS35" s="462">
        <f t="shared" si="0"/>
        <v>0</v>
      </c>
      <c r="AT35">
        <f t="shared" si="1"/>
        <v>0</v>
      </c>
      <c r="AU35" s="462" t="str">
        <f>IF(AT35=0,"",IF(AND(AT35=1,M35="F",SUMIF(C2:C391,C35,AS2:AS391)&lt;=1),SUMIF(C2:C391,C35,AS2:AS391),IF(AND(AT35=1,M35="F",SUMIF(C2:C391,C35,AS2:AS391)&gt;1),1,"")))</f>
        <v/>
      </c>
      <c r="AV35" s="462" t="str">
        <f>IF(AT35=0,"",IF(AND(AT35=3,M35="F",SUMIF(C2:C391,C35,AS2:AS391)&lt;=1),SUMIF(C2:C391,C35,AS2:AS391),IF(AND(AT35=3,M35="F",SUMIF(C2:C391,C35,AS2:AS391)&gt;1),1,"")))</f>
        <v/>
      </c>
      <c r="AW35" s="462">
        <f>SUMIF(C2:C391,C35,O2:O391)</f>
        <v>0</v>
      </c>
      <c r="AX35" s="462">
        <f>IF(AND(M35="F",AS35&lt;&gt;0),SUMIF(C2:C391,C35,W2:W391),0)</f>
        <v>0</v>
      </c>
      <c r="AY35" s="462" t="str">
        <f t="shared" si="2"/>
        <v/>
      </c>
      <c r="AZ35" s="462" t="str">
        <f t="shared" si="3"/>
        <v/>
      </c>
      <c r="BA35" s="462">
        <f t="shared" si="4"/>
        <v>0</v>
      </c>
      <c r="BB35" s="462">
        <f>IF(AND(AT35=1,AK35="E",AU35&gt;=0.75,AW35=1),Health,IF(AND(AT35=1,AK35="E",AU35&gt;=0.75),Health*P35,IF(AND(AT35=1,AK35="E",AU35&gt;=0.5,AW35=1),PTHealth,IF(AND(AT35=1,AK35="E",AU35&gt;=0.5),PTHealth*P35,0))))</f>
        <v>0</v>
      </c>
      <c r="BC35" s="462">
        <f>IF(AND(AT35=3,AK35="E",AV35&gt;=0.75,AW35=1),Health,IF(AND(AT35=3,AK35="E",AV35&gt;=0.75),Health*P35,IF(AND(AT35=3,AK35="E",AV35&gt;=0.5,AW35=1),PTHealth,IF(AND(AT35=3,AK35="E",AV35&gt;=0.5),PTHealth*P35,0))))</f>
        <v>0</v>
      </c>
      <c r="BD35" s="462">
        <f>IF(AND(AT35&lt;&gt;0,AX35&gt;=MAXSSDI),SSDI*MAXSSDI*P35,IF(AT35&lt;&gt;0,SSDI*W35,0))</f>
        <v>0</v>
      </c>
      <c r="BE35" s="462">
        <f>IF(AT35&lt;&gt;0,SSHI*W35,0)</f>
        <v>0</v>
      </c>
      <c r="BF35" s="462">
        <f>IF(AND(AT35&lt;&gt;0,AN35&lt;&gt;"NE"),VLOOKUP(AN35,Retirement_Rates,3,FALSE)*W35,0)</f>
        <v>0</v>
      </c>
      <c r="BG35" s="462">
        <f>IF(AND(AT35&lt;&gt;0,AJ35&lt;&gt;"PF"),Life*W35,0)</f>
        <v>0</v>
      </c>
      <c r="BH35" s="462">
        <f>IF(AND(AT35&lt;&gt;0,AM35="Y"),UI*W35,0)</f>
        <v>0</v>
      </c>
      <c r="BI35" s="462">
        <f>IF(AND(AT35&lt;&gt;0,N35&lt;&gt;"NR"),DHR*W35,0)</f>
        <v>0</v>
      </c>
      <c r="BJ35" s="462">
        <f>IF(AT35&lt;&gt;0,WC*W35,0)</f>
        <v>0</v>
      </c>
      <c r="BK35" s="462">
        <f>IF(OR(AND(AT35&lt;&gt;0,AJ35&lt;&gt;"PF",AN35&lt;&gt;"NE",AG35&lt;&gt;"A"),AND(AL35="E",OR(AT35=1,AT35=3))),Sick*W35,0)</f>
        <v>0</v>
      </c>
      <c r="BL35" s="462">
        <f t="shared" si="5"/>
        <v>0</v>
      </c>
      <c r="BM35" s="462">
        <f t="shared" si="6"/>
        <v>0</v>
      </c>
      <c r="BN35" s="462">
        <f>IF(AND(AT35=1,AK35="E",AU35&gt;=0.75,AW35=1),HealthBY,IF(AND(AT35=1,AK35="E",AU35&gt;=0.75),HealthBY*P35,IF(AND(AT35=1,AK35="E",AU35&gt;=0.5,AW35=1),PTHealthBY,IF(AND(AT35=1,AK35="E",AU35&gt;=0.5),PTHealthBY*P35,0))))</f>
        <v>0</v>
      </c>
      <c r="BO35" s="462">
        <f>IF(AND(AT35=3,AK35="E",AV35&gt;=0.75,AW35=1),HealthBY,IF(AND(AT35=3,AK35="E",AV35&gt;=0.75),HealthBY*P35,IF(AND(AT35=3,AK35="E",AV35&gt;=0.5,AW35=1),PTHealthBY,IF(AND(AT35=3,AK35="E",AV35&gt;=0.5),PTHealthBY*P35,0))))</f>
        <v>0</v>
      </c>
      <c r="BP35" s="462">
        <f>IF(AND(AT35&lt;&gt;0,(AX35+BA35)&gt;=MAXSSDIBY),SSDIBY*MAXSSDIBY*P35,IF(AT35&lt;&gt;0,SSDIBY*W35,0))</f>
        <v>0</v>
      </c>
      <c r="BQ35" s="462">
        <f>IF(AT35&lt;&gt;0,SSHIBY*W35,0)</f>
        <v>0</v>
      </c>
      <c r="BR35" s="462">
        <f>IF(AND(AT35&lt;&gt;0,AN35&lt;&gt;"NE"),VLOOKUP(AN35,Retirement_Rates,4,FALSE)*W35,0)</f>
        <v>0</v>
      </c>
      <c r="BS35" s="462">
        <f>IF(AND(AT35&lt;&gt;0,AJ35&lt;&gt;"PF"),LifeBY*W35,0)</f>
        <v>0</v>
      </c>
      <c r="BT35" s="462">
        <f>IF(AND(AT35&lt;&gt;0,AM35="Y"),UIBY*W35,0)</f>
        <v>0</v>
      </c>
      <c r="BU35" s="462">
        <f>IF(AND(AT35&lt;&gt;0,N35&lt;&gt;"NR"),DHRBY*W35,0)</f>
        <v>0</v>
      </c>
      <c r="BV35" s="462">
        <f>IF(AT35&lt;&gt;0,WCBY*W35,0)</f>
        <v>0</v>
      </c>
      <c r="BW35" s="462">
        <f>IF(OR(AND(AT35&lt;&gt;0,AJ35&lt;&gt;"PF",AN35&lt;&gt;"NE",AG35&lt;&gt;"A"),AND(AL35="E",OR(AT35=1,AT35=3))),SickBY*W35,0)</f>
        <v>0</v>
      </c>
      <c r="BX35" s="462">
        <f t="shared" si="7"/>
        <v>0</v>
      </c>
      <c r="BY35" s="462">
        <f t="shared" si="8"/>
        <v>0</v>
      </c>
      <c r="BZ35" s="462">
        <f t="shared" si="9"/>
        <v>0</v>
      </c>
      <c r="CA35" s="462">
        <f t="shared" si="10"/>
        <v>0</v>
      </c>
      <c r="CB35" s="462">
        <f t="shared" si="11"/>
        <v>0</v>
      </c>
      <c r="CC35" s="462">
        <f>IF(AT35&lt;&gt;0,SSHICHG*Y35,0)</f>
        <v>0</v>
      </c>
      <c r="CD35" s="462">
        <f>IF(AND(AT35&lt;&gt;0,AN35&lt;&gt;"NE"),VLOOKUP(AN35,Retirement_Rates,5,FALSE)*Y35,0)</f>
        <v>0</v>
      </c>
      <c r="CE35" s="462">
        <f>IF(AND(AT35&lt;&gt;0,AJ35&lt;&gt;"PF"),LifeCHG*Y35,0)</f>
        <v>0</v>
      </c>
      <c r="CF35" s="462">
        <f>IF(AND(AT35&lt;&gt;0,AM35="Y"),UICHG*Y35,0)</f>
        <v>0</v>
      </c>
      <c r="CG35" s="462">
        <f>IF(AND(AT35&lt;&gt;0,N35&lt;&gt;"NR"),DHRCHG*Y35,0)</f>
        <v>0</v>
      </c>
      <c r="CH35" s="462">
        <f>IF(AT35&lt;&gt;0,WCCHG*Y35,0)</f>
        <v>0</v>
      </c>
      <c r="CI35" s="462">
        <f>IF(OR(AND(AT35&lt;&gt;0,AJ35&lt;&gt;"PF",AN35&lt;&gt;"NE",AG35&lt;&gt;"A"),AND(AL35="E",OR(AT35=1,AT35=3))),SickCHG*Y35,0)</f>
        <v>0</v>
      </c>
      <c r="CJ35" s="462">
        <f t="shared" si="12"/>
        <v>0</v>
      </c>
      <c r="CK35" s="462" t="str">
        <f t="shared" si="13"/>
        <v/>
      </c>
      <c r="CL35" s="462" t="str">
        <f t="shared" si="14"/>
        <v/>
      </c>
      <c r="CM35" s="462" t="str">
        <f t="shared" si="15"/>
        <v/>
      </c>
      <c r="CN35" s="462" t="str">
        <f t="shared" si="16"/>
        <v>0243-00</v>
      </c>
    </row>
    <row r="36" spans="1:92" ht="15" thickBot="1" x14ac:dyDescent="0.35">
      <c r="A36" s="376" t="s">
        <v>161</v>
      </c>
      <c r="B36" s="376" t="s">
        <v>162</v>
      </c>
      <c r="C36" s="376" t="s">
        <v>337</v>
      </c>
      <c r="D36" s="376" t="s">
        <v>221</v>
      </c>
      <c r="E36" s="376" t="s">
        <v>273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222</v>
      </c>
      <c r="L36" s="376" t="s">
        <v>166</v>
      </c>
      <c r="M36" s="376" t="s">
        <v>225</v>
      </c>
      <c r="N36" s="376" t="s">
        <v>223</v>
      </c>
      <c r="O36" s="379">
        <v>0</v>
      </c>
      <c r="P36" s="460">
        <v>1</v>
      </c>
      <c r="Q36" s="460">
        <v>0</v>
      </c>
      <c r="R36" s="380">
        <v>0</v>
      </c>
      <c r="S36" s="460">
        <v>0</v>
      </c>
      <c r="T36" s="380">
        <v>0</v>
      </c>
      <c r="U36" s="380">
        <v>0</v>
      </c>
      <c r="V36" s="380">
        <v>0</v>
      </c>
      <c r="W36" s="380">
        <v>0</v>
      </c>
      <c r="X36" s="380">
        <v>0</v>
      </c>
      <c r="Y36" s="380">
        <v>0</v>
      </c>
      <c r="Z36" s="380">
        <v>0</v>
      </c>
      <c r="AA36" s="378"/>
      <c r="AB36" s="376" t="s">
        <v>45</v>
      </c>
      <c r="AC36" s="376" t="s">
        <v>45</v>
      </c>
      <c r="AD36" s="378"/>
      <c r="AE36" s="378"/>
      <c r="AF36" s="378"/>
      <c r="AG36" s="378"/>
      <c r="AH36" s="379">
        <v>0</v>
      </c>
      <c r="AI36" s="379">
        <v>0</v>
      </c>
      <c r="AJ36" s="378"/>
      <c r="AK36" s="378"/>
      <c r="AL36" s="376" t="s">
        <v>181</v>
      </c>
      <c r="AM36" s="378"/>
      <c r="AN36" s="378"/>
      <c r="AO36" s="379">
        <v>0</v>
      </c>
      <c r="AP36" s="460">
        <v>0</v>
      </c>
      <c r="AQ36" s="460">
        <v>0</v>
      </c>
      <c r="AR36" s="459"/>
      <c r="AS36" s="462">
        <f t="shared" si="0"/>
        <v>0</v>
      </c>
      <c r="AT36">
        <f t="shared" si="1"/>
        <v>0</v>
      </c>
      <c r="AU36" s="462" t="str">
        <f>IF(AT36=0,"",IF(AND(AT36=1,M36="F",SUMIF(C2:C391,C36,AS2:AS391)&lt;=1),SUMIF(C2:C391,C36,AS2:AS391),IF(AND(AT36=1,M36="F",SUMIF(C2:C391,C36,AS2:AS391)&gt;1),1,"")))</f>
        <v/>
      </c>
      <c r="AV36" s="462" t="str">
        <f>IF(AT36=0,"",IF(AND(AT36=3,M36="F",SUMIF(C2:C391,C36,AS2:AS391)&lt;=1),SUMIF(C2:C391,C36,AS2:AS391),IF(AND(AT36=3,M36="F",SUMIF(C2:C391,C36,AS2:AS391)&gt;1),1,"")))</f>
        <v/>
      </c>
      <c r="AW36" s="462">
        <f>SUMIF(C2:C391,C36,O2:O391)</f>
        <v>0</v>
      </c>
      <c r="AX36" s="462">
        <f>IF(AND(M36="F",AS36&lt;&gt;0),SUMIF(C2:C391,C36,W2:W391),0)</f>
        <v>0</v>
      </c>
      <c r="AY36" s="462" t="str">
        <f t="shared" si="2"/>
        <v/>
      </c>
      <c r="AZ36" s="462" t="str">
        <f t="shared" si="3"/>
        <v/>
      </c>
      <c r="BA36" s="462">
        <f t="shared" si="4"/>
        <v>0</v>
      </c>
      <c r="BB36" s="462">
        <f>IF(AND(AT36=1,AK36="E",AU36&gt;=0.75,AW36=1),Health,IF(AND(AT36=1,AK36="E",AU36&gt;=0.75),Health*P36,IF(AND(AT36=1,AK36="E",AU36&gt;=0.5,AW36=1),PTHealth,IF(AND(AT36=1,AK36="E",AU36&gt;=0.5),PTHealth*P36,0))))</f>
        <v>0</v>
      </c>
      <c r="BC36" s="462">
        <f>IF(AND(AT36=3,AK36="E",AV36&gt;=0.75,AW36=1),Health,IF(AND(AT36=3,AK36="E",AV36&gt;=0.75),Health*P36,IF(AND(AT36=3,AK36="E",AV36&gt;=0.5,AW36=1),PTHealth,IF(AND(AT36=3,AK36="E",AV36&gt;=0.5),PTHealth*P36,0))))</f>
        <v>0</v>
      </c>
      <c r="BD36" s="462">
        <f>IF(AND(AT36&lt;&gt;0,AX36&gt;=MAXSSDI),SSDI*MAXSSDI*P36,IF(AT36&lt;&gt;0,SSDI*W36,0))</f>
        <v>0</v>
      </c>
      <c r="BE36" s="462">
        <f>IF(AT36&lt;&gt;0,SSHI*W36,0)</f>
        <v>0</v>
      </c>
      <c r="BF36" s="462">
        <f>IF(AND(AT36&lt;&gt;0,AN36&lt;&gt;"NE"),VLOOKUP(AN36,Retirement_Rates,3,FALSE)*W36,0)</f>
        <v>0</v>
      </c>
      <c r="BG36" s="462">
        <f>IF(AND(AT36&lt;&gt;0,AJ36&lt;&gt;"PF"),Life*W36,0)</f>
        <v>0</v>
      </c>
      <c r="BH36" s="462">
        <f>IF(AND(AT36&lt;&gt;0,AM36="Y"),UI*W36,0)</f>
        <v>0</v>
      </c>
      <c r="BI36" s="462">
        <f>IF(AND(AT36&lt;&gt;0,N36&lt;&gt;"NR"),DHR*W36,0)</f>
        <v>0</v>
      </c>
      <c r="BJ36" s="462">
        <f>IF(AT36&lt;&gt;0,WC*W36,0)</f>
        <v>0</v>
      </c>
      <c r="BK36" s="462">
        <f>IF(OR(AND(AT36&lt;&gt;0,AJ36&lt;&gt;"PF",AN36&lt;&gt;"NE",AG36&lt;&gt;"A"),AND(AL36="E",OR(AT36=1,AT36=3))),Sick*W36,0)</f>
        <v>0</v>
      </c>
      <c r="BL36" s="462">
        <f t="shared" si="5"/>
        <v>0</v>
      </c>
      <c r="BM36" s="462">
        <f t="shared" si="6"/>
        <v>0</v>
      </c>
      <c r="BN36" s="462">
        <f>IF(AND(AT36=1,AK36="E",AU36&gt;=0.75,AW36=1),HealthBY,IF(AND(AT36=1,AK36="E",AU36&gt;=0.75),HealthBY*P36,IF(AND(AT36=1,AK36="E",AU36&gt;=0.5,AW36=1),PTHealthBY,IF(AND(AT36=1,AK36="E",AU36&gt;=0.5),PTHealthBY*P36,0))))</f>
        <v>0</v>
      </c>
      <c r="BO36" s="462">
        <f>IF(AND(AT36=3,AK36="E",AV36&gt;=0.75,AW36=1),HealthBY,IF(AND(AT36=3,AK36="E",AV36&gt;=0.75),HealthBY*P36,IF(AND(AT36=3,AK36="E",AV36&gt;=0.5,AW36=1),PTHealthBY,IF(AND(AT36=3,AK36="E",AV36&gt;=0.5),PTHealthBY*P36,0))))</f>
        <v>0</v>
      </c>
      <c r="BP36" s="462">
        <f>IF(AND(AT36&lt;&gt;0,(AX36+BA36)&gt;=MAXSSDIBY),SSDIBY*MAXSSDIBY*P36,IF(AT36&lt;&gt;0,SSDIBY*W36,0))</f>
        <v>0</v>
      </c>
      <c r="BQ36" s="462">
        <f>IF(AT36&lt;&gt;0,SSHIBY*W36,0)</f>
        <v>0</v>
      </c>
      <c r="BR36" s="462">
        <f>IF(AND(AT36&lt;&gt;0,AN36&lt;&gt;"NE"),VLOOKUP(AN36,Retirement_Rates,4,FALSE)*W36,0)</f>
        <v>0</v>
      </c>
      <c r="BS36" s="462">
        <f>IF(AND(AT36&lt;&gt;0,AJ36&lt;&gt;"PF"),LifeBY*W36,0)</f>
        <v>0</v>
      </c>
      <c r="BT36" s="462">
        <f>IF(AND(AT36&lt;&gt;0,AM36="Y"),UIBY*W36,0)</f>
        <v>0</v>
      </c>
      <c r="BU36" s="462">
        <f>IF(AND(AT36&lt;&gt;0,N36&lt;&gt;"NR"),DHRBY*W36,0)</f>
        <v>0</v>
      </c>
      <c r="BV36" s="462">
        <f>IF(AT36&lt;&gt;0,WCBY*W36,0)</f>
        <v>0</v>
      </c>
      <c r="BW36" s="462">
        <f>IF(OR(AND(AT36&lt;&gt;0,AJ36&lt;&gt;"PF",AN36&lt;&gt;"NE",AG36&lt;&gt;"A"),AND(AL36="E",OR(AT36=1,AT36=3))),SickBY*W36,0)</f>
        <v>0</v>
      </c>
      <c r="BX36" s="462">
        <f t="shared" si="7"/>
        <v>0</v>
      </c>
      <c r="BY36" s="462">
        <f t="shared" si="8"/>
        <v>0</v>
      </c>
      <c r="BZ36" s="462">
        <f t="shared" si="9"/>
        <v>0</v>
      </c>
      <c r="CA36" s="462">
        <f t="shared" si="10"/>
        <v>0</v>
      </c>
      <c r="CB36" s="462">
        <f t="shared" si="11"/>
        <v>0</v>
      </c>
      <c r="CC36" s="462">
        <f>IF(AT36&lt;&gt;0,SSHICHG*Y36,0)</f>
        <v>0</v>
      </c>
      <c r="CD36" s="462">
        <f>IF(AND(AT36&lt;&gt;0,AN36&lt;&gt;"NE"),VLOOKUP(AN36,Retirement_Rates,5,FALSE)*Y36,0)</f>
        <v>0</v>
      </c>
      <c r="CE36" s="462">
        <f>IF(AND(AT36&lt;&gt;0,AJ36&lt;&gt;"PF"),LifeCHG*Y36,0)</f>
        <v>0</v>
      </c>
      <c r="CF36" s="462">
        <f>IF(AND(AT36&lt;&gt;0,AM36="Y"),UICHG*Y36,0)</f>
        <v>0</v>
      </c>
      <c r="CG36" s="462">
        <f>IF(AND(AT36&lt;&gt;0,N36&lt;&gt;"NR"),DHRCHG*Y36,0)</f>
        <v>0</v>
      </c>
      <c r="CH36" s="462">
        <f>IF(AT36&lt;&gt;0,WCCHG*Y36,0)</f>
        <v>0</v>
      </c>
      <c r="CI36" s="462">
        <f>IF(OR(AND(AT36&lt;&gt;0,AJ36&lt;&gt;"PF",AN36&lt;&gt;"NE",AG36&lt;&gt;"A"),AND(AL36="E",OR(AT36=1,AT36=3))),SickCHG*Y36,0)</f>
        <v>0</v>
      </c>
      <c r="CJ36" s="462">
        <f t="shared" si="12"/>
        <v>0</v>
      </c>
      <c r="CK36" s="462" t="str">
        <f t="shared" si="13"/>
        <v/>
      </c>
      <c r="CL36" s="462">
        <f t="shared" si="14"/>
        <v>0</v>
      </c>
      <c r="CM36" s="462">
        <f t="shared" si="15"/>
        <v>0</v>
      </c>
      <c r="CN36" s="462" t="str">
        <f t="shared" si="16"/>
        <v>0243-00</v>
      </c>
    </row>
    <row r="37" spans="1:92" ht="15" thickBot="1" x14ac:dyDescent="0.35">
      <c r="A37" s="376" t="s">
        <v>161</v>
      </c>
      <c r="B37" s="376" t="s">
        <v>162</v>
      </c>
      <c r="C37" s="376" t="s">
        <v>338</v>
      </c>
      <c r="D37" s="376" t="s">
        <v>221</v>
      </c>
      <c r="E37" s="376" t="s">
        <v>273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222</v>
      </c>
      <c r="L37" s="376" t="s">
        <v>166</v>
      </c>
      <c r="M37" s="376" t="s">
        <v>225</v>
      </c>
      <c r="N37" s="376" t="s">
        <v>223</v>
      </c>
      <c r="O37" s="379">
        <v>0</v>
      </c>
      <c r="P37" s="460">
        <v>1</v>
      </c>
      <c r="Q37" s="460">
        <v>0</v>
      </c>
      <c r="R37" s="380">
        <v>0</v>
      </c>
      <c r="S37" s="460">
        <v>0</v>
      </c>
      <c r="T37" s="380">
        <v>0</v>
      </c>
      <c r="U37" s="380">
        <v>0</v>
      </c>
      <c r="V37" s="380">
        <v>0</v>
      </c>
      <c r="W37" s="380">
        <v>0</v>
      </c>
      <c r="X37" s="380">
        <v>0</v>
      </c>
      <c r="Y37" s="380">
        <v>0</v>
      </c>
      <c r="Z37" s="380">
        <v>0</v>
      </c>
      <c r="AA37" s="378"/>
      <c r="AB37" s="376" t="s">
        <v>45</v>
      </c>
      <c r="AC37" s="376" t="s">
        <v>45</v>
      </c>
      <c r="AD37" s="378"/>
      <c r="AE37" s="378"/>
      <c r="AF37" s="378"/>
      <c r="AG37" s="378"/>
      <c r="AH37" s="379">
        <v>0</v>
      </c>
      <c r="AI37" s="379">
        <v>0</v>
      </c>
      <c r="AJ37" s="378"/>
      <c r="AK37" s="378"/>
      <c r="AL37" s="376" t="s">
        <v>181</v>
      </c>
      <c r="AM37" s="378"/>
      <c r="AN37" s="378"/>
      <c r="AO37" s="379">
        <v>0</v>
      </c>
      <c r="AP37" s="460">
        <v>0</v>
      </c>
      <c r="AQ37" s="460">
        <v>0</v>
      </c>
      <c r="AR37" s="459"/>
      <c r="AS37" s="462">
        <f t="shared" si="0"/>
        <v>0</v>
      </c>
      <c r="AT37">
        <f t="shared" si="1"/>
        <v>0</v>
      </c>
      <c r="AU37" s="462" t="str">
        <f>IF(AT37=0,"",IF(AND(AT37=1,M37="F",SUMIF(C2:C391,C37,AS2:AS391)&lt;=1),SUMIF(C2:C391,C37,AS2:AS391),IF(AND(AT37=1,M37="F",SUMIF(C2:C391,C37,AS2:AS391)&gt;1),1,"")))</f>
        <v/>
      </c>
      <c r="AV37" s="462" t="str">
        <f>IF(AT37=0,"",IF(AND(AT37=3,M37="F",SUMIF(C2:C391,C37,AS2:AS391)&lt;=1),SUMIF(C2:C391,C37,AS2:AS391),IF(AND(AT37=3,M37="F",SUMIF(C2:C391,C37,AS2:AS391)&gt;1),1,"")))</f>
        <v/>
      </c>
      <c r="AW37" s="462">
        <f>SUMIF(C2:C391,C37,O2:O391)</f>
        <v>0</v>
      </c>
      <c r="AX37" s="462">
        <f>IF(AND(M37="F",AS37&lt;&gt;0),SUMIF(C2:C391,C37,W2:W391),0)</f>
        <v>0</v>
      </c>
      <c r="AY37" s="462" t="str">
        <f t="shared" si="2"/>
        <v/>
      </c>
      <c r="AZ37" s="462" t="str">
        <f t="shared" si="3"/>
        <v/>
      </c>
      <c r="BA37" s="462">
        <f t="shared" si="4"/>
        <v>0</v>
      </c>
      <c r="BB37" s="462">
        <f>IF(AND(AT37=1,AK37="E",AU37&gt;=0.75,AW37=1),Health,IF(AND(AT37=1,AK37="E",AU37&gt;=0.75),Health*P37,IF(AND(AT37=1,AK37="E",AU37&gt;=0.5,AW37=1),PTHealth,IF(AND(AT37=1,AK37="E",AU37&gt;=0.5),PTHealth*P37,0))))</f>
        <v>0</v>
      </c>
      <c r="BC37" s="462">
        <f>IF(AND(AT37=3,AK37="E",AV37&gt;=0.75,AW37=1),Health,IF(AND(AT37=3,AK37="E",AV37&gt;=0.75),Health*P37,IF(AND(AT37=3,AK37="E",AV37&gt;=0.5,AW37=1),PTHealth,IF(AND(AT37=3,AK37="E",AV37&gt;=0.5),PTHealth*P37,0))))</f>
        <v>0</v>
      </c>
      <c r="BD37" s="462">
        <f>IF(AND(AT37&lt;&gt;0,AX37&gt;=MAXSSDI),SSDI*MAXSSDI*P37,IF(AT37&lt;&gt;0,SSDI*W37,0))</f>
        <v>0</v>
      </c>
      <c r="BE37" s="462">
        <f>IF(AT37&lt;&gt;0,SSHI*W37,0)</f>
        <v>0</v>
      </c>
      <c r="BF37" s="462">
        <f>IF(AND(AT37&lt;&gt;0,AN37&lt;&gt;"NE"),VLOOKUP(AN37,Retirement_Rates,3,FALSE)*W37,0)</f>
        <v>0</v>
      </c>
      <c r="BG37" s="462">
        <f>IF(AND(AT37&lt;&gt;0,AJ37&lt;&gt;"PF"),Life*W37,0)</f>
        <v>0</v>
      </c>
      <c r="BH37" s="462">
        <f>IF(AND(AT37&lt;&gt;0,AM37="Y"),UI*W37,0)</f>
        <v>0</v>
      </c>
      <c r="BI37" s="462">
        <f>IF(AND(AT37&lt;&gt;0,N37&lt;&gt;"NR"),DHR*W37,0)</f>
        <v>0</v>
      </c>
      <c r="BJ37" s="462">
        <f>IF(AT37&lt;&gt;0,WC*W37,0)</f>
        <v>0</v>
      </c>
      <c r="BK37" s="462">
        <f>IF(OR(AND(AT37&lt;&gt;0,AJ37&lt;&gt;"PF",AN37&lt;&gt;"NE",AG37&lt;&gt;"A"),AND(AL37="E",OR(AT37=1,AT37=3))),Sick*W37,0)</f>
        <v>0</v>
      </c>
      <c r="BL37" s="462">
        <f t="shared" si="5"/>
        <v>0</v>
      </c>
      <c r="BM37" s="462">
        <f t="shared" si="6"/>
        <v>0</v>
      </c>
      <c r="BN37" s="462">
        <f>IF(AND(AT37=1,AK37="E",AU37&gt;=0.75,AW37=1),HealthBY,IF(AND(AT37=1,AK37="E",AU37&gt;=0.75),HealthBY*P37,IF(AND(AT37=1,AK37="E",AU37&gt;=0.5,AW37=1),PTHealthBY,IF(AND(AT37=1,AK37="E",AU37&gt;=0.5),PTHealthBY*P37,0))))</f>
        <v>0</v>
      </c>
      <c r="BO37" s="462">
        <f>IF(AND(AT37=3,AK37="E",AV37&gt;=0.75,AW37=1),HealthBY,IF(AND(AT37=3,AK37="E",AV37&gt;=0.75),HealthBY*P37,IF(AND(AT37=3,AK37="E",AV37&gt;=0.5,AW37=1),PTHealthBY,IF(AND(AT37=3,AK37="E",AV37&gt;=0.5),PTHealthBY*P37,0))))</f>
        <v>0</v>
      </c>
      <c r="BP37" s="462">
        <f>IF(AND(AT37&lt;&gt;0,(AX37+BA37)&gt;=MAXSSDIBY),SSDIBY*MAXSSDIBY*P37,IF(AT37&lt;&gt;0,SSDIBY*W37,0))</f>
        <v>0</v>
      </c>
      <c r="BQ37" s="462">
        <f>IF(AT37&lt;&gt;0,SSHIBY*W37,0)</f>
        <v>0</v>
      </c>
      <c r="BR37" s="462">
        <f>IF(AND(AT37&lt;&gt;0,AN37&lt;&gt;"NE"),VLOOKUP(AN37,Retirement_Rates,4,FALSE)*W37,0)</f>
        <v>0</v>
      </c>
      <c r="BS37" s="462">
        <f>IF(AND(AT37&lt;&gt;0,AJ37&lt;&gt;"PF"),LifeBY*W37,0)</f>
        <v>0</v>
      </c>
      <c r="BT37" s="462">
        <f>IF(AND(AT37&lt;&gt;0,AM37="Y"),UIBY*W37,0)</f>
        <v>0</v>
      </c>
      <c r="BU37" s="462">
        <f>IF(AND(AT37&lt;&gt;0,N37&lt;&gt;"NR"),DHRBY*W37,0)</f>
        <v>0</v>
      </c>
      <c r="BV37" s="462">
        <f>IF(AT37&lt;&gt;0,WCBY*W37,0)</f>
        <v>0</v>
      </c>
      <c r="BW37" s="462">
        <f>IF(OR(AND(AT37&lt;&gt;0,AJ37&lt;&gt;"PF",AN37&lt;&gt;"NE",AG37&lt;&gt;"A"),AND(AL37="E",OR(AT37=1,AT37=3))),SickBY*W37,0)</f>
        <v>0</v>
      </c>
      <c r="BX37" s="462">
        <f t="shared" si="7"/>
        <v>0</v>
      </c>
      <c r="BY37" s="462">
        <f t="shared" si="8"/>
        <v>0</v>
      </c>
      <c r="BZ37" s="462">
        <f t="shared" si="9"/>
        <v>0</v>
      </c>
      <c r="CA37" s="462">
        <f t="shared" si="10"/>
        <v>0</v>
      </c>
      <c r="CB37" s="462">
        <f t="shared" si="11"/>
        <v>0</v>
      </c>
      <c r="CC37" s="462">
        <f>IF(AT37&lt;&gt;0,SSHICHG*Y37,0)</f>
        <v>0</v>
      </c>
      <c r="CD37" s="462">
        <f>IF(AND(AT37&lt;&gt;0,AN37&lt;&gt;"NE"),VLOOKUP(AN37,Retirement_Rates,5,FALSE)*Y37,0)</f>
        <v>0</v>
      </c>
      <c r="CE37" s="462">
        <f>IF(AND(AT37&lt;&gt;0,AJ37&lt;&gt;"PF"),LifeCHG*Y37,0)</f>
        <v>0</v>
      </c>
      <c r="CF37" s="462">
        <f>IF(AND(AT37&lt;&gt;0,AM37="Y"),UICHG*Y37,0)</f>
        <v>0</v>
      </c>
      <c r="CG37" s="462">
        <f>IF(AND(AT37&lt;&gt;0,N37&lt;&gt;"NR"),DHRCHG*Y37,0)</f>
        <v>0</v>
      </c>
      <c r="CH37" s="462">
        <f>IF(AT37&lt;&gt;0,WCCHG*Y37,0)</f>
        <v>0</v>
      </c>
      <c r="CI37" s="462">
        <f>IF(OR(AND(AT37&lt;&gt;0,AJ37&lt;&gt;"PF",AN37&lt;&gt;"NE",AG37&lt;&gt;"A"),AND(AL37="E",OR(AT37=1,AT37=3))),SickCHG*Y37,0)</f>
        <v>0</v>
      </c>
      <c r="CJ37" s="462">
        <f t="shared" si="12"/>
        <v>0</v>
      </c>
      <c r="CK37" s="462" t="str">
        <f t="shared" si="13"/>
        <v/>
      </c>
      <c r="CL37" s="462">
        <f t="shared" si="14"/>
        <v>0</v>
      </c>
      <c r="CM37" s="462">
        <f t="shared" si="15"/>
        <v>0</v>
      </c>
      <c r="CN37" s="462" t="str">
        <f t="shared" si="16"/>
        <v>0243-00</v>
      </c>
    </row>
    <row r="38" spans="1:92" ht="15" thickBot="1" x14ac:dyDescent="0.35">
      <c r="A38" s="376" t="s">
        <v>161</v>
      </c>
      <c r="B38" s="376" t="s">
        <v>162</v>
      </c>
      <c r="C38" s="376" t="s">
        <v>220</v>
      </c>
      <c r="D38" s="376" t="s">
        <v>221</v>
      </c>
      <c r="E38" s="376" t="s">
        <v>273</v>
      </c>
      <c r="F38" s="377" t="s">
        <v>166</v>
      </c>
      <c r="G38" s="376" t="s">
        <v>167</v>
      </c>
      <c r="H38" s="378"/>
      <c r="I38" s="378"/>
      <c r="J38" s="376" t="s">
        <v>193</v>
      </c>
      <c r="K38" s="376" t="s">
        <v>222</v>
      </c>
      <c r="L38" s="376" t="s">
        <v>166</v>
      </c>
      <c r="M38" s="376" t="s">
        <v>171</v>
      </c>
      <c r="N38" s="376" t="s">
        <v>223</v>
      </c>
      <c r="O38" s="379">
        <v>0</v>
      </c>
      <c r="P38" s="460">
        <v>0.5</v>
      </c>
      <c r="Q38" s="460">
        <v>0</v>
      </c>
      <c r="R38" s="380">
        <v>0</v>
      </c>
      <c r="S38" s="460">
        <v>0</v>
      </c>
      <c r="T38" s="380">
        <v>0</v>
      </c>
      <c r="U38" s="380">
        <v>0</v>
      </c>
      <c r="V38" s="380">
        <v>0</v>
      </c>
      <c r="W38" s="380">
        <v>5047.5</v>
      </c>
      <c r="X38" s="380">
        <v>1100.72</v>
      </c>
      <c r="Y38" s="380">
        <v>5047.5</v>
      </c>
      <c r="Z38" s="380">
        <v>1100.72</v>
      </c>
      <c r="AA38" s="378"/>
      <c r="AB38" s="376" t="s">
        <v>45</v>
      </c>
      <c r="AC38" s="376" t="s">
        <v>45</v>
      </c>
      <c r="AD38" s="378"/>
      <c r="AE38" s="378"/>
      <c r="AF38" s="378"/>
      <c r="AG38" s="378"/>
      <c r="AH38" s="379">
        <v>0</v>
      </c>
      <c r="AI38" s="379">
        <v>0</v>
      </c>
      <c r="AJ38" s="378"/>
      <c r="AK38" s="378"/>
      <c r="AL38" s="376" t="s">
        <v>181</v>
      </c>
      <c r="AM38" s="378"/>
      <c r="AN38" s="378"/>
      <c r="AO38" s="379">
        <v>0</v>
      </c>
      <c r="AP38" s="460">
        <v>0</v>
      </c>
      <c r="AQ38" s="460">
        <v>0</v>
      </c>
      <c r="AR38" s="459"/>
      <c r="AS38" s="462">
        <f t="shared" si="0"/>
        <v>0</v>
      </c>
      <c r="AT38">
        <f t="shared" si="1"/>
        <v>0</v>
      </c>
      <c r="AU38" s="462" t="str">
        <f>IF(AT38=0,"",IF(AND(AT38=1,M38="F",SUMIF(C2:C391,C38,AS2:AS391)&lt;=1),SUMIF(C2:C391,C38,AS2:AS391),IF(AND(AT38=1,M38="F",SUMIF(C2:C391,C38,AS2:AS391)&gt;1),1,"")))</f>
        <v/>
      </c>
      <c r="AV38" s="462" t="str">
        <f>IF(AT38=0,"",IF(AND(AT38=3,M38="F",SUMIF(C2:C391,C38,AS2:AS391)&lt;=1),SUMIF(C2:C391,C38,AS2:AS391),IF(AND(AT38=3,M38="F",SUMIF(C2:C391,C38,AS2:AS391)&gt;1),1,"")))</f>
        <v/>
      </c>
      <c r="AW38" s="462">
        <f>SUMIF(C2:C391,C38,O2:O391)</f>
        <v>0</v>
      </c>
      <c r="AX38" s="462">
        <f>IF(AND(M38="F",AS38&lt;&gt;0),SUMIF(C2:C391,C38,W2:W391),0)</f>
        <v>0</v>
      </c>
      <c r="AY38" s="462" t="str">
        <f t="shared" si="2"/>
        <v/>
      </c>
      <c r="AZ38" s="462" t="str">
        <f t="shared" si="3"/>
        <v/>
      </c>
      <c r="BA38" s="462">
        <f t="shared" si="4"/>
        <v>0</v>
      </c>
      <c r="BB38" s="462">
        <f>IF(AND(AT38=1,AK38="E",AU38&gt;=0.75,AW38=1),Health,IF(AND(AT38=1,AK38="E",AU38&gt;=0.75),Health*P38,IF(AND(AT38=1,AK38="E",AU38&gt;=0.5,AW38=1),PTHealth,IF(AND(AT38=1,AK38="E",AU38&gt;=0.5),PTHealth*P38,0))))</f>
        <v>0</v>
      </c>
      <c r="BC38" s="462">
        <f>IF(AND(AT38=3,AK38="E",AV38&gt;=0.75,AW38=1),Health,IF(AND(AT38=3,AK38="E",AV38&gt;=0.75),Health*P38,IF(AND(AT38=3,AK38="E",AV38&gt;=0.5,AW38=1),PTHealth,IF(AND(AT38=3,AK38="E",AV38&gt;=0.5),PTHealth*P38,0))))</f>
        <v>0</v>
      </c>
      <c r="BD38" s="462">
        <f>IF(AND(AT38&lt;&gt;0,AX38&gt;=MAXSSDI),SSDI*MAXSSDI*P38,IF(AT38&lt;&gt;0,SSDI*W38,0))</f>
        <v>0</v>
      </c>
      <c r="BE38" s="462">
        <f>IF(AT38&lt;&gt;0,SSHI*W38,0)</f>
        <v>0</v>
      </c>
      <c r="BF38" s="462">
        <f>IF(AND(AT38&lt;&gt;0,AN38&lt;&gt;"NE"),VLOOKUP(AN38,Retirement_Rates,3,FALSE)*W38,0)</f>
        <v>0</v>
      </c>
      <c r="BG38" s="462">
        <f>IF(AND(AT38&lt;&gt;0,AJ38&lt;&gt;"PF"),Life*W38,0)</f>
        <v>0</v>
      </c>
      <c r="BH38" s="462">
        <f>IF(AND(AT38&lt;&gt;0,AM38="Y"),UI*W38,0)</f>
        <v>0</v>
      </c>
      <c r="BI38" s="462">
        <f>IF(AND(AT38&lt;&gt;0,N38&lt;&gt;"NR"),DHR*W38,0)</f>
        <v>0</v>
      </c>
      <c r="BJ38" s="462">
        <f>IF(AT38&lt;&gt;0,WC*W38,0)</f>
        <v>0</v>
      </c>
      <c r="BK38" s="462">
        <f>IF(OR(AND(AT38&lt;&gt;0,AJ38&lt;&gt;"PF",AN38&lt;&gt;"NE",AG38&lt;&gt;"A"),AND(AL38="E",OR(AT38=1,AT38=3))),Sick*W38,0)</f>
        <v>0</v>
      </c>
      <c r="BL38" s="462">
        <f t="shared" si="5"/>
        <v>0</v>
      </c>
      <c r="BM38" s="462">
        <f t="shared" si="6"/>
        <v>0</v>
      </c>
      <c r="BN38" s="462">
        <f>IF(AND(AT38=1,AK38="E",AU38&gt;=0.75,AW38=1),HealthBY,IF(AND(AT38=1,AK38="E",AU38&gt;=0.75),HealthBY*P38,IF(AND(AT38=1,AK38="E",AU38&gt;=0.5,AW38=1),PTHealthBY,IF(AND(AT38=1,AK38="E",AU38&gt;=0.5),PTHealthBY*P38,0))))</f>
        <v>0</v>
      </c>
      <c r="BO38" s="462">
        <f>IF(AND(AT38=3,AK38="E",AV38&gt;=0.75,AW38=1),HealthBY,IF(AND(AT38=3,AK38="E",AV38&gt;=0.75),HealthBY*P38,IF(AND(AT38=3,AK38="E",AV38&gt;=0.5,AW38=1),PTHealthBY,IF(AND(AT38=3,AK38="E",AV38&gt;=0.5),PTHealthBY*P38,0))))</f>
        <v>0</v>
      </c>
      <c r="BP38" s="462">
        <f>IF(AND(AT38&lt;&gt;0,(AX38+BA38)&gt;=MAXSSDIBY),SSDIBY*MAXSSDIBY*P38,IF(AT38&lt;&gt;0,SSDIBY*W38,0))</f>
        <v>0</v>
      </c>
      <c r="BQ38" s="462">
        <f>IF(AT38&lt;&gt;0,SSHIBY*W38,0)</f>
        <v>0</v>
      </c>
      <c r="BR38" s="462">
        <f>IF(AND(AT38&lt;&gt;0,AN38&lt;&gt;"NE"),VLOOKUP(AN38,Retirement_Rates,4,FALSE)*W38,0)</f>
        <v>0</v>
      </c>
      <c r="BS38" s="462">
        <f>IF(AND(AT38&lt;&gt;0,AJ38&lt;&gt;"PF"),LifeBY*W38,0)</f>
        <v>0</v>
      </c>
      <c r="BT38" s="462">
        <f>IF(AND(AT38&lt;&gt;0,AM38="Y"),UIBY*W38,0)</f>
        <v>0</v>
      </c>
      <c r="BU38" s="462">
        <f>IF(AND(AT38&lt;&gt;0,N38&lt;&gt;"NR"),DHRBY*W38,0)</f>
        <v>0</v>
      </c>
      <c r="BV38" s="462">
        <f>IF(AT38&lt;&gt;0,WCBY*W38,0)</f>
        <v>0</v>
      </c>
      <c r="BW38" s="462">
        <f>IF(OR(AND(AT38&lt;&gt;0,AJ38&lt;&gt;"PF",AN38&lt;&gt;"NE",AG38&lt;&gt;"A"),AND(AL38="E",OR(AT38=1,AT38=3))),SickBY*W38,0)</f>
        <v>0</v>
      </c>
      <c r="BX38" s="462">
        <f t="shared" si="7"/>
        <v>0</v>
      </c>
      <c r="BY38" s="462">
        <f t="shared" si="8"/>
        <v>0</v>
      </c>
      <c r="BZ38" s="462">
        <f t="shared" si="9"/>
        <v>0</v>
      </c>
      <c r="CA38" s="462">
        <f t="shared" si="10"/>
        <v>0</v>
      </c>
      <c r="CB38" s="462">
        <f t="shared" si="11"/>
        <v>0</v>
      </c>
      <c r="CC38" s="462">
        <f>IF(AT38&lt;&gt;0,SSHICHG*Y38,0)</f>
        <v>0</v>
      </c>
      <c r="CD38" s="462">
        <f>IF(AND(AT38&lt;&gt;0,AN38&lt;&gt;"NE"),VLOOKUP(AN38,Retirement_Rates,5,FALSE)*Y38,0)</f>
        <v>0</v>
      </c>
      <c r="CE38" s="462">
        <f>IF(AND(AT38&lt;&gt;0,AJ38&lt;&gt;"PF"),LifeCHG*Y38,0)</f>
        <v>0</v>
      </c>
      <c r="CF38" s="462">
        <f>IF(AND(AT38&lt;&gt;0,AM38="Y"),UICHG*Y38,0)</f>
        <v>0</v>
      </c>
      <c r="CG38" s="462">
        <f>IF(AND(AT38&lt;&gt;0,N38&lt;&gt;"NR"),DHRCHG*Y38,0)</f>
        <v>0</v>
      </c>
      <c r="CH38" s="462">
        <f>IF(AT38&lt;&gt;0,WCCHG*Y38,0)</f>
        <v>0</v>
      </c>
      <c r="CI38" s="462">
        <f>IF(OR(AND(AT38&lt;&gt;0,AJ38&lt;&gt;"PF",AN38&lt;&gt;"NE",AG38&lt;&gt;"A"),AND(AL38="E",OR(AT38=1,AT38=3))),SickCHG*Y38,0)</f>
        <v>0</v>
      </c>
      <c r="CJ38" s="462">
        <f t="shared" si="12"/>
        <v>0</v>
      </c>
      <c r="CK38" s="462" t="str">
        <f t="shared" si="13"/>
        <v/>
      </c>
      <c r="CL38" s="462">
        <f t="shared" si="14"/>
        <v>0</v>
      </c>
      <c r="CM38" s="462">
        <f t="shared" si="15"/>
        <v>0</v>
      </c>
      <c r="CN38" s="462" t="str">
        <f t="shared" si="16"/>
        <v>0243-00</v>
      </c>
    </row>
    <row r="39" spans="1:92" ht="15" thickBot="1" x14ac:dyDescent="0.35">
      <c r="A39" s="376" t="s">
        <v>161</v>
      </c>
      <c r="B39" s="376" t="s">
        <v>162</v>
      </c>
      <c r="C39" s="376" t="s">
        <v>339</v>
      </c>
      <c r="D39" s="376" t="s">
        <v>164</v>
      </c>
      <c r="E39" s="376" t="s">
        <v>273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169</v>
      </c>
      <c r="L39" s="376" t="s">
        <v>170</v>
      </c>
      <c r="M39" s="376" t="s">
        <v>171</v>
      </c>
      <c r="N39" s="376" t="s">
        <v>172</v>
      </c>
      <c r="O39" s="379">
        <v>1</v>
      </c>
      <c r="P39" s="460">
        <v>1</v>
      </c>
      <c r="Q39" s="460">
        <v>1</v>
      </c>
      <c r="R39" s="380">
        <v>80</v>
      </c>
      <c r="S39" s="460">
        <v>1</v>
      </c>
      <c r="T39" s="380">
        <v>59416.01</v>
      </c>
      <c r="U39" s="380">
        <v>0</v>
      </c>
      <c r="V39" s="380">
        <v>23955.68</v>
      </c>
      <c r="W39" s="380">
        <v>61048</v>
      </c>
      <c r="X39" s="380">
        <v>26177.56</v>
      </c>
      <c r="Y39" s="380">
        <v>61048</v>
      </c>
      <c r="Z39" s="380">
        <v>26354.6</v>
      </c>
      <c r="AA39" s="376" t="s">
        <v>340</v>
      </c>
      <c r="AB39" s="376" t="s">
        <v>341</v>
      </c>
      <c r="AC39" s="376" t="s">
        <v>175</v>
      </c>
      <c r="AD39" s="376" t="s">
        <v>176</v>
      </c>
      <c r="AE39" s="376" t="s">
        <v>169</v>
      </c>
      <c r="AF39" s="376" t="s">
        <v>177</v>
      </c>
      <c r="AG39" s="376" t="s">
        <v>178</v>
      </c>
      <c r="AH39" s="381">
        <v>29.35</v>
      </c>
      <c r="AI39" s="381">
        <v>4990.6000000000004</v>
      </c>
      <c r="AJ39" s="376" t="s">
        <v>179</v>
      </c>
      <c r="AK39" s="376" t="s">
        <v>180</v>
      </c>
      <c r="AL39" s="376" t="s">
        <v>181</v>
      </c>
      <c r="AM39" s="376" t="s">
        <v>182</v>
      </c>
      <c r="AN39" s="376" t="s">
        <v>68</v>
      </c>
      <c r="AO39" s="379">
        <v>80</v>
      </c>
      <c r="AP39" s="460">
        <v>1</v>
      </c>
      <c r="AQ39" s="460">
        <v>1</v>
      </c>
      <c r="AR39" s="458" t="s">
        <v>183</v>
      </c>
      <c r="AS39" s="462">
        <f t="shared" si="0"/>
        <v>1</v>
      </c>
      <c r="AT39">
        <f t="shared" si="1"/>
        <v>1</v>
      </c>
      <c r="AU39" s="462">
        <f>IF(AT39=0,"",IF(AND(AT39=1,M39="F",SUMIF(C2:C391,C39,AS2:AS391)&lt;=1),SUMIF(C2:C391,C39,AS2:AS391),IF(AND(AT39=1,M39="F",SUMIF(C2:C391,C39,AS2:AS391)&gt;1),1,"")))</f>
        <v>1</v>
      </c>
      <c r="AV39" s="462" t="str">
        <f>IF(AT39=0,"",IF(AND(AT39=3,M39="F",SUMIF(C2:C391,C39,AS2:AS391)&lt;=1),SUMIF(C2:C391,C39,AS2:AS391),IF(AND(AT39=3,M39="F",SUMIF(C2:C391,C39,AS2:AS391)&gt;1),1,"")))</f>
        <v/>
      </c>
      <c r="AW39" s="462">
        <f>SUMIF(C2:C391,C39,O2:O391)</f>
        <v>1</v>
      </c>
      <c r="AX39" s="462">
        <f>IF(AND(M39="F",AS39&lt;&gt;0),SUMIF(C2:C391,C39,W2:W391),0)</f>
        <v>61048</v>
      </c>
      <c r="AY39" s="462">
        <f t="shared" si="2"/>
        <v>61048</v>
      </c>
      <c r="AZ39" s="462" t="str">
        <f t="shared" si="3"/>
        <v/>
      </c>
      <c r="BA39" s="462">
        <f t="shared" si="4"/>
        <v>0</v>
      </c>
      <c r="BB39" s="462">
        <f>IF(AND(AT39=1,AK39="E",AU39&gt;=0.75,AW39=1),Health,IF(AND(AT39=1,AK39="E",AU39&gt;=0.75),Health*P39,IF(AND(AT39=1,AK39="E",AU39&gt;=0.5,AW39=1),PTHealth,IF(AND(AT39=1,AK39="E",AU39&gt;=0.5),PTHealth*P39,0))))</f>
        <v>11650</v>
      </c>
      <c r="BC39" s="462">
        <f>IF(AND(AT39=3,AK39="E",AV39&gt;=0.75,AW39=1),Health,IF(AND(AT39=3,AK39="E",AV39&gt;=0.75),Health*P39,IF(AND(AT39=3,AK39="E",AV39&gt;=0.5,AW39=1),PTHealth,IF(AND(AT39=3,AK39="E",AV39&gt;=0.5),PTHealth*P39,0))))</f>
        <v>0</v>
      </c>
      <c r="BD39" s="462">
        <f>IF(AND(AT39&lt;&gt;0,AX39&gt;=MAXSSDI),SSDI*MAXSSDI*P39,IF(AT39&lt;&gt;0,SSDI*W39,0))</f>
        <v>3784.9760000000001</v>
      </c>
      <c r="BE39" s="462">
        <f>IF(AT39&lt;&gt;0,SSHI*W39,0)</f>
        <v>885.19600000000003</v>
      </c>
      <c r="BF39" s="462">
        <f>IF(AND(AT39&lt;&gt;0,AN39&lt;&gt;"NE"),VLOOKUP(AN39,Retirement_Rates,3,FALSE)*W39,0)</f>
        <v>7289.1312000000007</v>
      </c>
      <c r="BG39" s="462">
        <f>IF(AND(AT39&lt;&gt;0,AJ39&lt;&gt;"PF"),Life*W39,0)</f>
        <v>440.15608000000003</v>
      </c>
      <c r="BH39" s="462">
        <f>IF(AND(AT39&lt;&gt;0,AM39="Y"),UI*W39,0)</f>
        <v>299.1352</v>
      </c>
      <c r="BI39" s="462">
        <f>IF(AND(AT39&lt;&gt;0,N39&lt;&gt;"NR"),DHR*W39,0)</f>
        <v>186.80687999999998</v>
      </c>
      <c r="BJ39" s="462">
        <f>IF(AT39&lt;&gt;0,WC*W39,0)</f>
        <v>1642.1912</v>
      </c>
      <c r="BK39" s="462">
        <f>IF(OR(AND(AT39&lt;&gt;0,AJ39&lt;&gt;"PF",AN39&lt;&gt;"NE",AG39&lt;&gt;"A"),AND(AL39="E",OR(AT39=1,AT39=3))),Sick*W39,0)</f>
        <v>0</v>
      </c>
      <c r="BL39" s="462">
        <f t="shared" si="5"/>
        <v>14527.592560000003</v>
      </c>
      <c r="BM39" s="462">
        <f t="shared" si="6"/>
        <v>0</v>
      </c>
      <c r="BN39" s="462">
        <f>IF(AND(AT39=1,AK39="E",AU39&gt;=0.75,AW39=1),HealthBY,IF(AND(AT39=1,AK39="E",AU39&gt;=0.75),HealthBY*P39,IF(AND(AT39=1,AK39="E",AU39&gt;=0.5,AW39=1),PTHealthBY,IF(AND(AT39=1,AK39="E",AU39&gt;=0.5),PTHealthBY*P39,0))))</f>
        <v>11650</v>
      </c>
      <c r="BO39" s="462">
        <f>IF(AND(AT39=3,AK39="E",AV39&gt;=0.75,AW39=1),HealthBY,IF(AND(AT39=3,AK39="E",AV39&gt;=0.75),HealthBY*P39,IF(AND(AT39=3,AK39="E",AV39&gt;=0.5,AW39=1),PTHealthBY,IF(AND(AT39=3,AK39="E",AV39&gt;=0.5),PTHealthBY*P39,0))))</f>
        <v>0</v>
      </c>
      <c r="BP39" s="462">
        <f>IF(AND(AT39&lt;&gt;0,(AX39+BA39)&gt;=MAXSSDIBY),SSDIBY*MAXSSDIBY*P39,IF(AT39&lt;&gt;0,SSDIBY*W39,0))</f>
        <v>3784.9760000000001</v>
      </c>
      <c r="BQ39" s="462">
        <f>IF(AT39&lt;&gt;0,SSHIBY*W39,0)</f>
        <v>885.19600000000003</v>
      </c>
      <c r="BR39" s="462">
        <f>IF(AND(AT39&lt;&gt;0,AN39&lt;&gt;"NE"),VLOOKUP(AN39,Retirement_Rates,4,FALSE)*W39,0)</f>
        <v>7289.1312000000007</v>
      </c>
      <c r="BS39" s="462">
        <f>IF(AND(AT39&lt;&gt;0,AJ39&lt;&gt;"PF"),LifeBY*W39,0)</f>
        <v>440.15608000000003</v>
      </c>
      <c r="BT39" s="462">
        <f>IF(AND(AT39&lt;&gt;0,AM39="Y"),UIBY*W39,0)</f>
        <v>0</v>
      </c>
      <c r="BU39" s="462">
        <f>IF(AND(AT39&lt;&gt;0,N39&lt;&gt;"NR"),DHRBY*W39,0)</f>
        <v>186.80687999999998</v>
      </c>
      <c r="BV39" s="462">
        <f>IF(AT39&lt;&gt;0,WCBY*W39,0)</f>
        <v>2118.3656000000001</v>
      </c>
      <c r="BW39" s="462">
        <f>IF(OR(AND(AT39&lt;&gt;0,AJ39&lt;&gt;"PF",AN39&lt;&gt;"NE",AG39&lt;&gt;"A"),AND(AL39="E",OR(AT39=1,AT39=3))),SickBY*W39,0)</f>
        <v>0</v>
      </c>
      <c r="BX39" s="462">
        <f t="shared" si="7"/>
        <v>14704.631760000004</v>
      </c>
      <c r="BY39" s="462">
        <f t="shared" si="8"/>
        <v>0</v>
      </c>
      <c r="BZ39" s="462">
        <f t="shared" si="9"/>
        <v>0</v>
      </c>
      <c r="CA39" s="462">
        <f t="shared" si="10"/>
        <v>0</v>
      </c>
      <c r="CB39" s="462">
        <f t="shared" si="11"/>
        <v>0</v>
      </c>
      <c r="CC39" s="462">
        <f>IF(AT39&lt;&gt;0,SSHICHG*Y39,0)</f>
        <v>0</v>
      </c>
      <c r="CD39" s="462">
        <f>IF(AND(AT39&lt;&gt;0,AN39&lt;&gt;"NE"),VLOOKUP(AN39,Retirement_Rates,5,FALSE)*Y39,0)</f>
        <v>0</v>
      </c>
      <c r="CE39" s="462">
        <f>IF(AND(AT39&lt;&gt;0,AJ39&lt;&gt;"PF"),LifeCHG*Y39,0)</f>
        <v>0</v>
      </c>
      <c r="CF39" s="462">
        <f>IF(AND(AT39&lt;&gt;0,AM39="Y"),UICHG*Y39,0)</f>
        <v>-299.1352</v>
      </c>
      <c r="CG39" s="462">
        <f>IF(AND(AT39&lt;&gt;0,N39&lt;&gt;"NR"),DHRCHG*Y39,0)</f>
        <v>0</v>
      </c>
      <c r="CH39" s="462">
        <f>IF(AT39&lt;&gt;0,WCCHG*Y39,0)</f>
        <v>476.17440000000011</v>
      </c>
      <c r="CI39" s="462">
        <f>IF(OR(AND(AT39&lt;&gt;0,AJ39&lt;&gt;"PF",AN39&lt;&gt;"NE",AG39&lt;&gt;"A"),AND(AL39="E",OR(AT39=1,AT39=3))),SickCHG*Y39,0)</f>
        <v>0</v>
      </c>
      <c r="CJ39" s="462">
        <f t="shared" si="12"/>
        <v>177.03920000000011</v>
      </c>
      <c r="CK39" s="462" t="str">
        <f t="shared" si="13"/>
        <v/>
      </c>
      <c r="CL39" s="462" t="str">
        <f t="shared" si="14"/>
        <v/>
      </c>
      <c r="CM39" s="462" t="str">
        <f t="shared" si="15"/>
        <v/>
      </c>
      <c r="CN39" s="462" t="str">
        <f t="shared" si="16"/>
        <v>0243-00</v>
      </c>
    </row>
    <row r="40" spans="1:92" ht="15" thickBot="1" x14ac:dyDescent="0.35">
      <c r="A40" s="376" t="s">
        <v>161</v>
      </c>
      <c r="B40" s="376" t="s">
        <v>162</v>
      </c>
      <c r="C40" s="376" t="s">
        <v>342</v>
      </c>
      <c r="D40" s="376" t="s">
        <v>192</v>
      </c>
      <c r="E40" s="376" t="s">
        <v>273</v>
      </c>
      <c r="F40" s="377" t="s">
        <v>166</v>
      </c>
      <c r="G40" s="376" t="s">
        <v>167</v>
      </c>
      <c r="H40" s="378"/>
      <c r="I40" s="378"/>
      <c r="J40" s="376" t="s">
        <v>168</v>
      </c>
      <c r="K40" s="376" t="s">
        <v>194</v>
      </c>
      <c r="L40" s="376" t="s">
        <v>195</v>
      </c>
      <c r="M40" s="376" t="s">
        <v>171</v>
      </c>
      <c r="N40" s="376" t="s">
        <v>172</v>
      </c>
      <c r="O40" s="379">
        <v>1</v>
      </c>
      <c r="P40" s="460">
        <v>1</v>
      </c>
      <c r="Q40" s="460">
        <v>1</v>
      </c>
      <c r="R40" s="380">
        <v>80</v>
      </c>
      <c r="S40" s="460">
        <v>1</v>
      </c>
      <c r="T40" s="380">
        <v>34283.69</v>
      </c>
      <c r="U40" s="380">
        <v>0</v>
      </c>
      <c r="V40" s="380">
        <v>13491.16</v>
      </c>
      <c r="W40" s="380">
        <v>52124.800000000003</v>
      </c>
      <c r="X40" s="380">
        <v>24054.1</v>
      </c>
      <c r="Y40" s="380">
        <v>52124.800000000003</v>
      </c>
      <c r="Z40" s="380">
        <v>24205.27</v>
      </c>
      <c r="AA40" s="376" t="s">
        <v>343</v>
      </c>
      <c r="AB40" s="376" t="s">
        <v>344</v>
      </c>
      <c r="AC40" s="376" t="s">
        <v>345</v>
      </c>
      <c r="AD40" s="376" t="s">
        <v>176</v>
      </c>
      <c r="AE40" s="376" t="s">
        <v>194</v>
      </c>
      <c r="AF40" s="376" t="s">
        <v>199</v>
      </c>
      <c r="AG40" s="376" t="s">
        <v>178</v>
      </c>
      <c r="AH40" s="381">
        <v>25.06</v>
      </c>
      <c r="AI40" s="381">
        <v>497.7</v>
      </c>
      <c r="AJ40" s="376" t="s">
        <v>179</v>
      </c>
      <c r="AK40" s="376" t="s">
        <v>180</v>
      </c>
      <c r="AL40" s="376" t="s">
        <v>181</v>
      </c>
      <c r="AM40" s="376" t="s">
        <v>182</v>
      </c>
      <c r="AN40" s="376" t="s">
        <v>68</v>
      </c>
      <c r="AO40" s="379">
        <v>80</v>
      </c>
      <c r="AP40" s="460">
        <v>1</v>
      </c>
      <c r="AQ40" s="460">
        <v>1</v>
      </c>
      <c r="AR40" s="458" t="s">
        <v>183</v>
      </c>
      <c r="AS40" s="462">
        <f t="shared" si="0"/>
        <v>1</v>
      </c>
      <c r="AT40">
        <f t="shared" si="1"/>
        <v>1</v>
      </c>
      <c r="AU40" s="462">
        <f>IF(AT40=0,"",IF(AND(AT40=1,M40="F",SUMIF(C2:C391,C40,AS2:AS391)&lt;=1),SUMIF(C2:C391,C40,AS2:AS391),IF(AND(AT40=1,M40="F",SUMIF(C2:C391,C40,AS2:AS391)&gt;1),1,"")))</f>
        <v>1</v>
      </c>
      <c r="AV40" s="462" t="str">
        <f>IF(AT40=0,"",IF(AND(AT40=3,M40="F",SUMIF(C2:C391,C40,AS2:AS391)&lt;=1),SUMIF(C2:C391,C40,AS2:AS391),IF(AND(AT40=3,M40="F",SUMIF(C2:C391,C40,AS2:AS391)&gt;1),1,"")))</f>
        <v/>
      </c>
      <c r="AW40" s="462">
        <f>SUMIF(C2:C391,C40,O2:O391)</f>
        <v>1</v>
      </c>
      <c r="AX40" s="462">
        <f>IF(AND(M40="F",AS40&lt;&gt;0),SUMIF(C2:C391,C40,W2:W391),0)</f>
        <v>52124.800000000003</v>
      </c>
      <c r="AY40" s="462">
        <f t="shared" si="2"/>
        <v>52124.800000000003</v>
      </c>
      <c r="AZ40" s="462" t="str">
        <f t="shared" si="3"/>
        <v/>
      </c>
      <c r="BA40" s="462">
        <f t="shared" si="4"/>
        <v>0</v>
      </c>
      <c r="BB40" s="462">
        <f>IF(AND(AT40=1,AK40="E",AU40&gt;=0.75,AW40=1),Health,IF(AND(AT40=1,AK40="E",AU40&gt;=0.75),Health*P40,IF(AND(AT40=1,AK40="E",AU40&gt;=0.5,AW40=1),PTHealth,IF(AND(AT40=1,AK40="E",AU40&gt;=0.5),PTHealth*P40,0))))</f>
        <v>11650</v>
      </c>
      <c r="BC40" s="462">
        <f>IF(AND(AT40=3,AK40="E",AV40&gt;=0.75,AW40=1),Health,IF(AND(AT40=3,AK40="E",AV40&gt;=0.75),Health*P40,IF(AND(AT40=3,AK40="E",AV40&gt;=0.5,AW40=1),PTHealth,IF(AND(AT40=3,AK40="E",AV40&gt;=0.5),PTHealth*P40,0))))</f>
        <v>0</v>
      </c>
      <c r="BD40" s="462">
        <f>IF(AND(AT40&lt;&gt;0,AX40&gt;=MAXSSDI),SSDI*MAXSSDI*P40,IF(AT40&lt;&gt;0,SSDI*W40,0))</f>
        <v>3231.7376000000004</v>
      </c>
      <c r="BE40" s="462">
        <f>IF(AT40&lt;&gt;0,SSHI*W40,0)</f>
        <v>755.80960000000005</v>
      </c>
      <c r="BF40" s="462">
        <f>IF(AND(AT40&lt;&gt;0,AN40&lt;&gt;"NE"),VLOOKUP(AN40,Retirement_Rates,3,FALSE)*W40,0)</f>
        <v>6223.7011200000006</v>
      </c>
      <c r="BG40" s="462">
        <f>IF(AND(AT40&lt;&gt;0,AJ40&lt;&gt;"PF"),Life*W40,0)</f>
        <v>375.81980800000002</v>
      </c>
      <c r="BH40" s="462">
        <f>IF(AND(AT40&lt;&gt;0,AM40="Y"),UI*W40,0)</f>
        <v>255.41152</v>
      </c>
      <c r="BI40" s="462">
        <f>IF(AND(AT40&lt;&gt;0,N40&lt;&gt;"NR"),DHR*W40,0)</f>
        <v>159.50188800000001</v>
      </c>
      <c r="BJ40" s="462">
        <f>IF(AT40&lt;&gt;0,WC*W40,0)</f>
        <v>1402.1571200000001</v>
      </c>
      <c r="BK40" s="462">
        <f>IF(OR(AND(AT40&lt;&gt;0,AJ40&lt;&gt;"PF",AN40&lt;&gt;"NE",AG40&lt;&gt;"A"),AND(AL40="E",OR(AT40=1,AT40=3))),Sick*W40,0)</f>
        <v>0</v>
      </c>
      <c r="BL40" s="462">
        <f t="shared" si="5"/>
        <v>12404.138656000001</v>
      </c>
      <c r="BM40" s="462">
        <f t="shared" si="6"/>
        <v>0</v>
      </c>
      <c r="BN40" s="462">
        <f>IF(AND(AT40=1,AK40="E",AU40&gt;=0.75,AW40=1),HealthBY,IF(AND(AT40=1,AK40="E",AU40&gt;=0.75),HealthBY*P40,IF(AND(AT40=1,AK40="E",AU40&gt;=0.5,AW40=1),PTHealthBY,IF(AND(AT40=1,AK40="E",AU40&gt;=0.5),PTHealthBY*P40,0))))</f>
        <v>11650</v>
      </c>
      <c r="BO40" s="462">
        <f>IF(AND(AT40=3,AK40="E",AV40&gt;=0.75,AW40=1),HealthBY,IF(AND(AT40=3,AK40="E",AV40&gt;=0.75),HealthBY*P40,IF(AND(AT40=3,AK40="E",AV40&gt;=0.5,AW40=1),PTHealthBY,IF(AND(AT40=3,AK40="E",AV40&gt;=0.5),PTHealthBY*P40,0))))</f>
        <v>0</v>
      </c>
      <c r="BP40" s="462">
        <f>IF(AND(AT40&lt;&gt;0,(AX40+BA40)&gt;=MAXSSDIBY),SSDIBY*MAXSSDIBY*P40,IF(AT40&lt;&gt;0,SSDIBY*W40,0))</f>
        <v>3231.7376000000004</v>
      </c>
      <c r="BQ40" s="462">
        <f>IF(AT40&lt;&gt;0,SSHIBY*W40,0)</f>
        <v>755.80960000000005</v>
      </c>
      <c r="BR40" s="462">
        <f>IF(AND(AT40&lt;&gt;0,AN40&lt;&gt;"NE"),VLOOKUP(AN40,Retirement_Rates,4,FALSE)*W40,0)</f>
        <v>6223.7011200000006</v>
      </c>
      <c r="BS40" s="462">
        <f>IF(AND(AT40&lt;&gt;0,AJ40&lt;&gt;"PF"),LifeBY*W40,0)</f>
        <v>375.81980800000002</v>
      </c>
      <c r="BT40" s="462">
        <f>IF(AND(AT40&lt;&gt;0,AM40="Y"),UIBY*W40,0)</f>
        <v>0</v>
      </c>
      <c r="BU40" s="462">
        <f>IF(AND(AT40&lt;&gt;0,N40&lt;&gt;"NR"),DHRBY*W40,0)</f>
        <v>159.50188800000001</v>
      </c>
      <c r="BV40" s="462">
        <f>IF(AT40&lt;&gt;0,WCBY*W40,0)</f>
        <v>1808.7305600000002</v>
      </c>
      <c r="BW40" s="462">
        <f>IF(OR(AND(AT40&lt;&gt;0,AJ40&lt;&gt;"PF",AN40&lt;&gt;"NE",AG40&lt;&gt;"A"),AND(AL40="E",OR(AT40=1,AT40=3))),SickBY*W40,0)</f>
        <v>0</v>
      </c>
      <c r="BX40" s="462">
        <f t="shared" si="7"/>
        <v>12555.300576000001</v>
      </c>
      <c r="BY40" s="462">
        <f t="shared" si="8"/>
        <v>0</v>
      </c>
      <c r="BZ40" s="462">
        <f t="shared" si="9"/>
        <v>0</v>
      </c>
      <c r="CA40" s="462">
        <f t="shared" si="10"/>
        <v>0</v>
      </c>
      <c r="CB40" s="462">
        <f t="shared" si="11"/>
        <v>0</v>
      </c>
      <c r="CC40" s="462">
        <f>IF(AT40&lt;&gt;0,SSHICHG*Y40,0)</f>
        <v>0</v>
      </c>
      <c r="CD40" s="462">
        <f>IF(AND(AT40&lt;&gt;0,AN40&lt;&gt;"NE"),VLOOKUP(AN40,Retirement_Rates,5,FALSE)*Y40,0)</f>
        <v>0</v>
      </c>
      <c r="CE40" s="462">
        <f>IF(AND(AT40&lt;&gt;0,AJ40&lt;&gt;"PF"),LifeCHG*Y40,0)</f>
        <v>0</v>
      </c>
      <c r="CF40" s="462">
        <f>IF(AND(AT40&lt;&gt;0,AM40="Y"),UICHG*Y40,0)</f>
        <v>-255.41152</v>
      </c>
      <c r="CG40" s="462">
        <f>IF(AND(AT40&lt;&gt;0,N40&lt;&gt;"NR"),DHRCHG*Y40,0)</f>
        <v>0</v>
      </c>
      <c r="CH40" s="462">
        <f>IF(AT40&lt;&gt;0,WCCHG*Y40,0)</f>
        <v>406.57344000000012</v>
      </c>
      <c r="CI40" s="462">
        <f>IF(OR(AND(AT40&lt;&gt;0,AJ40&lt;&gt;"PF",AN40&lt;&gt;"NE",AG40&lt;&gt;"A"),AND(AL40="E",OR(AT40=1,AT40=3))),SickCHG*Y40,0)</f>
        <v>0</v>
      </c>
      <c r="CJ40" s="462">
        <f t="shared" si="12"/>
        <v>151.16192000000012</v>
      </c>
      <c r="CK40" s="462" t="str">
        <f t="shared" si="13"/>
        <v/>
      </c>
      <c r="CL40" s="462" t="str">
        <f t="shared" si="14"/>
        <v/>
      </c>
      <c r="CM40" s="462" t="str">
        <f t="shared" si="15"/>
        <v/>
      </c>
      <c r="CN40" s="462" t="str">
        <f t="shared" si="16"/>
        <v>0243-00</v>
      </c>
    </row>
    <row r="41" spans="1:92" ht="15" thickBot="1" x14ac:dyDescent="0.35">
      <c r="A41" s="376" t="s">
        <v>161</v>
      </c>
      <c r="B41" s="376" t="s">
        <v>162</v>
      </c>
      <c r="C41" s="376" t="s">
        <v>346</v>
      </c>
      <c r="D41" s="376" t="s">
        <v>347</v>
      </c>
      <c r="E41" s="376" t="s">
        <v>273</v>
      </c>
      <c r="F41" s="377" t="s">
        <v>166</v>
      </c>
      <c r="G41" s="376" t="s">
        <v>167</v>
      </c>
      <c r="H41" s="378"/>
      <c r="I41" s="378"/>
      <c r="J41" s="376" t="s">
        <v>193</v>
      </c>
      <c r="K41" s="376" t="s">
        <v>348</v>
      </c>
      <c r="L41" s="376" t="s">
        <v>240</v>
      </c>
      <c r="M41" s="376" t="s">
        <v>171</v>
      </c>
      <c r="N41" s="376" t="s">
        <v>172</v>
      </c>
      <c r="O41" s="379">
        <v>1</v>
      </c>
      <c r="P41" s="460">
        <v>0.5</v>
      </c>
      <c r="Q41" s="460">
        <v>0.5</v>
      </c>
      <c r="R41" s="380">
        <v>80</v>
      </c>
      <c r="S41" s="460">
        <v>0.5</v>
      </c>
      <c r="T41" s="380">
        <v>26016.02</v>
      </c>
      <c r="U41" s="380">
        <v>0</v>
      </c>
      <c r="V41" s="380">
        <v>11155.75</v>
      </c>
      <c r="W41" s="380">
        <v>26114.400000000001</v>
      </c>
      <c r="X41" s="380">
        <v>12039.42</v>
      </c>
      <c r="Y41" s="380">
        <v>26114.400000000001</v>
      </c>
      <c r="Z41" s="380">
        <v>12115.15</v>
      </c>
      <c r="AA41" s="376" t="s">
        <v>349</v>
      </c>
      <c r="AB41" s="376" t="s">
        <v>350</v>
      </c>
      <c r="AC41" s="376" t="s">
        <v>351</v>
      </c>
      <c r="AD41" s="376" t="s">
        <v>352</v>
      </c>
      <c r="AE41" s="376" t="s">
        <v>348</v>
      </c>
      <c r="AF41" s="376" t="s">
        <v>244</v>
      </c>
      <c r="AG41" s="376" t="s">
        <v>178</v>
      </c>
      <c r="AH41" s="381">
        <v>25.11</v>
      </c>
      <c r="AI41" s="381">
        <v>46365.9</v>
      </c>
      <c r="AJ41" s="376" t="s">
        <v>179</v>
      </c>
      <c r="AK41" s="376" t="s">
        <v>180</v>
      </c>
      <c r="AL41" s="376" t="s">
        <v>181</v>
      </c>
      <c r="AM41" s="376" t="s">
        <v>182</v>
      </c>
      <c r="AN41" s="376" t="s">
        <v>68</v>
      </c>
      <c r="AO41" s="379">
        <v>80</v>
      </c>
      <c r="AP41" s="460">
        <v>1</v>
      </c>
      <c r="AQ41" s="460">
        <v>0.5</v>
      </c>
      <c r="AR41" s="458" t="s">
        <v>183</v>
      </c>
      <c r="AS41" s="462">
        <f t="shared" si="0"/>
        <v>0.5</v>
      </c>
      <c r="AT41">
        <f t="shared" si="1"/>
        <v>1</v>
      </c>
      <c r="AU41" s="462">
        <f>IF(AT41=0,"",IF(AND(AT41=1,M41="F",SUMIF(C2:C391,C41,AS2:AS391)&lt;=1),SUMIF(C2:C391,C41,AS2:AS391),IF(AND(AT41=1,M41="F",SUMIF(C2:C391,C41,AS2:AS391)&gt;1),1,"")))</f>
        <v>1</v>
      </c>
      <c r="AV41" s="462" t="str">
        <f>IF(AT41=0,"",IF(AND(AT41=3,M41="F",SUMIF(C2:C391,C41,AS2:AS391)&lt;=1),SUMIF(C2:C391,C41,AS2:AS391),IF(AND(AT41=3,M41="F",SUMIF(C2:C391,C41,AS2:AS391)&gt;1),1,"")))</f>
        <v/>
      </c>
      <c r="AW41" s="462">
        <f>SUMIF(C2:C391,C41,O2:O391)</f>
        <v>2</v>
      </c>
      <c r="AX41" s="462">
        <f>IF(AND(M41="F",AS41&lt;&gt;0),SUMIF(C2:C391,C41,W2:W391),0)</f>
        <v>52228.800000000003</v>
      </c>
      <c r="AY41" s="462">
        <f t="shared" si="2"/>
        <v>26114.400000000001</v>
      </c>
      <c r="AZ41" s="462" t="str">
        <f t="shared" si="3"/>
        <v/>
      </c>
      <c r="BA41" s="462">
        <f t="shared" si="4"/>
        <v>0</v>
      </c>
      <c r="BB41" s="462">
        <f>IF(AND(AT41=1,AK41="E",AU41&gt;=0.75,AW41=1),Health,IF(AND(AT41=1,AK41="E",AU41&gt;=0.75),Health*P41,IF(AND(AT41=1,AK41="E",AU41&gt;=0.5,AW41=1),PTHealth,IF(AND(AT41=1,AK41="E",AU41&gt;=0.5),PTHealth*P41,0))))</f>
        <v>5825</v>
      </c>
      <c r="BC41" s="462">
        <f>IF(AND(AT41=3,AK41="E",AV41&gt;=0.75,AW41=1),Health,IF(AND(AT41=3,AK41="E",AV41&gt;=0.75),Health*P41,IF(AND(AT41=3,AK41="E",AV41&gt;=0.5,AW41=1),PTHealth,IF(AND(AT41=3,AK41="E",AV41&gt;=0.5),PTHealth*P41,0))))</f>
        <v>0</v>
      </c>
      <c r="BD41" s="462">
        <f>IF(AND(AT41&lt;&gt;0,AX41&gt;=MAXSSDI),SSDI*MAXSSDI*P41,IF(AT41&lt;&gt;0,SSDI*W41,0))</f>
        <v>1619.0928000000001</v>
      </c>
      <c r="BE41" s="462">
        <f>IF(AT41&lt;&gt;0,SSHI*W41,0)</f>
        <v>378.65880000000004</v>
      </c>
      <c r="BF41" s="462">
        <f>IF(AND(AT41&lt;&gt;0,AN41&lt;&gt;"NE"),VLOOKUP(AN41,Retirement_Rates,3,FALSE)*W41,0)</f>
        <v>3118.0593600000002</v>
      </c>
      <c r="BG41" s="462">
        <f>IF(AND(AT41&lt;&gt;0,AJ41&lt;&gt;"PF"),Life*W41,0)</f>
        <v>188.28482400000001</v>
      </c>
      <c r="BH41" s="462">
        <f>IF(AND(AT41&lt;&gt;0,AM41="Y"),UI*W41,0)</f>
        <v>127.96056</v>
      </c>
      <c r="BI41" s="462">
        <f>IF(AND(AT41&lt;&gt;0,N41&lt;&gt;"NR"),DHR*W41,0)</f>
        <v>79.910064000000006</v>
      </c>
      <c r="BJ41" s="462">
        <f>IF(AT41&lt;&gt;0,WC*W41,0)</f>
        <v>702.47736000000009</v>
      </c>
      <c r="BK41" s="462">
        <f>IF(OR(AND(AT41&lt;&gt;0,AJ41&lt;&gt;"PF",AN41&lt;&gt;"NE",AG41&lt;&gt;"A"),AND(AL41="E",OR(AT41=1,AT41=3))),Sick*W41,0)</f>
        <v>0</v>
      </c>
      <c r="BL41" s="462">
        <f t="shared" si="5"/>
        <v>6214.443768000001</v>
      </c>
      <c r="BM41" s="462">
        <f t="shared" si="6"/>
        <v>0</v>
      </c>
      <c r="BN41" s="462">
        <f>IF(AND(AT41=1,AK41="E",AU41&gt;=0.75,AW41=1),HealthBY,IF(AND(AT41=1,AK41="E",AU41&gt;=0.75),HealthBY*P41,IF(AND(AT41=1,AK41="E",AU41&gt;=0.5,AW41=1),PTHealthBY,IF(AND(AT41=1,AK41="E",AU41&gt;=0.5),PTHealthBY*P41,0))))</f>
        <v>5825</v>
      </c>
      <c r="BO41" s="462">
        <f>IF(AND(AT41=3,AK41="E",AV41&gt;=0.75,AW41=1),HealthBY,IF(AND(AT41=3,AK41="E",AV41&gt;=0.75),HealthBY*P41,IF(AND(AT41=3,AK41="E",AV41&gt;=0.5,AW41=1),PTHealthBY,IF(AND(AT41=3,AK41="E",AV41&gt;=0.5),PTHealthBY*P41,0))))</f>
        <v>0</v>
      </c>
      <c r="BP41" s="462">
        <f>IF(AND(AT41&lt;&gt;0,(AX41+BA41)&gt;=MAXSSDIBY),SSDIBY*MAXSSDIBY*P41,IF(AT41&lt;&gt;0,SSDIBY*W41,0))</f>
        <v>1619.0928000000001</v>
      </c>
      <c r="BQ41" s="462">
        <f>IF(AT41&lt;&gt;0,SSHIBY*W41,0)</f>
        <v>378.65880000000004</v>
      </c>
      <c r="BR41" s="462">
        <f>IF(AND(AT41&lt;&gt;0,AN41&lt;&gt;"NE"),VLOOKUP(AN41,Retirement_Rates,4,FALSE)*W41,0)</f>
        <v>3118.0593600000002</v>
      </c>
      <c r="BS41" s="462">
        <f>IF(AND(AT41&lt;&gt;0,AJ41&lt;&gt;"PF"),LifeBY*W41,0)</f>
        <v>188.28482400000001</v>
      </c>
      <c r="BT41" s="462">
        <f>IF(AND(AT41&lt;&gt;0,AM41="Y"),UIBY*W41,0)</f>
        <v>0</v>
      </c>
      <c r="BU41" s="462">
        <f>IF(AND(AT41&lt;&gt;0,N41&lt;&gt;"NR"),DHRBY*W41,0)</f>
        <v>79.910064000000006</v>
      </c>
      <c r="BV41" s="462">
        <f>IF(AT41&lt;&gt;0,WCBY*W41,0)</f>
        <v>906.16968000000008</v>
      </c>
      <c r="BW41" s="462">
        <f>IF(OR(AND(AT41&lt;&gt;0,AJ41&lt;&gt;"PF",AN41&lt;&gt;"NE",AG41&lt;&gt;"A"),AND(AL41="E",OR(AT41=1,AT41=3))),SickBY*W41,0)</f>
        <v>0</v>
      </c>
      <c r="BX41" s="462">
        <f t="shared" si="7"/>
        <v>6290.1755280000007</v>
      </c>
      <c r="BY41" s="462">
        <f t="shared" si="8"/>
        <v>0</v>
      </c>
      <c r="BZ41" s="462">
        <f t="shared" si="9"/>
        <v>0</v>
      </c>
      <c r="CA41" s="462">
        <f t="shared" si="10"/>
        <v>0</v>
      </c>
      <c r="CB41" s="462">
        <f t="shared" si="11"/>
        <v>0</v>
      </c>
      <c r="CC41" s="462">
        <f>IF(AT41&lt;&gt;0,SSHICHG*Y41,0)</f>
        <v>0</v>
      </c>
      <c r="CD41" s="462">
        <f>IF(AND(AT41&lt;&gt;0,AN41&lt;&gt;"NE"),VLOOKUP(AN41,Retirement_Rates,5,FALSE)*Y41,0)</f>
        <v>0</v>
      </c>
      <c r="CE41" s="462">
        <f>IF(AND(AT41&lt;&gt;0,AJ41&lt;&gt;"PF"),LifeCHG*Y41,0)</f>
        <v>0</v>
      </c>
      <c r="CF41" s="462">
        <f>IF(AND(AT41&lt;&gt;0,AM41="Y"),UICHG*Y41,0)</f>
        <v>-127.96056</v>
      </c>
      <c r="CG41" s="462">
        <f>IF(AND(AT41&lt;&gt;0,N41&lt;&gt;"NR"),DHRCHG*Y41,0)</f>
        <v>0</v>
      </c>
      <c r="CH41" s="462">
        <f>IF(AT41&lt;&gt;0,WCCHG*Y41,0)</f>
        <v>203.69232000000005</v>
      </c>
      <c r="CI41" s="462">
        <f>IF(OR(AND(AT41&lt;&gt;0,AJ41&lt;&gt;"PF",AN41&lt;&gt;"NE",AG41&lt;&gt;"A"),AND(AL41="E",OR(AT41=1,AT41=3))),SickCHG*Y41,0)</f>
        <v>0</v>
      </c>
      <c r="CJ41" s="462">
        <f t="shared" si="12"/>
        <v>75.731760000000051</v>
      </c>
      <c r="CK41" s="462" t="str">
        <f t="shared" si="13"/>
        <v/>
      </c>
      <c r="CL41" s="462" t="str">
        <f t="shared" si="14"/>
        <v/>
      </c>
      <c r="CM41" s="462" t="str">
        <f t="shared" si="15"/>
        <v/>
      </c>
      <c r="CN41" s="462" t="str">
        <f t="shared" si="16"/>
        <v>0243-00</v>
      </c>
    </row>
    <row r="42" spans="1:92" ht="15" thickBot="1" x14ac:dyDescent="0.35">
      <c r="A42" s="376" t="s">
        <v>161</v>
      </c>
      <c r="B42" s="376" t="s">
        <v>162</v>
      </c>
      <c r="C42" s="376" t="s">
        <v>163</v>
      </c>
      <c r="D42" s="376" t="s">
        <v>164</v>
      </c>
      <c r="E42" s="376" t="s">
        <v>273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169</v>
      </c>
      <c r="L42" s="376" t="s">
        <v>170</v>
      </c>
      <c r="M42" s="376" t="s">
        <v>171</v>
      </c>
      <c r="N42" s="376" t="s">
        <v>172</v>
      </c>
      <c r="O42" s="379">
        <v>1</v>
      </c>
      <c r="P42" s="460">
        <v>0</v>
      </c>
      <c r="Q42" s="460">
        <v>0</v>
      </c>
      <c r="R42" s="380">
        <v>80</v>
      </c>
      <c r="S42" s="460">
        <v>0</v>
      </c>
      <c r="T42" s="380">
        <v>0</v>
      </c>
      <c r="U42" s="380">
        <v>0</v>
      </c>
      <c r="V42" s="380">
        <v>95.4</v>
      </c>
      <c r="W42" s="380">
        <v>0</v>
      </c>
      <c r="X42" s="380">
        <v>0</v>
      </c>
      <c r="Y42" s="380">
        <v>0</v>
      </c>
      <c r="Z42" s="380">
        <v>0</v>
      </c>
      <c r="AA42" s="376" t="s">
        <v>173</v>
      </c>
      <c r="AB42" s="376" t="s">
        <v>174</v>
      </c>
      <c r="AC42" s="376" t="s">
        <v>175</v>
      </c>
      <c r="AD42" s="376" t="s">
        <v>176</v>
      </c>
      <c r="AE42" s="376" t="s">
        <v>169</v>
      </c>
      <c r="AF42" s="376" t="s">
        <v>177</v>
      </c>
      <c r="AG42" s="376" t="s">
        <v>178</v>
      </c>
      <c r="AH42" s="381">
        <v>29.65</v>
      </c>
      <c r="AI42" s="381">
        <v>7655.8</v>
      </c>
      <c r="AJ42" s="376" t="s">
        <v>179</v>
      </c>
      <c r="AK42" s="376" t="s">
        <v>180</v>
      </c>
      <c r="AL42" s="376" t="s">
        <v>181</v>
      </c>
      <c r="AM42" s="376" t="s">
        <v>182</v>
      </c>
      <c r="AN42" s="376" t="s">
        <v>68</v>
      </c>
      <c r="AO42" s="379">
        <v>80</v>
      </c>
      <c r="AP42" s="460">
        <v>1</v>
      </c>
      <c r="AQ42" s="460">
        <v>0</v>
      </c>
      <c r="AR42" s="458" t="s">
        <v>183</v>
      </c>
      <c r="AS42" s="462">
        <f t="shared" si="0"/>
        <v>0</v>
      </c>
      <c r="AT42">
        <f t="shared" si="1"/>
        <v>0</v>
      </c>
      <c r="AU42" s="462" t="str">
        <f>IF(AT42=0,"",IF(AND(AT42=1,M42="F",SUMIF(C2:C391,C42,AS2:AS391)&lt;=1),SUMIF(C2:C391,C42,AS2:AS391),IF(AND(AT42=1,M42="F",SUMIF(C2:C391,C42,AS2:AS391)&gt;1),1,"")))</f>
        <v/>
      </c>
      <c r="AV42" s="462" t="str">
        <f>IF(AT42=0,"",IF(AND(AT42=3,M42="F",SUMIF(C2:C391,C42,AS2:AS391)&lt;=1),SUMIF(C2:C391,C42,AS2:AS391),IF(AND(AT42=3,M42="F",SUMIF(C2:C391,C42,AS2:AS391)&gt;1),1,"")))</f>
        <v/>
      </c>
      <c r="AW42" s="462">
        <f>SUMIF(C2:C391,C42,O2:O391)</f>
        <v>2</v>
      </c>
      <c r="AX42" s="462">
        <f>IF(AND(M42="F",AS42&lt;&gt;0),SUMIF(C2:C391,C42,W2:W391),0)</f>
        <v>0</v>
      </c>
      <c r="AY42" s="462" t="str">
        <f t="shared" si="2"/>
        <v/>
      </c>
      <c r="AZ42" s="462" t="str">
        <f t="shared" si="3"/>
        <v/>
      </c>
      <c r="BA42" s="462">
        <f t="shared" si="4"/>
        <v>0</v>
      </c>
      <c r="BB42" s="462">
        <f>IF(AND(AT42=1,AK42="E",AU42&gt;=0.75,AW42=1),Health,IF(AND(AT42=1,AK42="E",AU42&gt;=0.75),Health*P42,IF(AND(AT42=1,AK42="E",AU42&gt;=0.5,AW42=1),PTHealth,IF(AND(AT42=1,AK42="E",AU42&gt;=0.5),PTHealth*P42,0))))</f>
        <v>0</v>
      </c>
      <c r="BC42" s="462">
        <f>IF(AND(AT42=3,AK42="E",AV42&gt;=0.75,AW42=1),Health,IF(AND(AT42=3,AK42="E",AV42&gt;=0.75),Health*P42,IF(AND(AT42=3,AK42="E",AV42&gt;=0.5,AW42=1),PTHealth,IF(AND(AT42=3,AK42="E",AV42&gt;=0.5),PTHealth*P42,0))))</f>
        <v>0</v>
      </c>
      <c r="BD42" s="462">
        <f>IF(AND(AT42&lt;&gt;0,AX42&gt;=MAXSSDI),SSDI*MAXSSDI*P42,IF(AT42&lt;&gt;0,SSDI*W42,0))</f>
        <v>0</v>
      </c>
      <c r="BE42" s="462">
        <f>IF(AT42&lt;&gt;0,SSHI*W42,0)</f>
        <v>0</v>
      </c>
      <c r="BF42" s="462">
        <f>IF(AND(AT42&lt;&gt;0,AN42&lt;&gt;"NE"),VLOOKUP(AN42,Retirement_Rates,3,FALSE)*W42,0)</f>
        <v>0</v>
      </c>
      <c r="BG42" s="462">
        <f>IF(AND(AT42&lt;&gt;0,AJ42&lt;&gt;"PF"),Life*W42,0)</f>
        <v>0</v>
      </c>
      <c r="BH42" s="462">
        <f>IF(AND(AT42&lt;&gt;0,AM42="Y"),UI*W42,0)</f>
        <v>0</v>
      </c>
      <c r="BI42" s="462">
        <f>IF(AND(AT42&lt;&gt;0,N42&lt;&gt;"NR"),DHR*W42,0)</f>
        <v>0</v>
      </c>
      <c r="BJ42" s="462">
        <f>IF(AT42&lt;&gt;0,WC*W42,0)</f>
        <v>0</v>
      </c>
      <c r="BK42" s="462">
        <f>IF(OR(AND(AT42&lt;&gt;0,AJ42&lt;&gt;"PF",AN42&lt;&gt;"NE",AG42&lt;&gt;"A"),AND(AL42="E",OR(AT42=1,AT42=3))),Sick*W42,0)</f>
        <v>0</v>
      </c>
      <c r="BL42" s="462">
        <f t="shared" si="5"/>
        <v>0</v>
      </c>
      <c r="BM42" s="462">
        <f t="shared" si="6"/>
        <v>0</v>
      </c>
      <c r="BN42" s="462">
        <f>IF(AND(AT42=1,AK42="E",AU42&gt;=0.75,AW42=1),HealthBY,IF(AND(AT42=1,AK42="E",AU42&gt;=0.75),HealthBY*P42,IF(AND(AT42=1,AK42="E",AU42&gt;=0.5,AW42=1),PTHealthBY,IF(AND(AT42=1,AK42="E",AU42&gt;=0.5),PTHealthBY*P42,0))))</f>
        <v>0</v>
      </c>
      <c r="BO42" s="462">
        <f>IF(AND(AT42=3,AK42="E",AV42&gt;=0.75,AW42=1),HealthBY,IF(AND(AT42=3,AK42="E",AV42&gt;=0.75),HealthBY*P42,IF(AND(AT42=3,AK42="E",AV42&gt;=0.5,AW42=1),PTHealthBY,IF(AND(AT42=3,AK42="E",AV42&gt;=0.5),PTHealthBY*P42,0))))</f>
        <v>0</v>
      </c>
      <c r="BP42" s="462">
        <f>IF(AND(AT42&lt;&gt;0,(AX42+BA42)&gt;=MAXSSDIBY),SSDIBY*MAXSSDIBY*P42,IF(AT42&lt;&gt;0,SSDIBY*W42,0))</f>
        <v>0</v>
      </c>
      <c r="BQ42" s="462">
        <f>IF(AT42&lt;&gt;0,SSHIBY*W42,0)</f>
        <v>0</v>
      </c>
      <c r="BR42" s="462">
        <f>IF(AND(AT42&lt;&gt;0,AN42&lt;&gt;"NE"),VLOOKUP(AN42,Retirement_Rates,4,FALSE)*W42,0)</f>
        <v>0</v>
      </c>
      <c r="BS42" s="462">
        <f>IF(AND(AT42&lt;&gt;0,AJ42&lt;&gt;"PF"),LifeBY*W42,0)</f>
        <v>0</v>
      </c>
      <c r="BT42" s="462">
        <f>IF(AND(AT42&lt;&gt;0,AM42="Y"),UIBY*W42,0)</f>
        <v>0</v>
      </c>
      <c r="BU42" s="462">
        <f>IF(AND(AT42&lt;&gt;0,N42&lt;&gt;"NR"),DHRBY*W42,0)</f>
        <v>0</v>
      </c>
      <c r="BV42" s="462">
        <f>IF(AT42&lt;&gt;0,WCBY*W42,0)</f>
        <v>0</v>
      </c>
      <c r="BW42" s="462">
        <f>IF(OR(AND(AT42&lt;&gt;0,AJ42&lt;&gt;"PF",AN42&lt;&gt;"NE",AG42&lt;&gt;"A"),AND(AL42="E",OR(AT42=1,AT42=3))),SickBY*W42,0)</f>
        <v>0</v>
      </c>
      <c r="BX42" s="462">
        <f t="shared" si="7"/>
        <v>0</v>
      </c>
      <c r="BY42" s="462">
        <f t="shared" si="8"/>
        <v>0</v>
      </c>
      <c r="BZ42" s="462">
        <f t="shared" si="9"/>
        <v>0</v>
      </c>
      <c r="CA42" s="462">
        <f t="shared" si="10"/>
        <v>0</v>
      </c>
      <c r="CB42" s="462">
        <f t="shared" si="11"/>
        <v>0</v>
      </c>
      <c r="CC42" s="462">
        <f>IF(AT42&lt;&gt;0,SSHICHG*Y42,0)</f>
        <v>0</v>
      </c>
      <c r="CD42" s="462">
        <f>IF(AND(AT42&lt;&gt;0,AN42&lt;&gt;"NE"),VLOOKUP(AN42,Retirement_Rates,5,FALSE)*Y42,0)</f>
        <v>0</v>
      </c>
      <c r="CE42" s="462">
        <f>IF(AND(AT42&lt;&gt;0,AJ42&lt;&gt;"PF"),LifeCHG*Y42,0)</f>
        <v>0</v>
      </c>
      <c r="CF42" s="462">
        <f>IF(AND(AT42&lt;&gt;0,AM42="Y"),UICHG*Y42,0)</f>
        <v>0</v>
      </c>
      <c r="CG42" s="462">
        <f>IF(AND(AT42&lt;&gt;0,N42&lt;&gt;"NR"),DHRCHG*Y42,0)</f>
        <v>0</v>
      </c>
      <c r="CH42" s="462">
        <f>IF(AT42&lt;&gt;0,WCCHG*Y42,0)</f>
        <v>0</v>
      </c>
      <c r="CI42" s="462">
        <f>IF(OR(AND(AT42&lt;&gt;0,AJ42&lt;&gt;"PF",AN42&lt;&gt;"NE",AG42&lt;&gt;"A"),AND(AL42="E",OR(AT42=1,AT42=3))),SickCHG*Y42,0)</f>
        <v>0</v>
      </c>
      <c r="CJ42" s="462">
        <f t="shared" si="12"/>
        <v>0</v>
      </c>
      <c r="CK42" s="462" t="str">
        <f t="shared" si="13"/>
        <v/>
      </c>
      <c r="CL42" s="462" t="str">
        <f t="shared" si="14"/>
        <v/>
      </c>
      <c r="CM42" s="462" t="str">
        <f t="shared" si="15"/>
        <v/>
      </c>
      <c r="CN42" s="462" t="str">
        <f t="shared" si="16"/>
        <v>0243-00</v>
      </c>
    </row>
    <row r="43" spans="1:92" ht="15" thickBot="1" x14ac:dyDescent="0.35">
      <c r="A43" s="376" t="s">
        <v>161</v>
      </c>
      <c r="B43" s="376" t="s">
        <v>162</v>
      </c>
      <c r="C43" s="376" t="s">
        <v>353</v>
      </c>
      <c r="D43" s="376" t="s">
        <v>354</v>
      </c>
      <c r="E43" s="376" t="s">
        <v>273</v>
      </c>
      <c r="F43" s="377" t="s">
        <v>166</v>
      </c>
      <c r="G43" s="376" t="s">
        <v>167</v>
      </c>
      <c r="H43" s="378"/>
      <c r="I43" s="378"/>
      <c r="J43" s="376" t="s">
        <v>168</v>
      </c>
      <c r="K43" s="376" t="s">
        <v>355</v>
      </c>
      <c r="L43" s="376" t="s">
        <v>178</v>
      </c>
      <c r="M43" s="376" t="s">
        <v>171</v>
      </c>
      <c r="N43" s="376" t="s">
        <v>172</v>
      </c>
      <c r="O43" s="379">
        <v>1</v>
      </c>
      <c r="P43" s="460">
        <v>1</v>
      </c>
      <c r="Q43" s="460">
        <v>1</v>
      </c>
      <c r="R43" s="380">
        <v>80</v>
      </c>
      <c r="S43" s="460">
        <v>1</v>
      </c>
      <c r="T43" s="380">
        <v>31446.77</v>
      </c>
      <c r="U43" s="380">
        <v>0</v>
      </c>
      <c r="V43" s="380">
        <v>18047.11</v>
      </c>
      <c r="W43" s="380">
        <v>32572.799999999999</v>
      </c>
      <c r="X43" s="380">
        <v>19401.310000000001</v>
      </c>
      <c r="Y43" s="380">
        <v>32572.799999999999</v>
      </c>
      <c r="Z43" s="380">
        <v>19495.78</v>
      </c>
      <c r="AA43" s="376" t="s">
        <v>356</v>
      </c>
      <c r="AB43" s="376" t="s">
        <v>357</v>
      </c>
      <c r="AC43" s="376" t="s">
        <v>358</v>
      </c>
      <c r="AD43" s="376" t="s">
        <v>359</v>
      </c>
      <c r="AE43" s="376" t="s">
        <v>355</v>
      </c>
      <c r="AF43" s="376" t="s">
        <v>190</v>
      </c>
      <c r="AG43" s="376" t="s">
        <v>178</v>
      </c>
      <c r="AH43" s="381">
        <v>15.66</v>
      </c>
      <c r="AI43" s="381">
        <v>26524.400000000001</v>
      </c>
      <c r="AJ43" s="376" t="s">
        <v>179</v>
      </c>
      <c r="AK43" s="376" t="s">
        <v>180</v>
      </c>
      <c r="AL43" s="376" t="s">
        <v>181</v>
      </c>
      <c r="AM43" s="376" t="s">
        <v>182</v>
      </c>
      <c r="AN43" s="376" t="s">
        <v>68</v>
      </c>
      <c r="AO43" s="379">
        <v>80</v>
      </c>
      <c r="AP43" s="460">
        <v>1</v>
      </c>
      <c r="AQ43" s="460">
        <v>1</v>
      </c>
      <c r="AR43" s="458" t="s">
        <v>183</v>
      </c>
      <c r="AS43" s="462">
        <f t="shared" si="0"/>
        <v>1</v>
      </c>
      <c r="AT43">
        <f t="shared" si="1"/>
        <v>1</v>
      </c>
      <c r="AU43" s="462">
        <f>IF(AT43=0,"",IF(AND(AT43=1,M43="F",SUMIF(C2:C391,C43,AS2:AS391)&lt;=1),SUMIF(C2:C391,C43,AS2:AS391),IF(AND(AT43=1,M43="F",SUMIF(C2:C391,C43,AS2:AS391)&gt;1),1,"")))</f>
        <v>1</v>
      </c>
      <c r="AV43" s="462" t="str">
        <f>IF(AT43=0,"",IF(AND(AT43=3,M43="F",SUMIF(C2:C391,C43,AS2:AS391)&lt;=1),SUMIF(C2:C391,C43,AS2:AS391),IF(AND(AT43=3,M43="F",SUMIF(C2:C391,C43,AS2:AS391)&gt;1),1,"")))</f>
        <v/>
      </c>
      <c r="AW43" s="462">
        <f>SUMIF(C2:C391,C43,O2:O391)</f>
        <v>1</v>
      </c>
      <c r="AX43" s="462">
        <f>IF(AND(M43="F",AS43&lt;&gt;0),SUMIF(C2:C391,C43,W2:W391),0)</f>
        <v>32572.799999999999</v>
      </c>
      <c r="AY43" s="462">
        <f t="shared" si="2"/>
        <v>32572.799999999999</v>
      </c>
      <c r="AZ43" s="462" t="str">
        <f t="shared" si="3"/>
        <v/>
      </c>
      <c r="BA43" s="462">
        <f t="shared" si="4"/>
        <v>0</v>
      </c>
      <c r="BB43" s="462">
        <f>IF(AND(AT43=1,AK43="E",AU43&gt;=0.75,AW43=1),Health,IF(AND(AT43=1,AK43="E",AU43&gt;=0.75),Health*P43,IF(AND(AT43=1,AK43="E",AU43&gt;=0.5,AW43=1),PTHealth,IF(AND(AT43=1,AK43="E",AU43&gt;=0.5),PTHealth*P43,0))))</f>
        <v>11650</v>
      </c>
      <c r="BC43" s="462">
        <f>IF(AND(AT43=3,AK43="E",AV43&gt;=0.75,AW43=1),Health,IF(AND(AT43=3,AK43="E",AV43&gt;=0.75),Health*P43,IF(AND(AT43=3,AK43="E",AV43&gt;=0.5,AW43=1),PTHealth,IF(AND(AT43=3,AK43="E",AV43&gt;=0.5),PTHealth*P43,0))))</f>
        <v>0</v>
      </c>
      <c r="BD43" s="462">
        <f>IF(AND(AT43&lt;&gt;0,AX43&gt;=MAXSSDI),SSDI*MAXSSDI*P43,IF(AT43&lt;&gt;0,SSDI*W43,0))</f>
        <v>2019.5136</v>
      </c>
      <c r="BE43" s="462">
        <f>IF(AT43&lt;&gt;0,SSHI*W43,0)</f>
        <v>472.30560000000003</v>
      </c>
      <c r="BF43" s="462">
        <f>IF(AND(AT43&lt;&gt;0,AN43&lt;&gt;"NE"),VLOOKUP(AN43,Retirement_Rates,3,FALSE)*W43,0)</f>
        <v>3889.1923200000001</v>
      </c>
      <c r="BG43" s="462">
        <f>IF(AND(AT43&lt;&gt;0,AJ43&lt;&gt;"PF"),Life*W43,0)</f>
        <v>234.84988799999999</v>
      </c>
      <c r="BH43" s="462">
        <f>IF(AND(AT43&lt;&gt;0,AM43="Y"),UI*W43,0)</f>
        <v>159.60672</v>
      </c>
      <c r="BI43" s="462">
        <f>IF(AND(AT43&lt;&gt;0,N43&lt;&gt;"NR"),DHR*W43,0)</f>
        <v>99.672767999999991</v>
      </c>
      <c r="BJ43" s="462">
        <f>IF(AT43&lt;&gt;0,WC*W43,0)</f>
        <v>876.20831999999996</v>
      </c>
      <c r="BK43" s="462">
        <f>IF(OR(AND(AT43&lt;&gt;0,AJ43&lt;&gt;"PF",AN43&lt;&gt;"NE",AG43&lt;&gt;"A"),AND(AL43="E",OR(AT43=1,AT43=3))),Sick*W43,0)</f>
        <v>0</v>
      </c>
      <c r="BL43" s="462">
        <f t="shared" si="5"/>
        <v>7751.3492159999996</v>
      </c>
      <c r="BM43" s="462">
        <f t="shared" si="6"/>
        <v>0</v>
      </c>
      <c r="BN43" s="462">
        <f>IF(AND(AT43=1,AK43="E",AU43&gt;=0.75,AW43=1),HealthBY,IF(AND(AT43=1,AK43="E",AU43&gt;=0.75),HealthBY*P43,IF(AND(AT43=1,AK43="E",AU43&gt;=0.5,AW43=1),PTHealthBY,IF(AND(AT43=1,AK43="E",AU43&gt;=0.5),PTHealthBY*P43,0))))</f>
        <v>11650</v>
      </c>
      <c r="BO43" s="462">
        <f>IF(AND(AT43=3,AK43="E",AV43&gt;=0.75,AW43=1),HealthBY,IF(AND(AT43=3,AK43="E",AV43&gt;=0.75),HealthBY*P43,IF(AND(AT43=3,AK43="E",AV43&gt;=0.5,AW43=1),PTHealthBY,IF(AND(AT43=3,AK43="E",AV43&gt;=0.5),PTHealthBY*P43,0))))</f>
        <v>0</v>
      </c>
      <c r="BP43" s="462">
        <f>IF(AND(AT43&lt;&gt;0,(AX43+BA43)&gt;=MAXSSDIBY),SSDIBY*MAXSSDIBY*P43,IF(AT43&lt;&gt;0,SSDIBY*W43,0))</f>
        <v>2019.5136</v>
      </c>
      <c r="BQ43" s="462">
        <f>IF(AT43&lt;&gt;0,SSHIBY*W43,0)</f>
        <v>472.30560000000003</v>
      </c>
      <c r="BR43" s="462">
        <f>IF(AND(AT43&lt;&gt;0,AN43&lt;&gt;"NE"),VLOOKUP(AN43,Retirement_Rates,4,FALSE)*W43,0)</f>
        <v>3889.1923200000001</v>
      </c>
      <c r="BS43" s="462">
        <f>IF(AND(AT43&lt;&gt;0,AJ43&lt;&gt;"PF"),LifeBY*W43,0)</f>
        <v>234.84988799999999</v>
      </c>
      <c r="BT43" s="462">
        <f>IF(AND(AT43&lt;&gt;0,AM43="Y"),UIBY*W43,0)</f>
        <v>0</v>
      </c>
      <c r="BU43" s="462">
        <f>IF(AND(AT43&lt;&gt;0,N43&lt;&gt;"NR"),DHRBY*W43,0)</f>
        <v>99.672767999999991</v>
      </c>
      <c r="BV43" s="462">
        <f>IF(AT43&lt;&gt;0,WCBY*W43,0)</f>
        <v>1130.2761600000001</v>
      </c>
      <c r="BW43" s="462">
        <f>IF(OR(AND(AT43&lt;&gt;0,AJ43&lt;&gt;"PF",AN43&lt;&gt;"NE",AG43&lt;&gt;"A"),AND(AL43="E",OR(AT43=1,AT43=3))),SickBY*W43,0)</f>
        <v>0</v>
      </c>
      <c r="BX43" s="462">
        <f t="shared" si="7"/>
        <v>7845.8103360000005</v>
      </c>
      <c r="BY43" s="462">
        <f t="shared" si="8"/>
        <v>0</v>
      </c>
      <c r="BZ43" s="462">
        <f t="shared" si="9"/>
        <v>0</v>
      </c>
      <c r="CA43" s="462">
        <f t="shared" si="10"/>
        <v>0</v>
      </c>
      <c r="CB43" s="462">
        <f t="shared" si="11"/>
        <v>0</v>
      </c>
      <c r="CC43" s="462">
        <f>IF(AT43&lt;&gt;0,SSHICHG*Y43,0)</f>
        <v>0</v>
      </c>
      <c r="CD43" s="462">
        <f>IF(AND(AT43&lt;&gt;0,AN43&lt;&gt;"NE"),VLOOKUP(AN43,Retirement_Rates,5,FALSE)*Y43,0)</f>
        <v>0</v>
      </c>
      <c r="CE43" s="462">
        <f>IF(AND(AT43&lt;&gt;0,AJ43&lt;&gt;"PF"),LifeCHG*Y43,0)</f>
        <v>0</v>
      </c>
      <c r="CF43" s="462">
        <f>IF(AND(AT43&lt;&gt;0,AM43="Y"),UICHG*Y43,0)</f>
        <v>-159.60672</v>
      </c>
      <c r="CG43" s="462">
        <f>IF(AND(AT43&lt;&gt;0,N43&lt;&gt;"NR"),DHRCHG*Y43,0)</f>
        <v>0</v>
      </c>
      <c r="CH43" s="462">
        <f>IF(AT43&lt;&gt;0,WCCHG*Y43,0)</f>
        <v>254.06784000000005</v>
      </c>
      <c r="CI43" s="462">
        <f>IF(OR(AND(AT43&lt;&gt;0,AJ43&lt;&gt;"PF",AN43&lt;&gt;"NE",AG43&lt;&gt;"A"),AND(AL43="E",OR(AT43=1,AT43=3))),SickCHG*Y43,0)</f>
        <v>0</v>
      </c>
      <c r="CJ43" s="462">
        <f t="shared" si="12"/>
        <v>94.461120000000051</v>
      </c>
      <c r="CK43" s="462" t="str">
        <f t="shared" si="13"/>
        <v/>
      </c>
      <c r="CL43" s="462" t="str">
        <f t="shared" si="14"/>
        <v/>
      </c>
      <c r="CM43" s="462" t="str">
        <f t="shared" si="15"/>
        <v/>
      </c>
      <c r="CN43" s="462" t="str">
        <f t="shared" si="16"/>
        <v>0243-00</v>
      </c>
    </row>
    <row r="44" spans="1:92" ht="15" thickBot="1" x14ac:dyDescent="0.35">
      <c r="A44" s="376" t="s">
        <v>161</v>
      </c>
      <c r="B44" s="376" t="s">
        <v>162</v>
      </c>
      <c r="C44" s="376" t="s">
        <v>360</v>
      </c>
      <c r="D44" s="376" t="s">
        <v>221</v>
      </c>
      <c r="E44" s="376" t="s">
        <v>273</v>
      </c>
      <c r="F44" s="377" t="s">
        <v>166</v>
      </c>
      <c r="G44" s="376" t="s">
        <v>167</v>
      </c>
      <c r="H44" s="378"/>
      <c r="I44" s="378"/>
      <c r="J44" s="376" t="s">
        <v>168</v>
      </c>
      <c r="K44" s="376" t="s">
        <v>222</v>
      </c>
      <c r="L44" s="376" t="s">
        <v>166</v>
      </c>
      <c r="M44" s="376" t="s">
        <v>225</v>
      </c>
      <c r="N44" s="376" t="s">
        <v>223</v>
      </c>
      <c r="O44" s="379">
        <v>0</v>
      </c>
      <c r="P44" s="460">
        <v>1</v>
      </c>
      <c r="Q44" s="460">
        <v>0</v>
      </c>
      <c r="R44" s="380">
        <v>0</v>
      </c>
      <c r="S44" s="460">
        <v>0</v>
      </c>
      <c r="T44" s="380">
        <v>0</v>
      </c>
      <c r="U44" s="380">
        <v>0</v>
      </c>
      <c r="V44" s="380">
        <v>0</v>
      </c>
      <c r="W44" s="380">
        <v>0</v>
      </c>
      <c r="X44" s="380">
        <v>0</v>
      </c>
      <c r="Y44" s="380">
        <v>0</v>
      </c>
      <c r="Z44" s="380">
        <v>0</v>
      </c>
      <c r="AA44" s="378"/>
      <c r="AB44" s="376" t="s">
        <v>45</v>
      </c>
      <c r="AC44" s="376" t="s">
        <v>45</v>
      </c>
      <c r="AD44" s="378"/>
      <c r="AE44" s="378"/>
      <c r="AF44" s="378"/>
      <c r="AG44" s="378"/>
      <c r="AH44" s="379">
        <v>0</v>
      </c>
      <c r="AI44" s="379">
        <v>0</v>
      </c>
      <c r="AJ44" s="378"/>
      <c r="AK44" s="378"/>
      <c r="AL44" s="376" t="s">
        <v>181</v>
      </c>
      <c r="AM44" s="378"/>
      <c r="AN44" s="378"/>
      <c r="AO44" s="379">
        <v>0</v>
      </c>
      <c r="AP44" s="460">
        <v>0</v>
      </c>
      <c r="AQ44" s="460">
        <v>0</v>
      </c>
      <c r="AR44" s="459"/>
      <c r="AS44" s="462">
        <f t="shared" si="0"/>
        <v>0</v>
      </c>
      <c r="AT44">
        <f t="shared" si="1"/>
        <v>0</v>
      </c>
      <c r="AU44" s="462" t="str">
        <f>IF(AT44=0,"",IF(AND(AT44=1,M44="F",SUMIF(C2:C391,C44,AS2:AS391)&lt;=1),SUMIF(C2:C391,C44,AS2:AS391),IF(AND(AT44=1,M44="F",SUMIF(C2:C391,C44,AS2:AS391)&gt;1),1,"")))</f>
        <v/>
      </c>
      <c r="AV44" s="462" t="str">
        <f>IF(AT44=0,"",IF(AND(AT44=3,M44="F",SUMIF(C2:C391,C44,AS2:AS391)&lt;=1),SUMIF(C2:C391,C44,AS2:AS391),IF(AND(AT44=3,M44="F",SUMIF(C2:C391,C44,AS2:AS391)&gt;1),1,"")))</f>
        <v/>
      </c>
      <c r="AW44" s="462">
        <f>SUMIF(C2:C391,C44,O2:O391)</f>
        <v>0</v>
      </c>
      <c r="AX44" s="462">
        <f>IF(AND(M44="F",AS44&lt;&gt;0),SUMIF(C2:C391,C44,W2:W391),0)</f>
        <v>0</v>
      </c>
      <c r="AY44" s="462" t="str">
        <f t="shared" si="2"/>
        <v/>
      </c>
      <c r="AZ44" s="462" t="str">
        <f t="shared" si="3"/>
        <v/>
      </c>
      <c r="BA44" s="462">
        <f t="shared" si="4"/>
        <v>0</v>
      </c>
      <c r="BB44" s="462">
        <f>IF(AND(AT44=1,AK44="E",AU44&gt;=0.75,AW44=1),Health,IF(AND(AT44=1,AK44="E",AU44&gt;=0.75),Health*P44,IF(AND(AT44=1,AK44="E",AU44&gt;=0.5,AW44=1),PTHealth,IF(AND(AT44=1,AK44="E",AU44&gt;=0.5),PTHealth*P44,0))))</f>
        <v>0</v>
      </c>
      <c r="BC44" s="462">
        <f>IF(AND(AT44=3,AK44="E",AV44&gt;=0.75,AW44=1),Health,IF(AND(AT44=3,AK44="E",AV44&gt;=0.75),Health*P44,IF(AND(AT44=3,AK44="E",AV44&gt;=0.5,AW44=1),PTHealth,IF(AND(AT44=3,AK44="E",AV44&gt;=0.5),PTHealth*P44,0))))</f>
        <v>0</v>
      </c>
      <c r="BD44" s="462">
        <f>IF(AND(AT44&lt;&gt;0,AX44&gt;=MAXSSDI),SSDI*MAXSSDI*P44,IF(AT44&lt;&gt;0,SSDI*W44,0))</f>
        <v>0</v>
      </c>
      <c r="BE44" s="462">
        <f>IF(AT44&lt;&gt;0,SSHI*W44,0)</f>
        <v>0</v>
      </c>
      <c r="BF44" s="462">
        <f>IF(AND(AT44&lt;&gt;0,AN44&lt;&gt;"NE"),VLOOKUP(AN44,Retirement_Rates,3,FALSE)*W44,0)</f>
        <v>0</v>
      </c>
      <c r="BG44" s="462">
        <f>IF(AND(AT44&lt;&gt;0,AJ44&lt;&gt;"PF"),Life*W44,0)</f>
        <v>0</v>
      </c>
      <c r="BH44" s="462">
        <f>IF(AND(AT44&lt;&gt;0,AM44="Y"),UI*W44,0)</f>
        <v>0</v>
      </c>
      <c r="BI44" s="462">
        <f>IF(AND(AT44&lt;&gt;0,N44&lt;&gt;"NR"),DHR*W44,0)</f>
        <v>0</v>
      </c>
      <c r="BJ44" s="462">
        <f>IF(AT44&lt;&gt;0,WC*W44,0)</f>
        <v>0</v>
      </c>
      <c r="BK44" s="462">
        <f>IF(OR(AND(AT44&lt;&gt;0,AJ44&lt;&gt;"PF",AN44&lt;&gt;"NE",AG44&lt;&gt;"A"),AND(AL44="E",OR(AT44=1,AT44=3))),Sick*W44,0)</f>
        <v>0</v>
      </c>
      <c r="BL44" s="462">
        <f t="shared" si="5"/>
        <v>0</v>
      </c>
      <c r="BM44" s="462">
        <f t="shared" si="6"/>
        <v>0</v>
      </c>
      <c r="BN44" s="462">
        <f>IF(AND(AT44=1,AK44="E",AU44&gt;=0.75,AW44=1),HealthBY,IF(AND(AT44=1,AK44="E",AU44&gt;=0.75),HealthBY*P44,IF(AND(AT44=1,AK44="E",AU44&gt;=0.5,AW44=1),PTHealthBY,IF(AND(AT44=1,AK44="E",AU44&gt;=0.5),PTHealthBY*P44,0))))</f>
        <v>0</v>
      </c>
      <c r="BO44" s="462">
        <f>IF(AND(AT44=3,AK44="E",AV44&gt;=0.75,AW44=1),HealthBY,IF(AND(AT44=3,AK44="E",AV44&gt;=0.75),HealthBY*P44,IF(AND(AT44=3,AK44="E",AV44&gt;=0.5,AW44=1),PTHealthBY,IF(AND(AT44=3,AK44="E",AV44&gt;=0.5),PTHealthBY*P44,0))))</f>
        <v>0</v>
      </c>
      <c r="BP44" s="462">
        <f>IF(AND(AT44&lt;&gt;0,(AX44+BA44)&gt;=MAXSSDIBY),SSDIBY*MAXSSDIBY*P44,IF(AT44&lt;&gt;0,SSDIBY*W44,0))</f>
        <v>0</v>
      </c>
      <c r="BQ44" s="462">
        <f>IF(AT44&lt;&gt;0,SSHIBY*W44,0)</f>
        <v>0</v>
      </c>
      <c r="BR44" s="462">
        <f>IF(AND(AT44&lt;&gt;0,AN44&lt;&gt;"NE"),VLOOKUP(AN44,Retirement_Rates,4,FALSE)*W44,0)</f>
        <v>0</v>
      </c>
      <c r="BS44" s="462">
        <f>IF(AND(AT44&lt;&gt;0,AJ44&lt;&gt;"PF"),LifeBY*W44,0)</f>
        <v>0</v>
      </c>
      <c r="BT44" s="462">
        <f>IF(AND(AT44&lt;&gt;0,AM44="Y"),UIBY*W44,0)</f>
        <v>0</v>
      </c>
      <c r="BU44" s="462">
        <f>IF(AND(AT44&lt;&gt;0,N44&lt;&gt;"NR"),DHRBY*W44,0)</f>
        <v>0</v>
      </c>
      <c r="BV44" s="462">
        <f>IF(AT44&lt;&gt;0,WCBY*W44,0)</f>
        <v>0</v>
      </c>
      <c r="BW44" s="462">
        <f>IF(OR(AND(AT44&lt;&gt;0,AJ44&lt;&gt;"PF",AN44&lt;&gt;"NE",AG44&lt;&gt;"A"),AND(AL44="E",OR(AT44=1,AT44=3))),SickBY*W44,0)</f>
        <v>0</v>
      </c>
      <c r="BX44" s="462">
        <f t="shared" si="7"/>
        <v>0</v>
      </c>
      <c r="BY44" s="462">
        <f t="shared" si="8"/>
        <v>0</v>
      </c>
      <c r="BZ44" s="462">
        <f t="shared" si="9"/>
        <v>0</v>
      </c>
      <c r="CA44" s="462">
        <f t="shared" si="10"/>
        <v>0</v>
      </c>
      <c r="CB44" s="462">
        <f t="shared" si="11"/>
        <v>0</v>
      </c>
      <c r="CC44" s="462">
        <f>IF(AT44&lt;&gt;0,SSHICHG*Y44,0)</f>
        <v>0</v>
      </c>
      <c r="CD44" s="462">
        <f>IF(AND(AT44&lt;&gt;0,AN44&lt;&gt;"NE"),VLOOKUP(AN44,Retirement_Rates,5,FALSE)*Y44,0)</f>
        <v>0</v>
      </c>
      <c r="CE44" s="462">
        <f>IF(AND(AT44&lt;&gt;0,AJ44&lt;&gt;"PF"),LifeCHG*Y44,0)</f>
        <v>0</v>
      </c>
      <c r="CF44" s="462">
        <f>IF(AND(AT44&lt;&gt;0,AM44="Y"),UICHG*Y44,0)</f>
        <v>0</v>
      </c>
      <c r="CG44" s="462">
        <f>IF(AND(AT44&lt;&gt;0,N44&lt;&gt;"NR"),DHRCHG*Y44,0)</f>
        <v>0</v>
      </c>
      <c r="CH44" s="462">
        <f>IF(AT44&lt;&gt;0,WCCHG*Y44,0)</f>
        <v>0</v>
      </c>
      <c r="CI44" s="462">
        <f>IF(OR(AND(AT44&lt;&gt;0,AJ44&lt;&gt;"PF",AN44&lt;&gt;"NE",AG44&lt;&gt;"A"),AND(AL44="E",OR(AT44=1,AT44=3))),SickCHG*Y44,0)</f>
        <v>0</v>
      </c>
      <c r="CJ44" s="462">
        <f t="shared" si="12"/>
        <v>0</v>
      </c>
      <c r="CK44" s="462" t="str">
        <f t="shared" si="13"/>
        <v/>
      </c>
      <c r="CL44" s="462">
        <f t="shared" si="14"/>
        <v>0</v>
      </c>
      <c r="CM44" s="462">
        <f t="shared" si="15"/>
        <v>0</v>
      </c>
      <c r="CN44" s="462" t="str">
        <f t="shared" si="16"/>
        <v>0243-00</v>
      </c>
    </row>
    <row r="45" spans="1:92" ht="15" thickBot="1" x14ac:dyDescent="0.35">
      <c r="A45" s="376" t="s">
        <v>161</v>
      </c>
      <c r="B45" s="376" t="s">
        <v>162</v>
      </c>
      <c r="C45" s="376" t="s">
        <v>361</v>
      </c>
      <c r="D45" s="376" t="s">
        <v>362</v>
      </c>
      <c r="E45" s="376" t="s">
        <v>273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363</v>
      </c>
      <c r="L45" s="376" t="s">
        <v>231</v>
      </c>
      <c r="M45" s="376" t="s">
        <v>171</v>
      </c>
      <c r="N45" s="376" t="s">
        <v>296</v>
      </c>
      <c r="O45" s="379">
        <v>1</v>
      </c>
      <c r="P45" s="460">
        <v>1</v>
      </c>
      <c r="Q45" s="460">
        <v>1</v>
      </c>
      <c r="R45" s="380">
        <v>80</v>
      </c>
      <c r="S45" s="460">
        <v>1</v>
      </c>
      <c r="T45" s="380">
        <v>40657.019999999997</v>
      </c>
      <c r="U45" s="380">
        <v>0</v>
      </c>
      <c r="V45" s="380">
        <v>20969.98</v>
      </c>
      <c r="W45" s="380">
        <v>41724.800000000003</v>
      </c>
      <c r="X45" s="380">
        <v>21451.54</v>
      </c>
      <c r="Y45" s="380">
        <v>41724.800000000003</v>
      </c>
      <c r="Z45" s="380">
        <v>21572.55</v>
      </c>
      <c r="AA45" s="376" t="s">
        <v>364</v>
      </c>
      <c r="AB45" s="376" t="s">
        <v>365</v>
      </c>
      <c r="AC45" s="376" t="s">
        <v>366</v>
      </c>
      <c r="AD45" s="376" t="s">
        <v>176</v>
      </c>
      <c r="AE45" s="376" t="s">
        <v>363</v>
      </c>
      <c r="AF45" s="376" t="s">
        <v>236</v>
      </c>
      <c r="AG45" s="376" t="s">
        <v>178</v>
      </c>
      <c r="AH45" s="381">
        <v>20.059999999999999</v>
      </c>
      <c r="AI45" s="381">
        <v>5438.9</v>
      </c>
      <c r="AJ45" s="376" t="s">
        <v>179</v>
      </c>
      <c r="AK45" s="376" t="s">
        <v>180</v>
      </c>
      <c r="AL45" s="376" t="s">
        <v>181</v>
      </c>
      <c r="AM45" s="376" t="s">
        <v>182</v>
      </c>
      <c r="AN45" s="376" t="s">
        <v>68</v>
      </c>
      <c r="AO45" s="379">
        <v>80</v>
      </c>
      <c r="AP45" s="460">
        <v>1</v>
      </c>
      <c r="AQ45" s="460">
        <v>1</v>
      </c>
      <c r="AR45" s="458" t="s">
        <v>183</v>
      </c>
      <c r="AS45" s="462">
        <f t="shared" si="0"/>
        <v>1</v>
      </c>
      <c r="AT45">
        <f t="shared" si="1"/>
        <v>1</v>
      </c>
      <c r="AU45" s="462">
        <f>IF(AT45=0,"",IF(AND(AT45=1,M45="F",SUMIF(C2:C391,C45,AS2:AS391)&lt;=1),SUMIF(C2:C391,C45,AS2:AS391),IF(AND(AT45=1,M45="F",SUMIF(C2:C391,C45,AS2:AS391)&gt;1),1,"")))</f>
        <v>1</v>
      </c>
      <c r="AV45" s="462" t="str">
        <f>IF(AT45=0,"",IF(AND(AT45=3,M45="F",SUMIF(C2:C391,C45,AS2:AS391)&lt;=1),SUMIF(C2:C391,C45,AS2:AS391),IF(AND(AT45=3,M45="F",SUMIF(C2:C391,C45,AS2:AS391)&gt;1),1,"")))</f>
        <v/>
      </c>
      <c r="AW45" s="462">
        <f>SUMIF(C2:C391,C45,O2:O391)</f>
        <v>1</v>
      </c>
      <c r="AX45" s="462">
        <f>IF(AND(M45="F",AS45&lt;&gt;0),SUMIF(C2:C391,C45,W2:W391),0)</f>
        <v>41724.800000000003</v>
      </c>
      <c r="AY45" s="462">
        <f t="shared" si="2"/>
        <v>41724.800000000003</v>
      </c>
      <c r="AZ45" s="462" t="str">
        <f t="shared" si="3"/>
        <v/>
      </c>
      <c r="BA45" s="462">
        <f t="shared" si="4"/>
        <v>0</v>
      </c>
      <c r="BB45" s="462">
        <f>IF(AND(AT45=1,AK45="E",AU45&gt;=0.75,AW45=1),Health,IF(AND(AT45=1,AK45="E",AU45&gt;=0.75),Health*P45,IF(AND(AT45=1,AK45="E",AU45&gt;=0.5,AW45=1),PTHealth,IF(AND(AT45=1,AK45="E",AU45&gt;=0.5),PTHealth*P45,0))))</f>
        <v>11650</v>
      </c>
      <c r="BC45" s="462">
        <f>IF(AND(AT45=3,AK45="E",AV45&gt;=0.75,AW45=1),Health,IF(AND(AT45=3,AK45="E",AV45&gt;=0.75),Health*P45,IF(AND(AT45=3,AK45="E",AV45&gt;=0.5,AW45=1),PTHealth,IF(AND(AT45=3,AK45="E",AV45&gt;=0.5),PTHealth*P45,0))))</f>
        <v>0</v>
      </c>
      <c r="BD45" s="462">
        <f>IF(AND(AT45&lt;&gt;0,AX45&gt;=MAXSSDI),SSDI*MAXSSDI*P45,IF(AT45&lt;&gt;0,SSDI*W45,0))</f>
        <v>2586.9376000000002</v>
      </c>
      <c r="BE45" s="462">
        <f>IF(AT45&lt;&gt;0,SSHI*W45,0)</f>
        <v>605.00960000000009</v>
      </c>
      <c r="BF45" s="462">
        <f>IF(AND(AT45&lt;&gt;0,AN45&lt;&gt;"NE"),VLOOKUP(AN45,Retirement_Rates,3,FALSE)*W45,0)</f>
        <v>4981.9411200000004</v>
      </c>
      <c r="BG45" s="462">
        <f>IF(AND(AT45&lt;&gt;0,AJ45&lt;&gt;"PF"),Life*W45,0)</f>
        <v>300.83580800000004</v>
      </c>
      <c r="BH45" s="462">
        <f>IF(AND(AT45&lt;&gt;0,AM45="Y"),UI*W45,0)</f>
        <v>204.45152000000002</v>
      </c>
      <c r="BI45" s="462">
        <f>IF(AND(AT45&lt;&gt;0,N45&lt;&gt;"NR"),DHR*W45,0)</f>
        <v>0</v>
      </c>
      <c r="BJ45" s="462">
        <f>IF(AT45&lt;&gt;0,WC*W45,0)</f>
        <v>1122.3971200000001</v>
      </c>
      <c r="BK45" s="462">
        <f>IF(OR(AND(AT45&lt;&gt;0,AJ45&lt;&gt;"PF",AN45&lt;&gt;"NE",AG45&lt;&gt;"A"),AND(AL45="E",OR(AT45=1,AT45=3))),Sick*W45,0)</f>
        <v>0</v>
      </c>
      <c r="BL45" s="462">
        <f t="shared" si="5"/>
        <v>9801.5727680000018</v>
      </c>
      <c r="BM45" s="462">
        <f t="shared" si="6"/>
        <v>0</v>
      </c>
      <c r="BN45" s="462">
        <f>IF(AND(AT45=1,AK45="E",AU45&gt;=0.75,AW45=1),HealthBY,IF(AND(AT45=1,AK45="E",AU45&gt;=0.75),HealthBY*P45,IF(AND(AT45=1,AK45="E",AU45&gt;=0.5,AW45=1),PTHealthBY,IF(AND(AT45=1,AK45="E",AU45&gt;=0.5),PTHealthBY*P45,0))))</f>
        <v>11650</v>
      </c>
      <c r="BO45" s="462">
        <f>IF(AND(AT45=3,AK45="E",AV45&gt;=0.75,AW45=1),HealthBY,IF(AND(AT45=3,AK45="E",AV45&gt;=0.75),HealthBY*P45,IF(AND(AT45=3,AK45="E",AV45&gt;=0.5,AW45=1),PTHealthBY,IF(AND(AT45=3,AK45="E",AV45&gt;=0.5),PTHealthBY*P45,0))))</f>
        <v>0</v>
      </c>
      <c r="BP45" s="462">
        <f>IF(AND(AT45&lt;&gt;0,(AX45+BA45)&gt;=MAXSSDIBY),SSDIBY*MAXSSDIBY*P45,IF(AT45&lt;&gt;0,SSDIBY*W45,0))</f>
        <v>2586.9376000000002</v>
      </c>
      <c r="BQ45" s="462">
        <f>IF(AT45&lt;&gt;0,SSHIBY*W45,0)</f>
        <v>605.00960000000009</v>
      </c>
      <c r="BR45" s="462">
        <f>IF(AND(AT45&lt;&gt;0,AN45&lt;&gt;"NE"),VLOOKUP(AN45,Retirement_Rates,4,FALSE)*W45,0)</f>
        <v>4981.9411200000004</v>
      </c>
      <c r="BS45" s="462">
        <f>IF(AND(AT45&lt;&gt;0,AJ45&lt;&gt;"PF"),LifeBY*W45,0)</f>
        <v>300.83580800000004</v>
      </c>
      <c r="BT45" s="462">
        <f>IF(AND(AT45&lt;&gt;0,AM45="Y"),UIBY*W45,0)</f>
        <v>0</v>
      </c>
      <c r="BU45" s="462">
        <f>IF(AND(AT45&lt;&gt;0,N45&lt;&gt;"NR"),DHRBY*W45,0)</f>
        <v>0</v>
      </c>
      <c r="BV45" s="462">
        <f>IF(AT45&lt;&gt;0,WCBY*W45,0)</f>
        <v>1447.8505600000001</v>
      </c>
      <c r="BW45" s="462">
        <f>IF(OR(AND(AT45&lt;&gt;0,AJ45&lt;&gt;"PF",AN45&lt;&gt;"NE",AG45&lt;&gt;"A"),AND(AL45="E",OR(AT45=1,AT45=3))),SickBY*W45,0)</f>
        <v>0</v>
      </c>
      <c r="BX45" s="462">
        <f t="shared" si="7"/>
        <v>9922.5746880000024</v>
      </c>
      <c r="BY45" s="462">
        <f t="shared" si="8"/>
        <v>0</v>
      </c>
      <c r="BZ45" s="462">
        <f t="shared" si="9"/>
        <v>0</v>
      </c>
      <c r="CA45" s="462">
        <f t="shared" si="10"/>
        <v>0</v>
      </c>
      <c r="CB45" s="462">
        <f t="shared" si="11"/>
        <v>0</v>
      </c>
      <c r="CC45" s="462">
        <f>IF(AT45&lt;&gt;0,SSHICHG*Y45,0)</f>
        <v>0</v>
      </c>
      <c r="CD45" s="462">
        <f>IF(AND(AT45&lt;&gt;0,AN45&lt;&gt;"NE"),VLOOKUP(AN45,Retirement_Rates,5,FALSE)*Y45,0)</f>
        <v>0</v>
      </c>
      <c r="CE45" s="462">
        <f>IF(AND(AT45&lt;&gt;0,AJ45&lt;&gt;"PF"),LifeCHG*Y45,0)</f>
        <v>0</v>
      </c>
      <c r="CF45" s="462">
        <f>IF(AND(AT45&lt;&gt;0,AM45="Y"),UICHG*Y45,0)</f>
        <v>-204.45152000000002</v>
      </c>
      <c r="CG45" s="462">
        <f>IF(AND(AT45&lt;&gt;0,N45&lt;&gt;"NR"),DHRCHG*Y45,0)</f>
        <v>0</v>
      </c>
      <c r="CH45" s="462">
        <f>IF(AT45&lt;&gt;0,WCCHG*Y45,0)</f>
        <v>325.45344000000006</v>
      </c>
      <c r="CI45" s="462">
        <f>IF(OR(AND(AT45&lt;&gt;0,AJ45&lt;&gt;"PF",AN45&lt;&gt;"NE",AG45&lt;&gt;"A"),AND(AL45="E",OR(AT45=1,AT45=3))),SickCHG*Y45,0)</f>
        <v>0</v>
      </c>
      <c r="CJ45" s="462">
        <f t="shared" si="12"/>
        <v>121.00192000000004</v>
      </c>
      <c r="CK45" s="462" t="str">
        <f t="shared" si="13"/>
        <v/>
      </c>
      <c r="CL45" s="462" t="str">
        <f t="shared" si="14"/>
        <v/>
      </c>
      <c r="CM45" s="462" t="str">
        <f t="shared" si="15"/>
        <v/>
      </c>
      <c r="CN45" s="462" t="str">
        <f t="shared" si="16"/>
        <v>0243-00</v>
      </c>
    </row>
    <row r="46" spans="1:92" ht="15" thickBot="1" x14ac:dyDescent="0.35">
      <c r="A46" s="376" t="s">
        <v>161</v>
      </c>
      <c r="B46" s="376" t="s">
        <v>162</v>
      </c>
      <c r="C46" s="376" t="s">
        <v>237</v>
      </c>
      <c r="D46" s="376" t="s">
        <v>238</v>
      </c>
      <c r="E46" s="376" t="s">
        <v>273</v>
      </c>
      <c r="F46" s="377" t="s">
        <v>166</v>
      </c>
      <c r="G46" s="376" t="s">
        <v>167</v>
      </c>
      <c r="H46" s="378"/>
      <c r="I46" s="378"/>
      <c r="J46" s="376" t="s">
        <v>193</v>
      </c>
      <c r="K46" s="376" t="s">
        <v>239</v>
      </c>
      <c r="L46" s="376" t="s">
        <v>240</v>
      </c>
      <c r="M46" s="376" t="s">
        <v>171</v>
      </c>
      <c r="N46" s="376" t="s">
        <v>172</v>
      </c>
      <c r="O46" s="379">
        <v>1</v>
      </c>
      <c r="P46" s="460">
        <v>0.2</v>
      </c>
      <c r="Q46" s="460">
        <v>0.2</v>
      </c>
      <c r="R46" s="380">
        <v>80</v>
      </c>
      <c r="S46" s="460">
        <v>0.2</v>
      </c>
      <c r="T46" s="380">
        <v>9097.6</v>
      </c>
      <c r="U46" s="380">
        <v>0</v>
      </c>
      <c r="V46" s="380">
        <v>4217.1099999999997</v>
      </c>
      <c r="W46" s="380">
        <v>9347.52</v>
      </c>
      <c r="X46" s="380">
        <v>4554.42</v>
      </c>
      <c r="Y46" s="380">
        <v>9347.52</v>
      </c>
      <c r="Z46" s="380">
        <v>4581.53</v>
      </c>
      <c r="AA46" s="376" t="s">
        <v>241</v>
      </c>
      <c r="AB46" s="376" t="s">
        <v>242</v>
      </c>
      <c r="AC46" s="376" t="s">
        <v>243</v>
      </c>
      <c r="AD46" s="376" t="s">
        <v>176</v>
      </c>
      <c r="AE46" s="376" t="s">
        <v>239</v>
      </c>
      <c r="AF46" s="376" t="s">
        <v>244</v>
      </c>
      <c r="AG46" s="376" t="s">
        <v>178</v>
      </c>
      <c r="AH46" s="381">
        <v>22.47</v>
      </c>
      <c r="AI46" s="381">
        <v>16337.6</v>
      </c>
      <c r="AJ46" s="376" t="s">
        <v>179</v>
      </c>
      <c r="AK46" s="376" t="s">
        <v>180</v>
      </c>
      <c r="AL46" s="376" t="s">
        <v>181</v>
      </c>
      <c r="AM46" s="376" t="s">
        <v>182</v>
      </c>
      <c r="AN46" s="376" t="s">
        <v>68</v>
      </c>
      <c r="AO46" s="379">
        <v>80</v>
      </c>
      <c r="AP46" s="460">
        <v>1</v>
      </c>
      <c r="AQ46" s="460">
        <v>0.2</v>
      </c>
      <c r="AR46" s="458" t="s">
        <v>183</v>
      </c>
      <c r="AS46" s="462">
        <f t="shared" si="0"/>
        <v>0.2</v>
      </c>
      <c r="AT46">
        <f t="shared" si="1"/>
        <v>1</v>
      </c>
      <c r="AU46" s="462">
        <f>IF(AT46=0,"",IF(AND(AT46=1,M46="F",SUMIF(C2:C391,C46,AS2:AS391)&lt;=1),SUMIF(C2:C391,C46,AS2:AS391),IF(AND(AT46=1,M46="F",SUMIF(C2:C391,C46,AS2:AS391)&gt;1),1,"")))</f>
        <v>1</v>
      </c>
      <c r="AV46" s="462" t="str">
        <f>IF(AT46=0,"",IF(AND(AT46=3,M46="F",SUMIF(C2:C391,C46,AS2:AS391)&lt;=1),SUMIF(C2:C391,C46,AS2:AS391),IF(AND(AT46=3,M46="F",SUMIF(C2:C391,C46,AS2:AS391)&gt;1),1,"")))</f>
        <v/>
      </c>
      <c r="AW46" s="462">
        <f>SUMIF(C2:C391,C46,O2:O391)</f>
        <v>2</v>
      </c>
      <c r="AX46" s="462">
        <f>IF(AND(M46="F",AS46&lt;&gt;0),SUMIF(C2:C391,C46,W2:W391),0)</f>
        <v>46737.600000000006</v>
      </c>
      <c r="AY46" s="462">
        <f t="shared" si="2"/>
        <v>9347.52</v>
      </c>
      <c r="AZ46" s="462" t="str">
        <f t="shared" si="3"/>
        <v/>
      </c>
      <c r="BA46" s="462">
        <f t="shared" si="4"/>
        <v>0</v>
      </c>
      <c r="BB46" s="462">
        <f>IF(AND(AT46=1,AK46="E",AU46&gt;=0.75,AW46=1),Health,IF(AND(AT46=1,AK46="E",AU46&gt;=0.75),Health*P46,IF(AND(AT46=1,AK46="E",AU46&gt;=0.5,AW46=1),PTHealth,IF(AND(AT46=1,AK46="E",AU46&gt;=0.5),PTHealth*P46,0))))</f>
        <v>2330</v>
      </c>
      <c r="BC46" s="462">
        <f>IF(AND(AT46=3,AK46="E",AV46&gt;=0.75,AW46=1),Health,IF(AND(AT46=3,AK46="E",AV46&gt;=0.75),Health*P46,IF(AND(AT46=3,AK46="E",AV46&gt;=0.5,AW46=1),PTHealth,IF(AND(AT46=3,AK46="E",AV46&gt;=0.5),PTHealth*P46,0))))</f>
        <v>0</v>
      </c>
      <c r="BD46" s="462">
        <f>IF(AND(AT46&lt;&gt;0,AX46&gt;=MAXSSDI),SSDI*MAXSSDI*P46,IF(AT46&lt;&gt;0,SSDI*W46,0))</f>
        <v>579.54624000000001</v>
      </c>
      <c r="BE46" s="462">
        <f>IF(AT46&lt;&gt;0,SSHI*W46,0)</f>
        <v>135.53904</v>
      </c>
      <c r="BF46" s="462">
        <f>IF(AND(AT46&lt;&gt;0,AN46&lt;&gt;"NE"),VLOOKUP(AN46,Retirement_Rates,3,FALSE)*W46,0)</f>
        <v>1116.0938880000001</v>
      </c>
      <c r="BG46" s="462">
        <f>IF(AND(AT46&lt;&gt;0,AJ46&lt;&gt;"PF"),Life*W46,0)</f>
        <v>67.395619199999999</v>
      </c>
      <c r="BH46" s="462">
        <f>IF(AND(AT46&lt;&gt;0,AM46="Y"),UI*W46,0)</f>
        <v>45.802847999999997</v>
      </c>
      <c r="BI46" s="462">
        <f>IF(AND(AT46&lt;&gt;0,N46&lt;&gt;"NR"),DHR*W46,0)</f>
        <v>28.6034112</v>
      </c>
      <c r="BJ46" s="462">
        <f>IF(AT46&lt;&gt;0,WC*W46,0)</f>
        <v>251.44828800000002</v>
      </c>
      <c r="BK46" s="462">
        <f>IF(OR(AND(AT46&lt;&gt;0,AJ46&lt;&gt;"PF",AN46&lt;&gt;"NE",AG46&lt;&gt;"A"),AND(AL46="E",OR(AT46=1,AT46=3))),Sick*W46,0)</f>
        <v>0</v>
      </c>
      <c r="BL46" s="462">
        <f t="shared" si="5"/>
        <v>2224.4293344000002</v>
      </c>
      <c r="BM46" s="462">
        <f t="shared" si="6"/>
        <v>0</v>
      </c>
      <c r="BN46" s="462">
        <f>IF(AND(AT46=1,AK46="E",AU46&gt;=0.75,AW46=1),HealthBY,IF(AND(AT46=1,AK46="E",AU46&gt;=0.75),HealthBY*P46,IF(AND(AT46=1,AK46="E",AU46&gt;=0.5,AW46=1),PTHealthBY,IF(AND(AT46=1,AK46="E",AU46&gt;=0.5),PTHealthBY*P46,0))))</f>
        <v>2330</v>
      </c>
      <c r="BO46" s="462">
        <f>IF(AND(AT46=3,AK46="E",AV46&gt;=0.75,AW46=1),HealthBY,IF(AND(AT46=3,AK46="E",AV46&gt;=0.75),HealthBY*P46,IF(AND(AT46=3,AK46="E",AV46&gt;=0.5,AW46=1),PTHealthBY,IF(AND(AT46=3,AK46="E",AV46&gt;=0.5),PTHealthBY*P46,0))))</f>
        <v>0</v>
      </c>
      <c r="BP46" s="462">
        <f>IF(AND(AT46&lt;&gt;0,(AX46+BA46)&gt;=MAXSSDIBY),SSDIBY*MAXSSDIBY*P46,IF(AT46&lt;&gt;0,SSDIBY*W46,0))</f>
        <v>579.54624000000001</v>
      </c>
      <c r="BQ46" s="462">
        <f>IF(AT46&lt;&gt;0,SSHIBY*W46,0)</f>
        <v>135.53904</v>
      </c>
      <c r="BR46" s="462">
        <f>IF(AND(AT46&lt;&gt;0,AN46&lt;&gt;"NE"),VLOOKUP(AN46,Retirement_Rates,4,FALSE)*W46,0)</f>
        <v>1116.0938880000001</v>
      </c>
      <c r="BS46" s="462">
        <f>IF(AND(AT46&lt;&gt;0,AJ46&lt;&gt;"PF"),LifeBY*W46,0)</f>
        <v>67.395619199999999</v>
      </c>
      <c r="BT46" s="462">
        <f>IF(AND(AT46&lt;&gt;0,AM46="Y"),UIBY*W46,0)</f>
        <v>0</v>
      </c>
      <c r="BU46" s="462">
        <f>IF(AND(AT46&lt;&gt;0,N46&lt;&gt;"NR"),DHRBY*W46,0)</f>
        <v>28.6034112</v>
      </c>
      <c r="BV46" s="462">
        <f>IF(AT46&lt;&gt;0,WCBY*W46,0)</f>
        <v>324.35894400000001</v>
      </c>
      <c r="BW46" s="462">
        <f>IF(OR(AND(AT46&lt;&gt;0,AJ46&lt;&gt;"PF",AN46&lt;&gt;"NE",AG46&lt;&gt;"A"),AND(AL46="E",OR(AT46=1,AT46=3))),SickBY*W46,0)</f>
        <v>0</v>
      </c>
      <c r="BX46" s="462">
        <f t="shared" si="7"/>
        <v>2251.5371424</v>
      </c>
      <c r="BY46" s="462">
        <f t="shared" si="8"/>
        <v>0</v>
      </c>
      <c r="BZ46" s="462">
        <f t="shared" si="9"/>
        <v>0</v>
      </c>
      <c r="CA46" s="462">
        <f t="shared" si="10"/>
        <v>0</v>
      </c>
      <c r="CB46" s="462">
        <f t="shared" si="11"/>
        <v>0</v>
      </c>
      <c r="CC46" s="462">
        <f>IF(AT46&lt;&gt;0,SSHICHG*Y46,0)</f>
        <v>0</v>
      </c>
      <c r="CD46" s="462">
        <f>IF(AND(AT46&lt;&gt;0,AN46&lt;&gt;"NE"),VLOOKUP(AN46,Retirement_Rates,5,FALSE)*Y46,0)</f>
        <v>0</v>
      </c>
      <c r="CE46" s="462">
        <f>IF(AND(AT46&lt;&gt;0,AJ46&lt;&gt;"PF"),LifeCHG*Y46,0)</f>
        <v>0</v>
      </c>
      <c r="CF46" s="462">
        <f>IF(AND(AT46&lt;&gt;0,AM46="Y"),UICHG*Y46,0)</f>
        <v>-45.802847999999997</v>
      </c>
      <c r="CG46" s="462">
        <f>IF(AND(AT46&lt;&gt;0,N46&lt;&gt;"NR"),DHRCHG*Y46,0)</f>
        <v>0</v>
      </c>
      <c r="CH46" s="462">
        <f>IF(AT46&lt;&gt;0,WCCHG*Y46,0)</f>
        <v>72.910656000000017</v>
      </c>
      <c r="CI46" s="462">
        <f>IF(OR(AND(AT46&lt;&gt;0,AJ46&lt;&gt;"PF",AN46&lt;&gt;"NE",AG46&lt;&gt;"A"),AND(AL46="E",OR(AT46=1,AT46=3))),SickCHG*Y46,0)</f>
        <v>0</v>
      </c>
      <c r="CJ46" s="462">
        <f t="shared" si="12"/>
        <v>27.10780800000002</v>
      </c>
      <c r="CK46" s="462" t="str">
        <f t="shared" si="13"/>
        <v/>
      </c>
      <c r="CL46" s="462" t="str">
        <f t="shared" si="14"/>
        <v/>
      </c>
      <c r="CM46" s="462" t="str">
        <f t="shared" si="15"/>
        <v/>
      </c>
      <c r="CN46" s="462" t="str">
        <f t="shared" si="16"/>
        <v>0243-00</v>
      </c>
    </row>
    <row r="47" spans="1:92" ht="15" thickBot="1" x14ac:dyDescent="0.35">
      <c r="A47" s="376" t="s">
        <v>161</v>
      </c>
      <c r="B47" s="376" t="s">
        <v>162</v>
      </c>
      <c r="C47" s="376" t="s">
        <v>367</v>
      </c>
      <c r="D47" s="376" t="s">
        <v>368</v>
      </c>
      <c r="E47" s="376" t="s">
        <v>273</v>
      </c>
      <c r="F47" s="377" t="s">
        <v>166</v>
      </c>
      <c r="G47" s="376" t="s">
        <v>167</v>
      </c>
      <c r="H47" s="378"/>
      <c r="I47" s="378"/>
      <c r="J47" s="376" t="s">
        <v>229</v>
      </c>
      <c r="K47" s="376" t="s">
        <v>369</v>
      </c>
      <c r="L47" s="376" t="s">
        <v>231</v>
      </c>
      <c r="M47" s="376" t="s">
        <v>171</v>
      </c>
      <c r="N47" s="376" t="s">
        <v>172</v>
      </c>
      <c r="O47" s="379">
        <v>1</v>
      </c>
      <c r="P47" s="460">
        <v>0.4</v>
      </c>
      <c r="Q47" s="460">
        <v>0.4</v>
      </c>
      <c r="R47" s="380">
        <v>80</v>
      </c>
      <c r="S47" s="460">
        <v>0.4</v>
      </c>
      <c r="T47" s="380">
        <v>16438.98</v>
      </c>
      <c r="U47" s="380">
        <v>0</v>
      </c>
      <c r="V47" s="380">
        <v>8072.47</v>
      </c>
      <c r="W47" s="380">
        <v>16906.240000000002</v>
      </c>
      <c r="X47" s="380">
        <v>8683.16</v>
      </c>
      <c r="Y47" s="380">
        <v>16906.240000000002</v>
      </c>
      <c r="Z47" s="380">
        <v>8732.19</v>
      </c>
      <c r="AA47" s="376" t="s">
        <v>370</v>
      </c>
      <c r="AB47" s="376" t="s">
        <v>371</v>
      </c>
      <c r="AC47" s="376" t="s">
        <v>372</v>
      </c>
      <c r="AD47" s="376" t="s">
        <v>373</v>
      </c>
      <c r="AE47" s="376" t="s">
        <v>369</v>
      </c>
      <c r="AF47" s="376" t="s">
        <v>236</v>
      </c>
      <c r="AG47" s="376" t="s">
        <v>178</v>
      </c>
      <c r="AH47" s="381">
        <v>20.32</v>
      </c>
      <c r="AI47" s="379">
        <v>28035</v>
      </c>
      <c r="AJ47" s="376" t="s">
        <v>179</v>
      </c>
      <c r="AK47" s="376" t="s">
        <v>180</v>
      </c>
      <c r="AL47" s="376" t="s">
        <v>181</v>
      </c>
      <c r="AM47" s="376" t="s">
        <v>182</v>
      </c>
      <c r="AN47" s="376" t="s">
        <v>68</v>
      </c>
      <c r="AO47" s="379">
        <v>80</v>
      </c>
      <c r="AP47" s="460">
        <v>1</v>
      </c>
      <c r="AQ47" s="460">
        <v>0.4</v>
      </c>
      <c r="AR47" s="458" t="s">
        <v>183</v>
      </c>
      <c r="AS47" s="462">
        <f t="shared" si="0"/>
        <v>0.4</v>
      </c>
      <c r="AT47">
        <f t="shared" si="1"/>
        <v>1</v>
      </c>
      <c r="AU47" s="462">
        <f>IF(AT47=0,"",IF(AND(AT47=1,M47="F",SUMIF(C2:C391,C47,AS2:AS391)&lt;=1),SUMIF(C2:C391,C47,AS2:AS391),IF(AND(AT47=1,M47="F",SUMIF(C2:C391,C47,AS2:AS391)&gt;1),1,"")))</f>
        <v>1</v>
      </c>
      <c r="AV47" s="462" t="str">
        <f>IF(AT47=0,"",IF(AND(AT47=3,M47="F",SUMIF(C2:C391,C47,AS2:AS391)&lt;=1),SUMIF(C2:C391,C47,AS2:AS391),IF(AND(AT47=3,M47="F",SUMIF(C2:C391,C47,AS2:AS391)&gt;1),1,"")))</f>
        <v/>
      </c>
      <c r="AW47" s="462">
        <f>SUMIF(C2:C391,C47,O2:O391)</f>
        <v>3</v>
      </c>
      <c r="AX47" s="462">
        <f>IF(AND(M47="F",AS47&lt;&gt;0),SUMIF(C2:C391,C47,W2:W391),0)</f>
        <v>42265.600000000006</v>
      </c>
      <c r="AY47" s="462">
        <f t="shared" si="2"/>
        <v>16906.240000000002</v>
      </c>
      <c r="AZ47" s="462" t="str">
        <f t="shared" si="3"/>
        <v/>
      </c>
      <c r="BA47" s="462">
        <f t="shared" si="4"/>
        <v>0</v>
      </c>
      <c r="BB47" s="462">
        <f>IF(AND(AT47=1,AK47="E",AU47&gt;=0.75,AW47=1),Health,IF(AND(AT47=1,AK47="E",AU47&gt;=0.75),Health*P47,IF(AND(AT47=1,AK47="E",AU47&gt;=0.5,AW47=1),PTHealth,IF(AND(AT47=1,AK47="E",AU47&gt;=0.5),PTHealth*P47,0))))</f>
        <v>4660</v>
      </c>
      <c r="BC47" s="462">
        <f>IF(AND(AT47=3,AK47="E",AV47&gt;=0.75,AW47=1),Health,IF(AND(AT47=3,AK47="E",AV47&gt;=0.75),Health*P47,IF(AND(AT47=3,AK47="E",AV47&gt;=0.5,AW47=1),PTHealth,IF(AND(AT47=3,AK47="E",AV47&gt;=0.5),PTHealth*P47,0))))</f>
        <v>0</v>
      </c>
      <c r="BD47" s="462">
        <f>IF(AND(AT47&lt;&gt;0,AX47&gt;=MAXSSDI),SSDI*MAXSSDI*P47,IF(AT47&lt;&gt;0,SSDI*W47,0))</f>
        <v>1048.1868800000002</v>
      </c>
      <c r="BE47" s="462">
        <f>IF(AT47&lt;&gt;0,SSHI*W47,0)</f>
        <v>245.14048000000003</v>
      </c>
      <c r="BF47" s="462">
        <f>IF(AND(AT47&lt;&gt;0,AN47&lt;&gt;"NE"),VLOOKUP(AN47,Retirement_Rates,3,FALSE)*W47,0)</f>
        <v>2018.6050560000003</v>
      </c>
      <c r="BG47" s="462">
        <f>IF(AND(AT47&lt;&gt;0,AJ47&lt;&gt;"PF"),Life*W47,0)</f>
        <v>121.89399040000002</v>
      </c>
      <c r="BH47" s="462">
        <f>IF(AND(AT47&lt;&gt;0,AM47="Y"),UI*W47,0)</f>
        <v>82.840575999999999</v>
      </c>
      <c r="BI47" s="462">
        <f>IF(AND(AT47&lt;&gt;0,N47&lt;&gt;"NR"),DHR*W47,0)</f>
        <v>51.733094399999999</v>
      </c>
      <c r="BJ47" s="462">
        <f>IF(AT47&lt;&gt;0,WC*W47,0)</f>
        <v>454.77785600000004</v>
      </c>
      <c r="BK47" s="462">
        <f>IF(OR(AND(AT47&lt;&gt;0,AJ47&lt;&gt;"PF",AN47&lt;&gt;"NE",AG47&lt;&gt;"A"),AND(AL47="E",OR(AT47=1,AT47=3))),Sick*W47,0)</f>
        <v>0</v>
      </c>
      <c r="BL47" s="462">
        <f t="shared" si="5"/>
        <v>4023.1779328000007</v>
      </c>
      <c r="BM47" s="462">
        <f t="shared" si="6"/>
        <v>0</v>
      </c>
      <c r="BN47" s="462">
        <f>IF(AND(AT47=1,AK47="E",AU47&gt;=0.75,AW47=1),HealthBY,IF(AND(AT47=1,AK47="E",AU47&gt;=0.75),HealthBY*P47,IF(AND(AT47=1,AK47="E",AU47&gt;=0.5,AW47=1),PTHealthBY,IF(AND(AT47=1,AK47="E",AU47&gt;=0.5),PTHealthBY*P47,0))))</f>
        <v>4660</v>
      </c>
      <c r="BO47" s="462">
        <f>IF(AND(AT47=3,AK47="E",AV47&gt;=0.75,AW47=1),HealthBY,IF(AND(AT47=3,AK47="E",AV47&gt;=0.75),HealthBY*P47,IF(AND(AT47=3,AK47="E",AV47&gt;=0.5,AW47=1),PTHealthBY,IF(AND(AT47=3,AK47="E",AV47&gt;=0.5),PTHealthBY*P47,0))))</f>
        <v>0</v>
      </c>
      <c r="BP47" s="462">
        <f>IF(AND(AT47&lt;&gt;0,(AX47+BA47)&gt;=MAXSSDIBY),SSDIBY*MAXSSDIBY*P47,IF(AT47&lt;&gt;0,SSDIBY*W47,0))</f>
        <v>1048.1868800000002</v>
      </c>
      <c r="BQ47" s="462">
        <f>IF(AT47&lt;&gt;0,SSHIBY*W47,0)</f>
        <v>245.14048000000003</v>
      </c>
      <c r="BR47" s="462">
        <f>IF(AND(AT47&lt;&gt;0,AN47&lt;&gt;"NE"),VLOOKUP(AN47,Retirement_Rates,4,FALSE)*W47,0)</f>
        <v>2018.6050560000003</v>
      </c>
      <c r="BS47" s="462">
        <f>IF(AND(AT47&lt;&gt;0,AJ47&lt;&gt;"PF"),LifeBY*W47,0)</f>
        <v>121.89399040000002</v>
      </c>
      <c r="BT47" s="462">
        <f>IF(AND(AT47&lt;&gt;0,AM47="Y"),UIBY*W47,0)</f>
        <v>0</v>
      </c>
      <c r="BU47" s="462">
        <f>IF(AND(AT47&lt;&gt;0,N47&lt;&gt;"NR"),DHRBY*W47,0)</f>
        <v>51.733094399999999</v>
      </c>
      <c r="BV47" s="462">
        <f>IF(AT47&lt;&gt;0,WCBY*W47,0)</f>
        <v>586.6465280000001</v>
      </c>
      <c r="BW47" s="462">
        <f>IF(OR(AND(AT47&lt;&gt;0,AJ47&lt;&gt;"PF",AN47&lt;&gt;"NE",AG47&lt;&gt;"A"),AND(AL47="E",OR(AT47=1,AT47=3))),SickBY*W47,0)</f>
        <v>0</v>
      </c>
      <c r="BX47" s="462">
        <f t="shared" si="7"/>
        <v>4072.2060288000007</v>
      </c>
      <c r="BY47" s="462">
        <f t="shared" si="8"/>
        <v>0</v>
      </c>
      <c r="BZ47" s="462">
        <f t="shared" si="9"/>
        <v>0</v>
      </c>
      <c r="CA47" s="462">
        <f t="shared" si="10"/>
        <v>0</v>
      </c>
      <c r="CB47" s="462">
        <f t="shared" si="11"/>
        <v>0</v>
      </c>
      <c r="CC47" s="462">
        <f>IF(AT47&lt;&gt;0,SSHICHG*Y47,0)</f>
        <v>0</v>
      </c>
      <c r="CD47" s="462">
        <f>IF(AND(AT47&lt;&gt;0,AN47&lt;&gt;"NE"),VLOOKUP(AN47,Retirement_Rates,5,FALSE)*Y47,0)</f>
        <v>0</v>
      </c>
      <c r="CE47" s="462">
        <f>IF(AND(AT47&lt;&gt;0,AJ47&lt;&gt;"PF"),LifeCHG*Y47,0)</f>
        <v>0</v>
      </c>
      <c r="CF47" s="462">
        <f>IF(AND(AT47&lt;&gt;0,AM47="Y"),UICHG*Y47,0)</f>
        <v>-82.840575999999999</v>
      </c>
      <c r="CG47" s="462">
        <f>IF(AND(AT47&lt;&gt;0,N47&lt;&gt;"NR"),DHRCHG*Y47,0)</f>
        <v>0</v>
      </c>
      <c r="CH47" s="462">
        <f>IF(AT47&lt;&gt;0,WCCHG*Y47,0)</f>
        <v>131.86867200000003</v>
      </c>
      <c r="CI47" s="462">
        <f>IF(OR(AND(AT47&lt;&gt;0,AJ47&lt;&gt;"PF",AN47&lt;&gt;"NE",AG47&lt;&gt;"A"),AND(AL47="E",OR(AT47=1,AT47=3))),SickCHG*Y47,0)</f>
        <v>0</v>
      </c>
      <c r="CJ47" s="462">
        <f t="shared" si="12"/>
        <v>49.028096000000033</v>
      </c>
      <c r="CK47" s="462" t="str">
        <f t="shared" si="13"/>
        <v/>
      </c>
      <c r="CL47" s="462" t="str">
        <f t="shared" si="14"/>
        <v/>
      </c>
      <c r="CM47" s="462" t="str">
        <f t="shared" si="15"/>
        <v/>
      </c>
      <c r="CN47" s="462" t="str">
        <f t="shared" si="16"/>
        <v>0243-00</v>
      </c>
    </row>
    <row r="48" spans="1:92" ht="15" thickBot="1" x14ac:dyDescent="0.35">
      <c r="A48" s="376" t="s">
        <v>161</v>
      </c>
      <c r="B48" s="376" t="s">
        <v>162</v>
      </c>
      <c r="C48" s="376" t="s">
        <v>374</v>
      </c>
      <c r="D48" s="376" t="s">
        <v>375</v>
      </c>
      <c r="E48" s="376" t="s">
        <v>273</v>
      </c>
      <c r="F48" s="377" t="s">
        <v>166</v>
      </c>
      <c r="G48" s="376" t="s">
        <v>167</v>
      </c>
      <c r="H48" s="378"/>
      <c r="I48" s="378"/>
      <c r="J48" s="376" t="s">
        <v>193</v>
      </c>
      <c r="K48" s="376" t="s">
        <v>376</v>
      </c>
      <c r="L48" s="376" t="s">
        <v>166</v>
      </c>
      <c r="M48" s="376" t="s">
        <v>225</v>
      </c>
      <c r="N48" s="376" t="s">
        <v>296</v>
      </c>
      <c r="O48" s="379">
        <v>0</v>
      </c>
      <c r="P48" s="460">
        <v>0.8</v>
      </c>
      <c r="Q48" s="460">
        <v>0.8</v>
      </c>
      <c r="R48" s="380">
        <v>80</v>
      </c>
      <c r="S48" s="460">
        <v>0.8</v>
      </c>
      <c r="T48" s="380">
        <v>75967.399999999994</v>
      </c>
      <c r="U48" s="380">
        <v>0</v>
      </c>
      <c r="V48" s="380">
        <v>24971.91</v>
      </c>
      <c r="W48" s="380">
        <v>74447.360000000001</v>
      </c>
      <c r="X48" s="380">
        <v>32607.93</v>
      </c>
      <c r="Y48" s="380">
        <v>74447.360000000001</v>
      </c>
      <c r="Z48" s="380">
        <v>32235.7</v>
      </c>
      <c r="AA48" s="378"/>
      <c r="AB48" s="376" t="s">
        <v>45</v>
      </c>
      <c r="AC48" s="376" t="s">
        <v>45</v>
      </c>
      <c r="AD48" s="378"/>
      <c r="AE48" s="378"/>
      <c r="AF48" s="378"/>
      <c r="AG48" s="378"/>
      <c r="AH48" s="379">
        <v>0</v>
      </c>
      <c r="AI48" s="379">
        <v>0</v>
      </c>
      <c r="AJ48" s="378"/>
      <c r="AK48" s="378"/>
      <c r="AL48" s="376" t="s">
        <v>181</v>
      </c>
      <c r="AM48" s="378"/>
      <c r="AN48" s="378"/>
      <c r="AO48" s="379">
        <v>0</v>
      </c>
      <c r="AP48" s="460">
        <v>0</v>
      </c>
      <c r="AQ48" s="460">
        <v>0</v>
      </c>
      <c r="AR48" s="459"/>
      <c r="AS48" s="462">
        <f t="shared" si="0"/>
        <v>0</v>
      </c>
      <c r="AT48">
        <f t="shared" si="1"/>
        <v>0</v>
      </c>
      <c r="AU48" s="462" t="str">
        <f>IF(AT48=0,"",IF(AND(AT48=1,M48="F",SUMIF(C2:C391,C48,AS2:AS391)&lt;=1),SUMIF(C2:C391,C48,AS2:AS391),IF(AND(AT48=1,M48="F",SUMIF(C2:C391,C48,AS2:AS391)&gt;1),1,"")))</f>
        <v/>
      </c>
      <c r="AV48" s="462" t="str">
        <f>IF(AT48=0,"",IF(AND(AT48=3,M48="F",SUMIF(C2:C391,C48,AS2:AS391)&lt;=1),SUMIF(C2:C391,C48,AS2:AS391),IF(AND(AT48=3,M48="F",SUMIF(C2:C391,C48,AS2:AS391)&gt;1),1,"")))</f>
        <v/>
      </c>
      <c r="AW48" s="462">
        <f>SUMIF(C2:C391,C48,O2:O391)</f>
        <v>0</v>
      </c>
      <c r="AX48" s="462">
        <f>IF(AND(M48="F",AS48&lt;&gt;0),SUMIF(C2:C391,C48,W2:W391),0)</f>
        <v>0</v>
      </c>
      <c r="AY48" s="462" t="str">
        <f t="shared" si="2"/>
        <v/>
      </c>
      <c r="AZ48" s="462" t="str">
        <f t="shared" si="3"/>
        <v/>
      </c>
      <c r="BA48" s="462">
        <f t="shared" si="4"/>
        <v>0</v>
      </c>
      <c r="BB48" s="462">
        <f>IF(AND(AT48=1,AK48="E",AU48&gt;=0.75,AW48=1),Health,IF(AND(AT48=1,AK48="E",AU48&gt;=0.75),Health*P48,IF(AND(AT48=1,AK48="E",AU48&gt;=0.5,AW48=1),PTHealth,IF(AND(AT48=1,AK48="E",AU48&gt;=0.5),PTHealth*P48,0))))</f>
        <v>0</v>
      </c>
      <c r="BC48" s="462">
        <f>IF(AND(AT48=3,AK48="E",AV48&gt;=0.75,AW48=1),Health,IF(AND(AT48=3,AK48="E",AV48&gt;=0.75),Health*P48,IF(AND(AT48=3,AK48="E",AV48&gt;=0.5,AW48=1),PTHealth,IF(AND(AT48=3,AK48="E",AV48&gt;=0.5),PTHealth*P48,0))))</f>
        <v>0</v>
      </c>
      <c r="BD48" s="462">
        <f>IF(AND(AT48&lt;&gt;0,AX48&gt;=MAXSSDI),SSDI*MAXSSDI*P48,IF(AT48&lt;&gt;0,SSDI*W48,0))</f>
        <v>0</v>
      </c>
      <c r="BE48" s="462">
        <f>IF(AT48&lt;&gt;0,SSHI*W48,0)</f>
        <v>0</v>
      </c>
      <c r="BF48" s="462">
        <f>IF(AND(AT48&lt;&gt;0,AN48&lt;&gt;"NE"),VLOOKUP(AN48,Retirement_Rates,3,FALSE)*W48,0)</f>
        <v>0</v>
      </c>
      <c r="BG48" s="462">
        <f>IF(AND(AT48&lt;&gt;0,AJ48&lt;&gt;"PF"),Life*W48,0)</f>
        <v>0</v>
      </c>
      <c r="BH48" s="462">
        <f>IF(AND(AT48&lt;&gt;0,AM48="Y"),UI*W48,0)</f>
        <v>0</v>
      </c>
      <c r="BI48" s="462">
        <f>IF(AND(AT48&lt;&gt;0,N48&lt;&gt;"NR"),DHR*W48,0)</f>
        <v>0</v>
      </c>
      <c r="BJ48" s="462">
        <f>IF(AT48&lt;&gt;0,WC*W48,0)</f>
        <v>0</v>
      </c>
      <c r="BK48" s="462">
        <f>IF(OR(AND(AT48&lt;&gt;0,AJ48&lt;&gt;"PF",AN48&lt;&gt;"NE",AG48&lt;&gt;"A"),AND(AL48="E",OR(AT48=1,AT48=3))),Sick*W48,0)</f>
        <v>0</v>
      </c>
      <c r="BL48" s="462">
        <f t="shared" si="5"/>
        <v>0</v>
      </c>
      <c r="BM48" s="462">
        <f t="shared" si="6"/>
        <v>0</v>
      </c>
      <c r="BN48" s="462">
        <f>IF(AND(AT48=1,AK48="E",AU48&gt;=0.75,AW48=1),HealthBY,IF(AND(AT48=1,AK48="E",AU48&gt;=0.75),HealthBY*P48,IF(AND(AT48=1,AK48="E",AU48&gt;=0.5,AW48=1),PTHealthBY,IF(AND(AT48=1,AK48="E",AU48&gt;=0.5),PTHealthBY*P48,0))))</f>
        <v>0</v>
      </c>
      <c r="BO48" s="462">
        <f>IF(AND(AT48=3,AK48="E",AV48&gt;=0.75,AW48=1),HealthBY,IF(AND(AT48=3,AK48="E",AV48&gt;=0.75),HealthBY*P48,IF(AND(AT48=3,AK48="E",AV48&gt;=0.5,AW48=1),PTHealthBY,IF(AND(AT48=3,AK48="E",AV48&gt;=0.5),PTHealthBY*P48,0))))</f>
        <v>0</v>
      </c>
      <c r="BP48" s="462">
        <f>IF(AND(AT48&lt;&gt;0,(AX48+BA48)&gt;=MAXSSDIBY),SSDIBY*MAXSSDIBY*P48,IF(AT48&lt;&gt;0,SSDIBY*W48,0))</f>
        <v>0</v>
      </c>
      <c r="BQ48" s="462">
        <f>IF(AT48&lt;&gt;0,SSHIBY*W48,0)</f>
        <v>0</v>
      </c>
      <c r="BR48" s="462">
        <f>IF(AND(AT48&lt;&gt;0,AN48&lt;&gt;"NE"),VLOOKUP(AN48,Retirement_Rates,4,FALSE)*W48,0)</f>
        <v>0</v>
      </c>
      <c r="BS48" s="462">
        <f>IF(AND(AT48&lt;&gt;0,AJ48&lt;&gt;"PF"),LifeBY*W48,0)</f>
        <v>0</v>
      </c>
      <c r="BT48" s="462">
        <f>IF(AND(AT48&lt;&gt;0,AM48="Y"),UIBY*W48,0)</f>
        <v>0</v>
      </c>
      <c r="BU48" s="462">
        <f>IF(AND(AT48&lt;&gt;0,N48&lt;&gt;"NR"),DHRBY*W48,0)</f>
        <v>0</v>
      </c>
      <c r="BV48" s="462">
        <f>IF(AT48&lt;&gt;0,WCBY*W48,0)</f>
        <v>0</v>
      </c>
      <c r="BW48" s="462">
        <f>IF(OR(AND(AT48&lt;&gt;0,AJ48&lt;&gt;"PF",AN48&lt;&gt;"NE",AG48&lt;&gt;"A"),AND(AL48="E",OR(AT48=1,AT48=3))),SickBY*W48,0)</f>
        <v>0</v>
      </c>
      <c r="BX48" s="462">
        <f t="shared" si="7"/>
        <v>0</v>
      </c>
      <c r="BY48" s="462">
        <f t="shared" si="8"/>
        <v>0</v>
      </c>
      <c r="BZ48" s="462">
        <f t="shared" si="9"/>
        <v>0</v>
      </c>
      <c r="CA48" s="462">
        <f t="shared" si="10"/>
        <v>0</v>
      </c>
      <c r="CB48" s="462">
        <f t="shared" si="11"/>
        <v>0</v>
      </c>
      <c r="CC48" s="462">
        <f>IF(AT48&lt;&gt;0,SSHICHG*Y48,0)</f>
        <v>0</v>
      </c>
      <c r="CD48" s="462">
        <f>IF(AND(AT48&lt;&gt;0,AN48&lt;&gt;"NE"),VLOOKUP(AN48,Retirement_Rates,5,FALSE)*Y48,0)</f>
        <v>0</v>
      </c>
      <c r="CE48" s="462">
        <f>IF(AND(AT48&lt;&gt;0,AJ48&lt;&gt;"PF"),LifeCHG*Y48,0)</f>
        <v>0</v>
      </c>
      <c r="CF48" s="462">
        <f>IF(AND(AT48&lt;&gt;0,AM48="Y"),UICHG*Y48,0)</f>
        <v>0</v>
      </c>
      <c r="CG48" s="462">
        <f>IF(AND(AT48&lt;&gt;0,N48&lt;&gt;"NR"),DHRCHG*Y48,0)</f>
        <v>0</v>
      </c>
      <c r="CH48" s="462">
        <f>IF(AT48&lt;&gt;0,WCCHG*Y48,0)</f>
        <v>0</v>
      </c>
      <c r="CI48" s="462">
        <f>IF(OR(AND(AT48&lt;&gt;0,AJ48&lt;&gt;"PF",AN48&lt;&gt;"NE",AG48&lt;&gt;"A"),AND(AL48="E",OR(AT48=1,AT48=3))),SickCHG*Y48,0)</f>
        <v>0</v>
      </c>
      <c r="CJ48" s="462">
        <f t="shared" si="12"/>
        <v>0</v>
      </c>
      <c r="CK48" s="462" t="str">
        <f t="shared" si="13"/>
        <v/>
      </c>
      <c r="CL48" s="462" t="str">
        <f t="shared" si="14"/>
        <v/>
      </c>
      <c r="CM48" s="462" t="str">
        <f t="shared" si="15"/>
        <v/>
      </c>
      <c r="CN48" s="462" t="str">
        <f t="shared" si="16"/>
        <v>0243-00</v>
      </c>
    </row>
    <row r="49" spans="1:92" ht="15" thickBot="1" x14ac:dyDescent="0.35">
      <c r="A49" s="376" t="s">
        <v>161</v>
      </c>
      <c r="B49" s="376" t="s">
        <v>162</v>
      </c>
      <c r="C49" s="376" t="s">
        <v>254</v>
      </c>
      <c r="D49" s="376" t="s">
        <v>238</v>
      </c>
      <c r="E49" s="376" t="s">
        <v>273</v>
      </c>
      <c r="F49" s="377" t="s">
        <v>166</v>
      </c>
      <c r="G49" s="376" t="s">
        <v>167</v>
      </c>
      <c r="H49" s="378"/>
      <c r="I49" s="378"/>
      <c r="J49" s="376" t="s">
        <v>193</v>
      </c>
      <c r="K49" s="376" t="s">
        <v>239</v>
      </c>
      <c r="L49" s="376" t="s">
        <v>240</v>
      </c>
      <c r="M49" s="376" t="s">
        <v>171</v>
      </c>
      <c r="N49" s="376" t="s">
        <v>172</v>
      </c>
      <c r="O49" s="379">
        <v>1</v>
      </c>
      <c r="P49" s="460">
        <v>0.4</v>
      </c>
      <c r="Q49" s="460">
        <v>0.4</v>
      </c>
      <c r="R49" s="380">
        <v>80</v>
      </c>
      <c r="S49" s="460">
        <v>0.4</v>
      </c>
      <c r="T49" s="380">
        <v>18394.900000000001</v>
      </c>
      <c r="U49" s="380">
        <v>0</v>
      </c>
      <c r="V49" s="380">
        <v>8424.1</v>
      </c>
      <c r="W49" s="380">
        <v>18919.68</v>
      </c>
      <c r="X49" s="380">
        <v>9162.2999999999993</v>
      </c>
      <c r="Y49" s="380">
        <v>18919.68</v>
      </c>
      <c r="Z49" s="380">
        <v>9217.17</v>
      </c>
      <c r="AA49" s="376" t="s">
        <v>255</v>
      </c>
      <c r="AB49" s="376" t="s">
        <v>256</v>
      </c>
      <c r="AC49" s="376" t="s">
        <v>257</v>
      </c>
      <c r="AD49" s="376" t="s">
        <v>176</v>
      </c>
      <c r="AE49" s="376" t="s">
        <v>239</v>
      </c>
      <c r="AF49" s="376" t="s">
        <v>244</v>
      </c>
      <c r="AG49" s="376" t="s">
        <v>178</v>
      </c>
      <c r="AH49" s="381">
        <v>22.74</v>
      </c>
      <c r="AI49" s="379">
        <v>16800</v>
      </c>
      <c r="AJ49" s="376" t="s">
        <v>179</v>
      </c>
      <c r="AK49" s="376" t="s">
        <v>180</v>
      </c>
      <c r="AL49" s="376" t="s">
        <v>181</v>
      </c>
      <c r="AM49" s="376" t="s">
        <v>182</v>
      </c>
      <c r="AN49" s="376" t="s">
        <v>68</v>
      </c>
      <c r="AO49" s="379">
        <v>80</v>
      </c>
      <c r="AP49" s="460">
        <v>1</v>
      </c>
      <c r="AQ49" s="460">
        <v>0.4</v>
      </c>
      <c r="AR49" s="458" t="s">
        <v>183</v>
      </c>
      <c r="AS49" s="462">
        <f t="shared" si="0"/>
        <v>0.4</v>
      </c>
      <c r="AT49">
        <f t="shared" si="1"/>
        <v>1</v>
      </c>
      <c r="AU49" s="462">
        <f>IF(AT49=0,"",IF(AND(AT49=1,M49="F",SUMIF(C2:C391,C49,AS2:AS391)&lt;=1),SUMIF(C2:C391,C49,AS2:AS391),IF(AND(AT49=1,M49="F",SUMIF(C2:C391,C49,AS2:AS391)&gt;1),1,"")))</f>
        <v>1</v>
      </c>
      <c r="AV49" s="462" t="str">
        <f>IF(AT49=0,"",IF(AND(AT49=3,M49="F",SUMIF(C2:C391,C49,AS2:AS391)&lt;=1),SUMIF(C2:C391,C49,AS2:AS391),IF(AND(AT49=3,M49="F",SUMIF(C2:C391,C49,AS2:AS391)&gt;1),1,"")))</f>
        <v/>
      </c>
      <c r="AW49" s="462">
        <f>SUMIF(C2:C391,C49,O2:O391)</f>
        <v>2</v>
      </c>
      <c r="AX49" s="462">
        <f>IF(AND(M49="F",AS49&lt;&gt;0),SUMIF(C2:C391,C49,W2:W391),0)</f>
        <v>47299.199999999997</v>
      </c>
      <c r="AY49" s="462">
        <f t="shared" si="2"/>
        <v>18919.68</v>
      </c>
      <c r="AZ49" s="462" t="str">
        <f t="shared" si="3"/>
        <v/>
      </c>
      <c r="BA49" s="462">
        <f t="shared" si="4"/>
        <v>0</v>
      </c>
      <c r="BB49" s="462">
        <f>IF(AND(AT49=1,AK49="E",AU49&gt;=0.75,AW49=1),Health,IF(AND(AT49=1,AK49="E",AU49&gt;=0.75),Health*P49,IF(AND(AT49=1,AK49="E",AU49&gt;=0.5,AW49=1),PTHealth,IF(AND(AT49=1,AK49="E",AU49&gt;=0.5),PTHealth*P49,0))))</f>
        <v>4660</v>
      </c>
      <c r="BC49" s="462">
        <f>IF(AND(AT49=3,AK49="E",AV49&gt;=0.75,AW49=1),Health,IF(AND(AT49=3,AK49="E",AV49&gt;=0.75),Health*P49,IF(AND(AT49=3,AK49="E",AV49&gt;=0.5,AW49=1),PTHealth,IF(AND(AT49=3,AK49="E",AV49&gt;=0.5),PTHealth*P49,0))))</f>
        <v>0</v>
      </c>
      <c r="BD49" s="462">
        <f>IF(AND(AT49&lt;&gt;0,AX49&gt;=MAXSSDI),SSDI*MAXSSDI*P49,IF(AT49&lt;&gt;0,SSDI*W49,0))</f>
        <v>1173.02016</v>
      </c>
      <c r="BE49" s="462">
        <f>IF(AT49&lt;&gt;0,SSHI*W49,0)</f>
        <v>274.33536000000004</v>
      </c>
      <c r="BF49" s="462">
        <f>IF(AND(AT49&lt;&gt;0,AN49&lt;&gt;"NE"),VLOOKUP(AN49,Retirement_Rates,3,FALSE)*W49,0)</f>
        <v>2259.0097920000003</v>
      </c>
      <c r="BG49" s="462">
        <f>IF(AND(AT49&lt;&gt;0,AJ49&lt;&gt;"PF"),Life*W49,0)</f>
        <v>136.4108928</v>
      </c>
      <c r="BH49" s="462">
        <f>IF(AND(AT49&lt;&gt;0,AM49="Y"),UI*W49,0)</f>
        <v>92.706431999999992</v>
      </c>
      <c r="BI49" s="462">
        <f>IF(AND(AT49&lt;&gt;0,N49&lt;&gt;"NR"),DHR*W49,0)</f>
        <v>57.894220799999999</v>
      </c>
      <c r="BJ49" s="462">
        <f>IF(AT49&lt;&gt;0,WC*W49,0)</f>
        <v>508.939392</v>
      </c>
      <c r="BK49" s="462">
        <f>IF(OR(AND(AT49&lt;&gt;0,AJ49&lt;&gt;"PF",AN49&lt;&gt;"NE",AG49&lt;&gt;"A"),AND(AL49="E",OR(AT49=1,AT49=3))),Sick*W49,0)</f>
        <v>0</v>
      </c>
      <c r="BL49" s="462">
        <f t="shared" si="5"/>
        <v>4502.3162496000004</v>
      </c>
      <c r="BM49" s="462">
        <f t="shared" si="6"/>
        <v>0</v>
      </c>
      <c r="BN49" s="462">
        <f>IF(AND(AT49=1,AK49="E",AU49&gt;=0.75,AW49=1),HealthBY,IF(AND(AT49=1,AK49="E",AU49&gt;=0.75),HealthBY*P49,IF(AND(AT49=1,AK49="E",AU49&gt;=0.5,AW49=1),PTHealthBY,IF(AND(AT49=1,AK49="E",AU49&gt;=0.5),PTHealthBY*P49,0))))</f>
        <v>4660</v>
      </c>
      <c r="BO49" s="462">
        <f>IF(AND(AT49=3,AK49="E",AV49&gt;=0.75,AW49=1),HealthBY,IF(AND(AT49=3,AK49="E",AV49&gt;=0.75),HealthBY*P49,IF(AND(AT49=3,AK49="E",AV49&gt;=0.5,AW49=1),PTHealthBY,IF(AND(AT49=3,AK49="E",AV49&gt;=0.5),PTHealthBY*P49,0))))</f>
        <v>0</v>
      </c>
      <c r="BP49" s="462">
        <f>IF(AND(AT49&lt;&gt;0,(AX49+BA49)&gt;=MAXSSDIBY),SSDIBY*MAXSSDIBY*P49,IF(AT49&lt;&gt;0,SSDIBY*W49,0))</f>
        <v>1173.02016</v>
      </c>
      <c r="BQ49" s="462">
        <f>IF(AT49&lt;&gt;0,SSHIBY*W49,0)</f>
        <v>274.33536000000004</v>
      </c>
      <c r="BR49" s="462">
        <f>IF(AND(AT49&lt;&gt;0,AN49&lt;&gt;"NE"),VLOOKUP(AN49,Retirement_Rates,4,FALSE)*W49,0)</f>
        <v>2259.0097920000003</v>
      </c>
      <c r="BS49" s="462">
        <f>IF(AND(AT49&lt;&gt;0,AJ49&lt;&gt;"PF"),LifeBY*W49,0)</f>
        <v>136.4108928</v>
      </c>
      <c r="BT49" s="462">
        <f>IF(AND(AT49&lt;&gt;0,AM49="Y"),UIBY*W49,0)</f>
        <v>0</v>
      </c>
      <c r="BU49" s="462">
        <f>IF(AND(AT49&lt;&gt;0,N49&lt;&gt;"NR"),DHRBY*W49,0)</f>
        <v>57.894220799999999</v>
      </c>
      <c r="BV49" s="462">
        <f>IF(AT49&lt;&gt;0,WCBY*W49,0)</f>
        <v>656.51289600000007</v>
      </c>
      <c r="BW49" s="462">
        <f>IF(OR(AND(AT49&lt;&gt;0,AJ49&lt;&gt;"PF",AN49&lt;&gt;"NE",AG49&lt;&gt;"A"),AND(AL49="E",OR(AT49=1,AT49=3))),SickBY*W49,0)</f>
        <v>0</v>
      </c>
      <c r="BX49" s="462">
        <f t="shared" si="7"/>
        <v>4557.1833216000005</v>
      </c>
      <c r="BY49" s="462">
        <f t="shared" si="8"/>
        <v>0</v>
      </c>
      <c r="BZ49" s="462">
        <f t="shared" si="9"/>
        <v>0</v>
      </c>
      <c r="CA49" s="462">
        <f t="shared" si="10"/>
        <v>0</v>
      </c>
      <c r="CB49" s="462">
        <f t="shared" si="11"/>
        <v>0</v>
      </c>
      <c r="CC49" s="462">
        <f>IF(AT49&lt;&gt;0,SSHICHG*Y49,0)</f>
        <v>0</v>
      </c>
      <c r="CD49" s="462">
        <f>IF(AND(AT49&lt;&gt;0,AN49&lt;&gt;"NE"),VLOOKUP(AN49,Retirement_Rates,5,FALSE)*Y49,0)</f>
        <v>0</v>
      </c>
      <c r="CE49" s="462">
        <f>IF(AND(AT49&lt;&gt;0,AJ49&lt;&gt;"PF"),LifeCHG*Y49,0)</f>
        <v>0</v>
      </c>
      <c r="CF49" s="462">
        <f>IF(AND(AT49&lt;&gt;0,AM49="Y"),UICHG*Y49,0)</f>
        <v>-92.706431999999992</v>
      </c>
      <c r="CG49" s="462">
        <f>IF(AND(AT49&lt;&gt;0,N49&lt;&gt;"NR"),DHRCHG*Y49,0)</f>
        <v>0</v>
      </c>
      <c r="CH49" s="462">
        <f>IF(AT49&lt;&gt;0,WCCHG*Y49,0)</f>
        <v>147.57350400000004</v>
      </c>
      <c r="CI49" s="462">
        <f>IF(OR(AND(AT49&lt;&gt;0,AJ49&lt;&gt;"PF",AN49&lt;&gt;"NE",AG49&lt;&gt;"A"),AND(AL49="E",OR(AT49=1,AT49=3))),SickCHG*Y49,0)</f>
        <v>0</v>
      </c>
      <c r="CJ49" s="462">
        <f t="shared" si="12"/>
        <v>54.86707200000005</v>
      </c>
      <c r="CK49" s="462" t="str">
        <f t="shared" si="13"/>
        <v/>
      </c>
      <c r="CL49" s="462" t="str">
        <f t="shared" si="14"/>
        <v/>
      </c>
      <c r="CM49" s="462" t="str">
        <f t="shared" si="15"/>
        <v/>
      </c>
      <c r="CN49" s="462" t="str">
        <f t="shared" si="16"/>
        <v>0243-00</v>
      </c>
    </row>
    <row r="50" spans="1:92" ht="15" thickBot="1" x14ac:dyDescent="0.35">
      <c r="A50" s="376" t="s">
        <v>161</v>
      </c>
      <c r="B50" s="376" t="s">
        <v>162</v>
      </c>
      <c r="C50" s="376" t="s">
        <v>377</v>
      </c>
      <c r="D50" s="376" t="s">
        <v>221</v>
      </c>
      <c r="E50" s="376" t="s">
        <v>273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222</v>
      </c>
      <c r="L50" s="376" t="s">
        <v>166</v>
      </c>
      <c r="M50" s="376" t="s">
        <v>225</v>
      </c>
      <c r="N50" s="376" t="s">
        <v>223</v>
      </c>
      <c r="O50" s="379">
        <v>0</v>
      </c>
      <c r="P50" s="460">
        <v>1</v>
      </c>
      <c r="Q50" s="460">
        <v>0</v>
      </c>
      <c r="R50" s="380">
        <v>0</v>
      </c>
      <c r="S50" s="460">
        <v>0</v>
      </c>
      <c r="T50" s="380">
        <v>0</v>
      </c>
      <c r="U50" s="380">
        <v>0</v>
      </c>
      <c r="V50" s="380">
        <v>0</v>
      </c>
      <c r="W50" s="380">
        <v>0</v>
      </c>
      <c r="X50" s="380">
        <v>0</v>
      </c>
      <c r="Y50" s="380">
        <v>0</v>
      </c>
      <c r="Z50" s="380">
        <v>0</v>
      </c>
      <c r="AA50" s="378"/>
      <c r="AB50" s="376" t="s">
        <v>45</v>
      </c>
      <c r="AC50" s="376" t="s">
        <v>45</v>
      </c>
      <c r="AD50" s="378"/>
      <c r="AE50" s="378"/>
      <c r="AF50" s="378"/>
      <c r="AG50" s="378"/>
      <c r="AH50" s="379">
        <v>0</v>
      </c>
      <c r="AI50" s="379">
        <v>0</v>
      </c>
      <c r="AJ50" s="378"/>
      <c r="AK50" s="378"/>
      <c r="AL50" s="376" t="s">
        <v>181</v>
      </c>
      <c r="AM50" s="378"/>
      <c r="AN50" s="378"/>
      <c r="AO50" s="379">
        <v>0</v>
      </c>
      <c r="AP50" s="460">
        <v>0</v>
      </c>
      <c r="AQ50" s="460">
        <v>0</v>
      </c>
      <c r="AR50" s="459"/>
      <c r="AS50" s="462">
        <f t="shared" si="0"/>
        <v>0</v>
      </c>
      <c r="AT50">
        <f t="shared" si="1"/>
        <v>0</v>
      </c>
      <c r="AU50" s="462" t="str">
        <f>IF(AT50=0,"",IF(AND(AT50=1,M50="F",SUMIF(C2:C391,C50,AS2:AS391)&lt;=1),SUMIF(C2:C391,C50,AS2:AS391),IF(AND(AT50=1,M50="F",SUMIF(C2:C391,C50,AS2:AS391)&gt;1),1,"")))</f>
        <v/>
      </c>
      <c r="AV50" s="462" t="str">
        <f>IF(AT50=0,"",IF(AND(AT50=3,M50="F",SUMIF(C2:C391,C50,AS2:AS391)&lt;=1),SUMIF(C2:C391,C50,AS2:AS391),IF(AND(AT50=3,M50="F",SUMIF(C2:C391,C50,AS2:AS391)&gt;1),1,"")))</f>
        <v/>
      </c>
      <c r="AW50" s="462">
        <f>SUMIF(C2:C391,C50,O2:O391)</f>
        <v>0</v>
      </c>
      <c r="AX50" s="462">
        <f>IF(AND(M50="F",AS50&lt;&gt;0),SUMIF(C2:C391,C50,W2:W391),0)</f>
        <v>0</v>
      </c>
      <c r="AY50" s="462" t="str">
        <f t="shared" si="2"/>
        <v/>
      </c>
      <c r="AZ50" s="462" t="str">
        <f t="shared" si="3"/>
        <v/>
      </c>
      <c r="BA50" s="462">
        <f t="shared" si="4"/>
        <v>0</v>
      </c>
      <c r="BB50" s="462">
        <f>IF(AND(AT50=1,AK50="E",AU50&gt;=0.75,AW50=1),Health,IF(AND(AT50=1,AK50="E",AU50&gt;=0.75),Health*P50,IF(AND(AT50=1,AK50="E",AU50&gt;=0.5,AW50=1),PTHealth,IF(AND(AT50=1,AK50="E",AU50&gt;=0.5),PTHealth*P50,0))))</f>
        <v>0</v>
      </c>
      <c r="BC50" s="462">
        <f>IF(AND(AT50=3,AK50="E",AV50&gt;=0.75,AW50=1),Health,IF(AND(AT50=3,AK50="E",AV50&gt;=0.75),Health*P50,IF(AND(AT50=3,AK50="E",AV50&gt;=0.5,AW50=1),PTHealth,IF(AND(AT50=3,AK50="E",AV50&gt;=0.5),PTHealth*P50,0))))</f>
        <v>0</v>
      </c>
      <c r="BD50" s="462">
        <f>IF(AND(AT50&lt;&gt;0,AX50&gt;=MAXSSDI),SSDI*MAXSSDI*P50,IF(AT50&lt;&gt;0,SSDI*W50,0))</f>
        <v>0</v>
      </c>
      <c r="BE50" s="462">
        <f>IF(AT50&lt;&gt;0,SSHI*W50,0)</f>
        <v>0</v>
      </c>
      <c r="BF50" s="462">
        <f>IF(AND(AT50&lt;&gt;0,AN50&lt;&gt;"NE"),VLOOKUP(AN50,Retirement_Rates,3,FALSE)*W50,0)</f>
        <v>0</v>
      </c>
      <c r="BG50" s="462">
        <f>IF(AND(AT50&lt;&gt;0,AJ50&lt;&gt;"PF"),Life*W50,0)</f>
        <v>0</v>
      </c>
      <c r="BH50" s="462">
        <f>IF(AND(AT50&lt;&gt;0,AM50="Y"),UI*W50,0)</f>
        <v>0</v>
      </c>
      <c r="BI50" s="462">
        <f>IF(AND(AT50&lt;&gt;0,N50&lt;&gt;"NR"),DHR*W50,0)</f>
        <v>0</v>
      </c>
      <c r="BJ50" s="462">
        <f>IF(AT50&lt;&gt;0,WC*W50,0)</f>
        <v>0</v>
      </c>
      <c r="BK50" s="462">
        <f>IF(OR(AND(AT50&lt;&gt;0,AJ50&lt;&gt;"PF",AN50&lt;&gt;"NE",AG50&lt;&gt;"A"),AND(AL50="E",OR(AT50=1,AT50=3))),Sick*W50,0)</f>
        <v>0</v>
      </c>
      <c r="BL50" s="462">
        <f t="shared" si="5"/>
        <v>0</v>
      </c>
      <c r="BM50" s="462">
        <f t="shared" si="6"/>
        <v>0</v>
      </c>
      <c r="BN50" s="462">
        <f>IF(AND(AT50=1,AK50="E",AU50&gt;=0.75,AW50=1),HealthBY,IF(AND(AT50=1,AK50="E",AU50&gt;=0.75),HealthBY*P50,IF(AND(AT50=1,AK50="E",AU50&gt;=0.5,AW50=1),PTHealthBY,IF(AND(AT50=1,AK50="E",AU50&gt;=0.5),PTHealthBY*P50,0))))</f>
        <v>0</v>
      </c>
      <c r="BO50" s="462">
        <f>IF(AND(AT50=3,AK50="E",AV50&gt;=0.75,AW50=1),HealthBY,IF(AND(AT50=3,AK50="E",AV50&gt;=0.75),HealthBY*P50,IF(AND(AT50=3,AK50="E",AV50&gt;=0.5,AW50=1),PTHealthBY,IF(AND(AT50=3,AK50="E",AV50&gt;=0.5),PTHealthBY*P50,0))))</f>
        <v>0</v>
      </c>
      <c r="BP50" s="462">
        <f>IF(AND(AT50&lt;&gt;0,(AX50+BA50)&gt;=MAXSSDIBY),SSDIBY*MAXSSDIBY*P50,IF(AT50&lt;&gt;0,SSDIBY*W50,0))</f>
        <v>0</v>
      </c>
      <c r="BQ50" s="462">
        <f>IF(AT50&lt;&gt;0,SSHIBY*W50,0)</f>
        <v>0</v>
      </c>
      <c r="BR50" s="462">
        <f>IF(AND(AT50&lt;&gt;0,AN50&lt;&gt;"NE"),VLOOKUP(AN50,Retirement_Rates,4,FALSE)*W50,0)</f>
        <v>0</v>
      </c>
      <c r="BS50" s="462">
        <f>IF(AND(AT50&lt;&gt;0,AJ50&lt;&gt;"PF"),LifeBY*W50,0)</f>
        <v>0</v>
      </c>
      <c r="BT50" s="462">
        <f>IF(AND(AT50&lt;&gt;0,AM50="Y"),UIBY*W50,0)</f>
        <v>0</v>
      </c>
      <c r="BU50" s="462">
        <f>IF(AND(AT50&lt;&gt;0,N50&lt;&gt;"NR"),DHRBY*W50,0)</f>
        <v>0</v>
      </c>
      <c r="BV50" s="462">
        <f>IF(AT50&lt;&gt;0,WCBY*W50,0)</f>
        <v>0</v>
      </c>
      <c r="BW50" s="462">
        <f>IF(OR(AND(AT50&lt;&gt;0,AJ50&lt;&gt;"PF",AN50&lt;&gt;"NE",AG50&lt;&gt;"A"),AND(AL50="E",OR(AT50=1,AT50=3))),SickBY*W50,0)</f>
        <v>0</v>
      </c>
      <c r="BX50" s="462">
        <f t="shared" si="7"/>
        <v>0</v>
      </c>
      <c r="BY50" s="462">
        <f t="shared" si="8"/>
        <v>0</v>
      </c>
      <c r="BZ50" s="462">
        <f t="shared" si="9"/>
        <v>0</v>
      </c>
      <c r="CA50" s="462">
        <f t="shared" si="10"/>
        <v>0</v>
      </c>
      <c r="CB50" s="462">
        <f t="shared" si="11"/>
        <v>0</v>
      </c>
      <c r="CC50" s="462">
        <f>IF(AT50&lt;&gt;0,SSHICHG*Y50,0)</f>
        <v>0</v>
      </c>
      <c r="CD50" s="462">
        <f>IF(AND(AT50&lt;&gt;0,AN50&lt;&gt;"NE"),VLOOKUP(AN50,Retirement_Rates,5,FALSE)*Y50,0)</f>
        <v>0</v>
      </c>
      <c r="CE50" s="462">
        <f>IF(AND(AT50&lt;&gt;0,AJ50&lt;&gt;"PF"),LifeCHG*Y50,0)</f>
        <v>0</v>
      </c>
      <c r="CF50" s="462">
        <f>IF(AND(AT50&lt;&gt;0,AM50="Y"),UICHG*Y50,0)</f>
        <v>0</v>
      </c>
      <c r="CG50" s="462">
        <f>IF(AND(AT50&lt;&gt;0,N50&lt;&gt;"NR"),DHRCHG*Y50,0)</f>
        <v>0</v>
      </c>
      <c r="CH50" s="462">
        <f>IF(AT50&lt;&gt;0,WCCHG*Y50,0)</f>
        <v>0</v>
      </c>
      <c r="CI50" s="462">
        <f>IF(OR(AND(AT50&lt;&gt;0,AJ50&lt;&gt;"PF",AN50&lt;&gt;"NE",AG50&lt;&gt;"A"),AND(AL50="E",OR(AT50=1,AT50=3))),SickCHG*Y50,0)</f>
        <v>0</v>
      </c>
      <c r="CJ50" s="462">
        <f t="shared" si="12"/>
        <v>0</v>
      </c>
      <c r="CK50" s="462" t="str">
        <f t="shared" si="13"/>
        <v/>
      </c>
      <c r="CL50" s="462">
        <f t="shared" si="14"/>
        <v>0</v>
      </c>
      <c r="CM50" s="462">
        <f t="shared" si="15"/>
        <v>0</v>
      </c>
      <c r="CN50" s="462" t="str">
        <f t="shared" si="16"/>
        <v>0243-00</v>
      </c>
    </row>
    <row r="51" spans="1:92" ht="15" thickBot="1" x14ac:dyDescent="0.35">
      <c r="A51" s="376" t="s">
        <v>161</v>
      </c>
      <c r="B51" s="376" t="s">
        <v>162</v>
      </c>
      <c r="C51" s="376" t="s">
        <v>191</v>
      </c>
      <c r="D51" s="376" t="s">
        <v>192</v>
      </c>
      <c r="E51" s="376" t="s">
        <v>273</v>
      </c>
      <c r="F51" s="377" t="s">
        <v>166</v>
      </c>
      <c r="G51" s="376" t="s">
        <v>167</v>
      </c>
      <c r="H51" s="378"/>
      <c r="I51" s="378"/>
      <c r="J51" s="376" t="s">
        <v>193</v>
      </c>
      <c r="K51" s="376" t="s">
        <v>194</v>
      </c>
      <c r="L51" s="376" t="s">
        <v>195</v>
      </c>
      <c r="M51" s="376" t="s">
        <v>171</v>
      </c>
      <c r="N51" s="376" t="s">
        <v>172</v>
      </c>
      <c r="O51" s="379">
        <v>1</v>
      </c>
      <c r="P51" s="460">
        <v>0.2</v>
      </c>
      <c r="Q51" s="460">
        <v>0.2</v>
      </c>
      <c r="R51" s="380">
        <v>80</v>
      </c>
      <c r="S51" s="460">
        <v>0.2</v>
      </c>
      <c r="T51" s="380">
        <v>0</v>
      </c>
      <c r="U51" s="380">
        <v>0</v>
      </c>
      <c r="V51" s="380">
        <v>257.12</v>
      </c>
      <c r="W51" s="380">
        <v>10716.16</v>
      </c>
      <c r="X51" s="380">
        <v>4880.1099999999997</v>
      </c>
      <c r="Y51" s="380">
        <v>10716.16</v>
      </c>
      <c r="Z51" s="380">
        <v>4911.1899999999996</v>
      </c>
      <c r="AA51" s="376" t="s">
        <v>196</v>
      </c>
      <c r="AB51" s="376" t="s">
        <v>197</v>
      </c>
      <c r="AC51" s="376" t="s">
        <v>198</v>
      </c>
      <c r="AD51" s="376" t="s">
        <v>176</v>
      </c>
      <c r="AE51" s="376" t="s">
        <v>194</v>
      </c>
      <c r="AF51" s="376" t="s">
        <v>199</v>
      </c>
      <c r="AG51" s="376" t="s">
        <v>178</v>
      </c>
      <c r="AH51" s="381">
        <v>25.76</v>
      </c>
      <c r="AI51" s="381">
        <v>4232.5</v>
      </c>
      <c r="AJ51" s="376" t="s">
        <v>179</v>
      </c>
      <c r="AK51" s="376" t="s">
        <v>180</v>
      </c>
      <c r="AL51" s="376" t="s">
        <v>181</v>
      </c>
      <c r="AM51" s="376" t="s">
        <v>182</v>
      </c>
      <c r="AN51" s="376" t="s">
        <v>68</v>
      </c>
      <c r="AO51" s="379">
        <v>80</v>
      </c>
      <c r="AP51" s="460">
        <v>1</v>
      </c>
      <c r="AQ51" s="460">
        <v>0.2</v>
      </c>
      <c r="AR51" s="458" t="s">
        <v>183</v>
      </c>
      <c r="AS51" s="462">
        <f t="shared" si="0"/>
        <v>0.2</v>
      </c>
      <c r="AT51">
        <f t="shared" si="1"/>
        <v>1</v>
      </c>
      <c r="AU51" s="462">
        <f>IF(AT51=0,"",IF(AND(AT51=1,M51="F",SUMIF(C2:C391,C51,AS2:AS391)&lt;=1),SUMIF(C2:C391,C51,AS2:AS391),IF(AND(AT51=1,M51="F",SUMIF(C2:C391,C51,AS2:AS391)&gt;1),1,"")))</f>
        <v>1</v>
      </c>
      <c r="AV51" s="462" t="str">
        <f>IF(AT51=0,"",IF(AND(AT51=3,M51="F",SUMIF(C2:C391,C51,AS2:AS391)&lt;=1),SUMIF(C2:C391,C51,AS2:AS391),IF(AND(AT51=3,M51="F",SUMIF(C2:C391,C51,AS2:AS391)&gt;1),1,"")))</f>
        <v/>
      </c>
      <c r="AW51" s="462">
        <f>SUMIF(C2:C391,C51,O2:O391)</f>
        <v>3</v>
      </c>
      <c r="AX51" s="462">
        <f>IF(AND(M51="F",AS51&lt;&gt;0),SUMIF(C2:C391,C51,W2:W391),0)</f>
        <v>53580.800000000003</v>
      </c>
      <c r="AY51" s="462">
        <f t="shared" si="2"/>
        <v>10716.16</v>
      </c>
      <c r="AZ51" s="462" t="str">
        <f t="shared" si="3"/>
        <v/>
      </c>
      <c r="BA51" s="462">
        <f t="shared" si="4"/>
        <v>0</v>
      </c>
      <c r="BB51" s="462">
        <f>IF(AND(AT51=1,AK51="E",AU51&gt;=0.75,AW51=1),Health,IF(AND(AT51=1,AK51="E",AU51&gt;=0.75),Health*P51,IF(AND(AT51=1,AK51="E",AU51&gt;=0.5,AW51=1),PTHealth,IF(AND(AT51=1,AK51="E",AU51&gt;=0.5),PTHealth*P51,0))))</f>
        <v>2330</v>
      </c>
      <c r="BC51" s="462">
        <f>IF(AND(AT51=3,AK51="E",AV51&gt;=0.75,AW51=1),Health,IF(AND(AT51=3,AK51="E",AV51&gt;=0.75),Health*P51,IF(AND(AT51=3,AK51="E",AV51&gt;=0.5,AW51=1),PTHealth,IF(AND(AT51=3,AK51="E",AV51&gt;=0.5),PTHealth*P51,0))))</f>
        <v>0</v>
      </c>
      <c r="BD51" s="462">
        <f>IF(AND(AT51&lt;&gt;0,AX51&gt;=MAXSSDI),SSDI*MAXSSDI*P51,IF(AT51&lt;&gt;0,SSDI*W51,0))</f>
        <v>664.40192000000002</v>
      </c>
      <c r="BE51" s="462">
        <f>IF(AT51&lt;&gt;0,SSHI*W51,0)</f>
        <v>155.38432</v>
      </c>
      <c r="BF51" s="462">
        <f>IF(AND(AT51&lt;&gt;0,AN51&lt;&gt;"NE"),VLOOKUP(AN51,Retirement_Rates,3,FALSE)*W51,0)</f>
        <v>1279.5095040000001</v>
      </c>
      <c r="BG51" s="462">
        <f>IF(AND(AT51&lt;&gt;0,AJ51&lt;&gt;"PF"),Life*W51,0)</f>
        <v>77.263513599999996</v>
      </c>
      <c r="BH51" s="462">
        <f>IF(AND(AT51&lt;&gt;0,AM51="Y"),UI*W51,0)</f>
        <v>52.509183999999998</v>
      </c>
      <c r="BI51" s="462">
        <f>IF(AND(AT51&lt;&gt;0,N51&lt;&gt;"NR"),DHR*W51,0)</f>
        <v>32.7914496</v>
      </c>
      <c r="BJ51" s="462">
        <f>IF(AT51&lt;&gt;0,WC*W51,0)</f>
        <v>288.26470399999999</v>
      </c>
      <c r="BK51" s="462">
        <f>IF(OR(AND(AT51&lt;&gt;0,AJ51&lt;&gt;"PF",AN51&lt;&gt;"NE",AG51&lt;&gt;"A"),AND(AL51="E",OR(AT51=1,AT51=3))),Sick*W51,0)</f>
        <v>0</v>
      </c>
      <c r="BL51" s="462">
        <f t="shared" si="5"/>
        <v>2550.1245951999999</v>
      </c>
      <c r="BM51" s="462">
        <f t="shared" si="6"/>
        <v>0</v>
      </c>
      <c r="BN51" s="462">
        <f>IF(AND(AT51=1,AK51="E",AU51&gt;=0.75,AW51=1),HealthBY,IF(AND(AT51=1,AK51="E",AU51&gt;=0.75),HealthBY*P51,IF(AND(AT51=1,AK51="E",AU51&gt;=0.5,AW51=1),PTHealthBY,IF(AND(AT51=1,AK51="E",AU51&gt;=0.5),PTHealthBY*P51,0))))</f>
        <v>2330</v>
      </c>
      <c r="BO51" s="462">
        <f>IF(AND(AT51=3,AK51="E",AV51&gt;=0.75,AW51=1),HealthBY,IF(AND(AT51=3,AK51="E",AV51&gt;=0.75),HealthBY*P51,IF(AND(AT51=3,AK51="E",AV51&gt;=0.5,AW51=1),PTHealthBY,IF(AND(AT51=3,AK51="E",AV51&gt;=0.5),PTHealthBY*P51,0))))</f>
        <v>0</v>
      </c>
      <c r="BP51" s="462">
        <f>IF(AND(AT51&lt;&gt;0,(AX51+BA51)&gt;=MAXSSDIBY),SSDIBY*MAXSSDIBY*P51,IF(AT51&lt;&gt;0,SSDIBY*W51,0))</f>
        <v>664.40192000000002</v>
      </c>
      <c r="BQ51" s="462">
        <f>IF(AT51&lt;&gt;0,SSHIBY*W51,0)</f>
        <v>155.38432</v>
      </c>
      <c r="BR51" s="462">
        <f>IF(AND(AT51&lt;&gt;0,AN51&lt;&gt;"NE"),VLOOKUP(AN51,Retirement_Rates,4,FALSE)*W51,0)</f>
        <v>1279.5095040000001</v>
      </c>
      <c r="BS51" s="462">
        <f>IF(AND(AT51&lt;&gt;0,AJ51&lt;&gt;"PF"),LifeBY*W51,0)</f>
        <v>77.263513599999996</v>
      </c>
      <c r="BT51" s="462">
        <f>IF(AND(AT51&lt;&gt;0,AM51="Y"),UIBY*W51,0)</f>
        <v>0</v>
      </c>
      <c r="BU51" s="462">
        <f>IF(AND(AT51&lt;&gt;0,N51&lt;&gt;"NR"),DHRBY*W51,0)</f>
        <v>32.7914496</v>
      </c>
      <c r="BV51" s="462">
        <f>IF(AT51&lt;&gt;0,WCBY*W51,0)</f>
        <v>371.850752</v>
      </c>
      <c r="BW51" s="462">
        <f>IF(OR(AND(AT51&lt;&gt;0,AJ51&lt;&gt;"PF",AN51&lt;&gt;"NE",AG51&lt;&gt;"A"),AND(AL51="E",OR(AT51=1,AT51=3))),SickBY*W51,0)</f>
        <v>0</v>
      </c>
      <c r="BX51" s="462">
        <f t="shared" si="7"/>
        <v>2581.2014591999996</v>
      </c>
      <c r="BY51" s="462">
        <f t="shared" si="8"/>
        <v>0</v>
      </c>
      <c r="BZ51" s="462">
        <f t="shared" si="9"/>
        <v>0</v>
      </c>
      <c r="CA51" s="462">
        <f t="shared" si="10"/>
        <v>0</v>
      </c>
      <c r="CB51" s="462">
        <f t="shared" si="11"/>
        <v>0</v>
      </c>
      <c r="CC51" s="462">
        <f>IF(AT51&lt;&gt;0,SSHICHG*Y51,0)</f>
        <v>0</v>
      </c>
      <c r="CD51" s="462">
        <f>IF(AND(AT51&lt;&gt;0,AN51&lt;&gt;"NE"),VLOOKUP(AN51,Retirement_Rates,5,FALSE)*Y51,0)</f>
        <v>0</v>
      </c>
      <c r="CE51" s="462">
        <f>IF(AND(AT51&lt;&gt;0,AJ51&lt;&gt;"PF"),LifeCHG*Y51,0)</f>
        <v>0</v>
      </c>
      <c r="CF51" s="462">
        <f>IF(AND(AT51&lt;&gt;0,AM51="Y"),UICHG*Y51,0)</f>
        <v>-52.509183999999998</v>
      </c>
      <c r="CG51" s="462">
        <f>IF(AND(AT51&lt;&gt;0,N51&lt;&gt;"NR"),DHRCHG*Y51,0)</f>
        <v>0</v>
      </c>
      <c r="CH51" s="462">
        <f>IF(AT51&lt;&gt;0,WCCHG*Y51,0)</f>
        <v>83.586048000000019</v>
      </c>
      <c r="CI51" s="462">
        <f>IF(OR(AND(AT51&lt;&gt;0,AJ51&lt;&gt;"PF",AN51&lt;&gt;"NE",AG51&lt;&gt;"A"),AND(AL51="E",OR(AT51=1,AT51=3))),SickCHG*Y51,0)</f>
        <v>0</v>
      </c>
      <c r="CJ51" s="462">
        <f t="shared" si="12"/>
        <v>31.076864000000022</v>
      </c>
      <c r="CK51" s="462" t="str">
        <f t="shared" si="13"/>
        <v/>
      </c>
      <c r="CL51" s="462" t="str">
        <f t="shared" si="14"/>
        <v/>
      </c>
      <c r="CM51" s="462" t="str">
        <f t="shared" si="15"/>
        <v/>
      </c>
      <c r="CN51" s="462" t="str">
        <f t="shared" si="16"/>
        <v>0243-00</v>
      </c>
    </row>
    <row r="52" spans="1:92" ht="15" thickBot="1" x14ac:dyDescent="0.35">
      <c r="A52" s="376" t="s">
        <v>161</v>
      </c>
      <c r="B52" s="376" t="s">
        <v>162</v>
      </c>
      <c r="C52" s="376" t="s">
        <v>378</v>
      </c>
      <c r="D52" s="376" t="s">
        <v>314</v>
      </c>
      <c r="E52" s="376" t="s">
        <v>273</v>
      </c>
      <c r="F52" s="377" t="s">
        <v>166</v>
      </c>
      <c r="G52" s="376" t="s">
        <v>167</v>
      </c>
      <c r="H52" s="378"/>
      <c r="I52" s="378"/>
      <c r="J52" s="376" t="s">
        <v>229</v>
      </c>
      <c r="K52" s="376" t="s">
        <v>315</v>
      </c>
      <c r="L52" s="376" t="s">
        <v>316</v>
      </c>
      <c r="M52" s="376" t="s">
        <v>171</v>
      </c>
      <c r="N52" s="376" t="s">
        <v>172</v>
      </c>
      <c r="O52" s="379">
        <v>1</v>
      </c>
      <c r="P52" s="460">
        <v>0.4</v>
      </c>
      <c r="Q52" s="460">
        <v>0.4</v>
      </c>
      <c r="R52" s="380">
        <v>80</v>
      </c>
      <c r="S52" s="460">
        <v>0.4</v>
      </c>
      <c r="T52" s="380">
        <v>11618.57</v>
      </c>
      <c r="U52" s="380">
        <v>0</v>
      </c>
      <c r="V52" s="380">
        <v>7078.24</v>
      </c>
      <c r="W52" s="380">
        <v>11980.8</v>
      </c>
      <c r="X52" s="380">
        <v>7511.05</v>
      </c>
      <c r="Y52" s="380">
        <v>11980.8</v>
      </c>
      <c r="Z52" s="380">
        <v>7545.8</v>
      </c>
      <c r="AA52" s="376" t="s">
        <v>379</v>
      </c>
      <c r="AB52" s="376" t="s">
        <v>380</v>
      </c>
      <c r="AC52" s="376" t="s">
        <v>381</v>
      </c>
      <c r="AD52" s="376" t="s">
        <v>382</v>
      </c>
      <c r="AE52" s="376" t="s">
        <v>315</v>
      </c>
      <c r="AF52" s="376" t="s">
        <v>320</v>
      </c>
      <c r="AG52" s="376" t="s">
        <v>178</v>
      </c>
      <c r="AH52" s="381">
        <v>14.4</v>
      </c>
      <c r="AI52" s="381">
        <v>37582.199999999997</v>
      </c>
      <c r="AJ52" s="376" t="s">
        <v>179</v>
      </c>
      <c r="AK52" s="376" t="s">
        <v>180</v>
      </c>
      <c r="AL52" s="376" t="s">
        <v>181</v>
      </c>
      <c r="AM52" s="376" t="s">
        <v>182</v>
      </c>
      <c r="AN52" s="376" t="s">
        <v>68</v>
      </c>
      <c r="AO52" s="379">
        <v>80</v>
      </c>
      <c r="AP52" s="460">
        <v>1</v>
      </c>
      <c r="AQ52" s="460">
        <v>0.4</v>
      </c>
      <c r="AR52" s="458" t="s">
        <v>183</v>
      </c>
      <c r="AS52" s="462">
        <f t="shared" si="0"/>
        <v>0.4</v>
      </c>
      <c r="AT52">
        <f t="shared" si="1"/>
        <v>1</v>
      </c>
      <c r="AU52" s="462">
        <f>IF(AT52=0,"",IF(AND(AT52=1,M52="F",SUMIF(C2:C391,C52,AS2:AS391)&lt;=1),SUMIF(C2:C391,C52,AS2:AS391),IF(AND(AT52=1,M52="F",SUMIF(C2:C391,C52,AS2:AS391)&gt;1),1,"")))</f>
        <v>1</v>
      </c>
      <c r="AV52" s="462" t="str">
        <f>IF(AT52=0,"",IF(AND(AT52=3,M52="F",SUMIF(C2:C391,C52,AS2:AS391)&lt;=1),SUMIF(C2:C391,C52,AS2:AS391),IF(AND(AT52=3,M52="F",SUMIF(C2:C391,C52,AS2:AS391)&gt;1),1,"")))</f>
        <v/>
      </c>
      <c r="AW52" s="462">
        <f>SUMIF(C2:C391,C52,O2:O391)</f>
        <v>3</v>
      </c>
      <c r="AX52" s="462">
        <f>IF(AND(M52="F",AS52&lt;&gt;0),SUMIF(C2:C391,C52,W2:W391),0)</f>
        <v>29952</v>
      </c>
      <c r="AY52" s="462">
        <f t="shared" si="2"/>
        <v>11980.8</v>
      </c>
      <c r="AZ52" s="462" t="str">
        <f t="shared" si="3"/>
        <v/>
      </c>
      <c r="BA52" s="462">
        <f t="shared" si="4"/>
        <v>0</v>
      </c>
      <c r="BB52" s="462">
        <f>IF(AND(AT52=1,AK52="E",AU52&gt;=0.75,AW52=1),Health,IF(AND(AT52=1,AK52="E",AU52&gt;=0.75),Health*P52,IF(AND(AT52=1,AK52="E",AU52&gt;=0.5,AW52=1),PTHealth,IF(AND(AT52=1,AK52="E",AU52&gt;=0.5),PTHealth*P52,0))))</f>
        <v>4660</v>
      </c>
      <c r="BC52" s="462">
        <f>IF(AND(AT52=3,AK52="E",AV52&gt;=0.75,AW52=1),Health,IF(AND(AT52=3,AK52="E",AV52&gt;=0.75),Health*P52,IF(AND(AT52=3,AK52="E",AV52&gt;=0.5,AW52=1),PTHealth,IF(AND(AT52=3,AK52="E",AV52&gt;=0.5),PTHealth*P52,0))))</f>
        <v>0</v>
      </c>
      <c r="BD52" s="462">
        <f>IF(AND(AT52&lt;&gt;0,AX52&gt;=MAXSSDI),SSDI*MAXSSDI*P52,IF(AT52&lt;&gt;0,SSDI*W52,0))</f>
        <v>742.80959999999993</v>
      </c>
      <c r="BE52" s="462">
        <f>IF(AT52&lt;&gt;0,SSHI*W52,0)</f>
        <v>173.7216</v>
      </c>
      <c r="BF52" s="462">
        <f>IF(AND(AT52&lt;&gt;0,AN52&lt;&gt;"NE"),VLOOKUP(AN52,Retirement_Rates,3,FALSE)*W52,0)</f>
        <v>1430.5075199999999</v>
      </c>
      <c r="BG52" s="462">
        <f>IF(AND(AT52&lt;&gt;0,AJ52&lt;&gt;"PF"),Life*W52,0)</f>
        <v>86.381568000000001</v>
      </c>
      <c r="BH52" s="462">
        <f>IF(AND(AT52&lt;&gt;0,AM52="Y"),UI*W52,0)</f>
        <v>58.705919999999992</v>
      </c>
      <c r="BI52" s="462">
        <f>IF(AND(AT52&lt;&gt;0,N52&lt;&gt;"NR"),DHR*W52,0)</f>
        <v>36.661247999999993</v>
      </c>
      <c r="BJ52" s="462">
        <f>IF(AT52&lt;&gt;0,WC*W52,0)</f>
        <v>322.28352000000001</v>
      </c>
      <c r="BK52" s="462">
        <f>IF(OR(AND(AT52&lt;&gt;0,AJ52&lt;&gt;"PF",AN52&lt;&gt;"NE",AG52&lt;&gt;"A"),AND(AL52="E",OR(AT52=1,AT52=3))),Sick*W52,0)</f>
        <v>0</v>
      </c>
      <c r="BL52" s="462">
        <f t="shared" si="5"/>
        <v>2851.0709759999991</v>
      </c>
      <c r="BM52" s="462">
        <f t="shared" si="6"/>
        <v>0</v>
      </c>
      <c r="BN52" s="462">
        <f>IF(AND(AT52=1,AK52="E",AU52&gt;=0.75,AW52=1),HealthBY,IF(AND(AT52=1,AK52="E",AU52&gt;=0.75),HealthBY*P52,IF(AND(AT52=1,AK52="E",AU52&gt;=0.5,AW52=1),PTHealthBY,IF(AND(AT52=1,AK52="E",AU52&gt;=0.5),PTHealthBY*P52,0))))</f>
        <v>4660</v>
      </c>
      <c r="BO52" s="462">
        <f>IF(AND(AT52=3,AK52="E",AV52&gt;=0.75,AW52=1),HealthBY,IF(AND(AT52=3,AK52="E",AV52&gt;=0.75),HealthBY*P52,IF(AND(AT52=3,AK52="E",AV52&gt;=0.5,AW52=1),PTHealthBY,IF(AND(AT52=3,AK52="E",AV52&gt;=0.5),PTHealthBY*P52,0))))</f>
        <v>0</v>
      </c>
      <c r="BP52" s="462">
        <f>IF(AND(AT52&lt;&gt;0,(AX52+BA52)&gt;=MAXSSDIBY),SSDIBY*MAXSSDIBY*P52,IF(AT52&lt;&gt;0,SSDIBY*W52,0))</f>
        <v>742.80959999999993</v>
      </c>
      <c r="BQ52" s="462">
        <f>IF(AT52&lt;&gt;0,SSHIBY*W52,0)</f>
        <v>173.7216</v>
      </c>
      <c r="BR52" s="462">
        <f>IF(AND(AT52&lt;&gt;0,AN52&lt;&gt;"NE"),VLOOKUP(AN52,Retirement_Rates,4,FALSE)*W52,0)</f>
        <v>1430.5075199999999</v>
      </c>
      <c r="BS52" s="462">
        <f>IF(AND(AT52&lt;&gt;0,AJ52&lt;&gt;"PF"),LifeBY*W52,0)</f>
        <v>86.381568000000001</v>
      </c>
      <c r="BT52" s="462">
        <f>IF(AND(AT52&lt;&gt;0,AM52="Y"),UIBY*W52,0)</f>
        <v>0</v>
      </c>
      <c r="BU52" s="462">
        <f>IF(AND(AT52&lt;&gt;0,N52&lt;&gt;"NR"),DHRBY*W52,0)</f>
        <v>36.661247999999993</v>
      </c>
      <c r="BV52" s="462">
        <f>IF(AT52&lt;&gt;0,WCBY*W52,0)</f>
        <v>415.73376000000002</v>
      </c>
      <c r="BW52" s="462">
        <f>IF(OR(AND(AT52&lt;&gt;0,AJ52&lt;&gt;"PF",AN52&lt;&gt;"NE",AG52&lt;&gt;"A"),AND(AL52="E",OR(AT52=1,AT52=3))),SickBY*W52,0)</f>
        <v>0</v>
      </c>
      <c r="BX52" s="462">
        <f t="shared" si="7"/>
        <v>2885.8152959999993</v>
      </c>
      <c r="BY52" s="462">
        <f t="shared" si="8"/>
        <v>0</v>
      </c>
      <c r="BZ52" s="462">
        <f t="shared" si="9"/>
        <v>0</v>
      </c>
      <c r="CA52" s="462">
        <f t="shared" si="10"/>
        <v>0</v>
      </c>
      <c r="CB52" s="462">
        <f t="shared" si="11"/>
        <v>0</v>
      </c>
      <c r="CC52" s="462">
        <f>IF(AT52&lt;&gt;0,SSHICHG*Y52,0)</f>
        <v>0</v>
      </c>
      <c r="CD52" s="462">
        <f>IF(AND(AT52&lt;&gt;0,AN52&lt;&gt;"NE"),VLOOKUP(AN52,Retirement_Rates,5,FALSE)*Y52,0)</f>
        <v>0</v>
      </c>
      <c r="CE52" s="462">
        <f>IF(AND(AT52&lt;&gt;0,AJ52&lt;&gt;"PF"),LifeCHG*Y52,0)</f>
        <v>0</v>
      </c>
      <c r="CF52" s="462">
        <f>IF(AND(AT52&lt;&gt;0,AM52="Y"),UICHG*Y52,0)</f>
        <v>-58.705919999999992</v>
      </c>
      <c r="CG52" s="462">
        <f>IF(AND(AT52&lt;&gt;0,N52&lt;&gt;"NR"),DHRCHG*Y52,0)</f>
        <v>0</v>
      </c>
      <c r="CH52" s="462">
        <f>IF(AT52&lt;&gt;0,WCCHG*Y52,0)</f>
        <v>93.450240000000008</v>
      </c>
      <c r="CI52" s="462">
        <f>IF(OR(AND(AT52&lt;&gt;0,AJ52&lt;&gt;"PF",AN52&lt;&gt;"NE",AG52&lt;&gt;"A"),AND(AL52="E",OR(AT52=1,AT52=3))),SickCHG*Y52,0)</f>
        <v>0</v>
      </c>
      <c r="CJ52" s="462">
        <f t="shared" si="12"/>
        <v>34.744320000000016</v>
      </c>
      <c r="CK52" s="462" t="str">
        <f t="shared" si="13"/>
        <v/>
      </c>
      <c r="CL52" s="462" t="str">
        <f t="shared" si="14"/>
        <v/>
      </c>
      <c r="CM52" s="462" t="str">
        <f t="shared" si="15"/>
        <v/>
      </c>
      <c r="CN52" s="462" t="str">
        <f t="shared" si="16"/>
        <v>0243-00</v>
      </c>
    </row>
    <row r="53" spans="1:92" ht="15" thickBot="1" x14ac:dyDescent="0.35">
      <c r="A53" s="376" t="s">
        <v>161</v>
      </c>
      <c r="B53" s="376" t="s">
        <v>162</v>
      </c>
      <c r="C53" s="376" t="s">
        <v>383</v>
      </c>
      <c r="D53" s="376" t="s">
        <v>221</v>
      </c>
      <c r="E53" s="376" t="s">
        <v>273</v>
      </c>
      <c r="F53" s="382" t="s">
        <v>384</v>
      </c>
      <c r="G53" s="376" t="s">
        <v>167</v>
      </c>
      <c r="H53" s="378"/>
      <c r="I53" s="378"/>
      <c r="J53" s="376" t="s">
        <v>168</v>
      </c>
      <c r="K53" s="376" t="s">
        <v>222</v>
      </c>
      <c r="L53" s="376" t="s">
        <v>166</v>
      </c>
      <c r="M53" s="376" t="s">
        <v>225</v>
      </c>
      <c r="N53" s="376" t="s">
        <v>223</v>
      </c>
      <c r="O53" s="379">
        <v>0</v>
      </c>
      <c r="P53" s="460">
        <v>1</v>
      </c>
      <c r="Q53" s="460">
        <v>0</v>
      </c>
      <c r="R53" s="380">
        <v>0</v>
      </c>
      <c r="S53" s="460">
        <v>0</v>
      </c>
      <c r="T53" s="380">
        <v>0</v>
      </c>
      <c r="U53" s="380">
        <v>0</v>
      </c>
      <c r="V53" s="380">
        <v>0</v>
      </c>
      <c r="W53" s="380">
        <v>0</v>
      </c>
      <c r="X53" s="380">
        <v>0</v>
      </c>
      <c r="Y53" s="380">
        <v>0</v>
      </c>
      <c r="Z53" s="380">
        <v>0</v>
      </c>
      <c r="AA53" s="378"/>
      <c r="AB53" s="376" t="s">
        <v>45</v>
      </c>
      <c r="AC53" s="376" t="s">
        <v>45</v>
      </c>
      <c r="AD53" s="378"/>
      <c r="AE53" s="378"/>
      <c r="AF53" s="378"/>
      <c r="AG53" s="378"/>
      <c r="AH53" s="379">
        <v>0</v>
      </c>
      <c r="AI53" s="379">
        <v>0</v>
      </c>
      <c r="AJ53" s="378"/>
      <c r="AK53" s="378"/>
      <c r="AL53" s="376" t="s">
        <v>181</v>
      </c>
      <c r="AM53" s="378"/>
      <c r="AN53" s="378"/>
      <c r="AO53" s="379">
        <v>0</v>
      </c>
      <c r="AP53" s="460">
        <v>0</v>
      </c>
      <c r="AQ53" s="460">
        <v>0</v>
      </c>
      <c r="AR53" s="459"/>
      <c r="AS53" s="462">
        <f t="shared" si="0"/>
        <v>0</v>
      </c>
      <c r="AT53">
        <f t="shared" si="1"/>
        <v>0</v>
      </c>
      <c r="AU53" s="462" t="str">
        <f>IF(AT53=0,"",IF(AND(AT53=1,M53="F",SUMIF(C2:C391,C53,AS2:AS391)&lt;=1),SUMIF(C2:C391,C53,AS2:AS391),IF(AND(AT53=1,M53="F",SUMIF(C2:C391,C53,AS2:AS391)&gt;1),1,"")))</f>
        <v/>
      </c>
      <c r="AV53" s="462" t="str">
        <f>IF(AT53=0,"",IF(AND(AT53=3,M53="F",SUMIF(C2:C391,C53,AS2:AS391)&lt;=1),SUMIF(C2:C391,C53,AS2:AS391),IF(AND(AT53=3,M53="F",SUMIF(C2:C391,C53,AS2:AS391)&gt;1),1,"")))</f>
        <v/>
      </c>
      <c r="AW53" s="462">
        <f>SUMIF(C2:C391,C53,O2:O391)</f>
        <v>0</v>
      </c>
      <c r="AX53" s="462">
        <f>IF(AND(M53="F",AS53&lt;&gt;0),SUMIF(C2:C391,C53,W2:W391),0)</f>
        <v>0</v>
      </c>
      <c r="AY53" s="462" t="str">
        <f t="shared" si="2"/>
        <v/>
      </c>
      <c r="AZ53" s="462" t="str">
        <f t="shared" si="3"/>
        <v/>
      </c>
      <c r="BA53" s="462">
        <f t="shared" si="4"/>
        <v>0</v>
      </c>
      <c r="BB53" s="462">
        <f>IF(AND(AT53=1,AK53="E",AU53&gt;=0.75,AW53=1),Health,IF(AND(AT53=1,AK53="E",AU53&gt;=0.75),Health*P53,IF(AND(AT53=1,AK53="E",AU53&gt;=0.5,AW53=1),PTHealth,IF(AND(AT53=1,AK53="E",AU53&gt;=0.5),PTHealth*P53,0))))</f>
        <v>0</v>
      </c>
      <c r="BC53" s="462">
        <f>IF(AND(AT53=3,AK53="E",AV53&gt;=0.75,AW53=1),Health,IF(AND(AT53=3,AK53="E",AV53&gt;=0.75),Health*P53,IF(AND(AT53=3,AK53="E",AV53&gt;=0.5,AW53=1),PTHealth,IF(AND(AT53=3,AK53="E",AV53&gt;=0.5),PTHealth*P53,0))))</f>
        <v>0</v>
      </c>
      <c r="BD53" s="462">
        <f>IF(AND(AT53&lt;&gt;0,AX53&gt;=MAXSSDI),SSDI*MAXSSDI*P53,IF(AT53&lt;&gt;0,SSDI*W53,0))</f>
        <v>0</v>
      </c>
      <c r="BE53" s="462">
        <f>IF(AT53&lt;&gt;0,SSHI*W53,0)</f>
        <v>0</v>
      </c>
      <c r="BF53" s="462">
        <f>IF(AND(AT53&lt;&gt;0,AN53&lt;&gt;"NE"),VLOOKUP(AN53,Retirement_Rates,3,FALSE)*W53,0)</f>
        <v>0</v>
      </c>
      <c r="BG53" s="462">
        <f>IF(AND(AT53&lt;&gt;0,AJ53&lt;&gt;"PF"),Life*W53,0)</f>
        <v>0</v>
      </c>
      <c r="BH53" s="462">
        <f>IF(AND(AT53&lt;&gt;0,AM53="Y"),UI*W53,0)</f>
        <v>0</v>
      </c>
      <c r="BI53" s="462">
        <f>IF(AND(AT53&lt;&gt;0,N53&lt;&gt;"NR"),DHR*W53,0)</f>
        <v>0</v>
      </c>
      <c r="BJ53" s="462">
        <f>IF(AT53&lt;&gt;0,WC*W53,0)</f>
        <v>0</v>
      </c>
      <c r="BK53" s="462">
        <f>IF(OR(AND(AT53&lt;&gt;0,AJ53&lt;&gt;"PF",AN53&lt;&gt;"NE",AG53&lt;&gt;"A"),AND(AL53="E",OR(AT53=1,AT53=3))),Sick*W53,0)</f>
        <v>0</v>
      </c>
      <c r="BL53" s="462">
        <f t="shared" si="5"/>
        <v>0</v>
      </c>
      <c r="BM53" s="462">
        <f t="shared" si="6"/>
        <v>0</v>
      </c>
      <c r="BN53" s="462">
        <f>IF(AND(AT53=1,AK53="E",AU53&gt;=0.75,AW53=1),HealthBY,IF(AND(AT53=1,AK53="E",AU53&gt;=0.75),HealthBY*P53,IF(AND(AT53=1,AK53="E",AU53&gt;=0.5,AW53=1),PTHealthBY,IF(AND(AT53=1,AK53="E",AU53&gt;=0.5),PTHealthBY*P53,0))))</f>
        <v>0</v>
      </c>
      <c r="BO53" s="462">
        <f>IF(AND(AT53=3,AK53="E",AV53&gt;=0.75,AW53=1),HealthBY,IF(AND(AT53=3,AK53="E",AV53&gt;=0.75),HealthBY*P53,IF(AND(AT53=3,AK53="E",AV53&gt;=0.5,AW53=1),PTHealthBY,IF(AND(AT53=3,AK53="E",AV53&gt;=0.5),PTHealthBY*P53,0))))</f>
        <v>0</v>
      </c>
      <c r="BP53" s="462">
        <f>IF(AND(AT53&lt;&gt;0,(AX53+BA53)&gt;=MAXSSDIBY),SSDIBY*MAXSSDIBY*P53,IF(AT53&lt;&gt;0,SSDIBY*W53,0))</f>
        <v>0</v>
      </c>
      <c r="BQ53" s="462">
        <f>IF(AT53&lt;&gt;0,SSHIBY*W53,0)</f>
        <v>0</v>
      </c>
      <c r="BR53" s="462">
        <f>IF(AND(AT53&lt;&gt;0,AN53&lt;&gt;"NE"),VLOOKUP(AN53,Retirement_Rates,4,FALSE)*W53,0)</f>
        <v>0</v>
      </c>
      <c r="BS53" s="462">
        <f>IF(AND(AT53&lt;&gt;0,AJ53&lt;&gt;"PF"),LifeBY*W53,0)</f>
        <v>0</v>
      </c>
      <c r="BT53" s="462">
        <f>IF(AND(AT53&lt;&gt;0,AM53="Y"),UIBY*W53,0)</f>
        <v>0</v>
      </c>
      <c r="BU53" s="462">
        <f>IF(AND(AT53&lt;&gt;0,N53&lt;&gt;"NR"),DHRBY*W53,0)</f>
        <v>0</v>
      </c>
      <c r="BV53" s="462">
        <f>IF(AT53&lt;&gt;0,WCBY*W53,0)</f>
        <v>0</v>
      </c>
      <c r="BW53" s="462">
        <f>IF(OR(AND(AT53&lt;&gt;0,AJ53&lt;&gt;"PF",AN53&lt;&gt;"NE",AG53&lt;&gt;"A"),AND(AL53="E",OR(AT53=1,AT53=3))),SickBY*W53,0)</f>
        <v>0</v>
      </c>
      <c r="BX53" s="462">
        <f t="shared" si="7"/>
        <v>0</v>
      </c>
      <c r="BY53" s="462">
        <f t="shared" si="8"/>
        <v>0</v>
      </c>
      <c r="BZ53" s="462">
        <f t="shared" si="9"/>
        <v>0</v>
      </c>
      <c r="CA53" s="462">
        <f t="shared" si="10"/>
        <v>0</v>
      </c>
      <c r="CB53" s="462">
        <f t="shared" si="11"/>
        <v>0</v>
      </c>
      <c r="CC53" s="462">
        <f>IF(AT53&lt;&gt;0,SSHICHG*Y53,0)</f>
        <v>0</v>
      </c>
      <c r="CD53" s="462">
        <f>IF(AND(AT53&lt;&gt;0,AN53&lt;&gt;"NE"),VLOOKUP(AN53,Retirement_Rates,5,FALSE)*Y53,0)</f>
        <v>0</v>
      </c>
      <c r="CE53" s="462">
        <f>IF(AND(AT53&lt;&gt;0,AJ53&lt;&gt;"PF"),LifeCHG*Y53,0)</f>
        <v>0</v>
      </c>
      <c r="CF53" s="462">
        <f>IF(AND(AT53&lt;&gt;0,AM53="Y"),UICHG*Y53,0)</f>
        <v>0</v>
      </c>
      <c r="CG53" s="462">
        <f>IF(AND(AT53&lt;&gt;0,N53&lt;&gt;"NR"),DHRCHG*Y53,0)</f>
        <v>0</v>
      </c>
      <c r="CH53" s="462">
        <f>IF(AT53&lt;&gt;0,WCCHG*Y53,0)</f>
        <v>0</v>
      </c>
      <c r="CI53" s="462">
        <f>IF(OR(AND(AT53&lt;&gt;0,AJ53&lt;&gt;"PF",AN53&lt;&gt;"NE",AG53&lt;&gt;"A"),AND(AL53="E",OR(AT53=1,AT53=3))),SickCHG*Y53,0)</f>
        <v>0</v>
      </c>
      <c r="CJ53" s="462">
        <f t="shared" si="12"/>
        <v>0</v>
      </c>
      <c r="CK53" s="462" t="str">
        <f t="shared" si="13"/>
        <v/>
      </c>
      <c r="CL53" s="462">
        <f t="shared" si="14"/>
        <v>0</v>
      </c>
      <c r="CM53" s="462">
        <f t="shared" si="15"/>
        <v>0</v>
      </c>
      <c r="CN53" s="462" t="str">
        <f t="shared" si="16"/>
        <v>0243-02</v>
      </c>
    </row>
    <row r="54" spans="1:92" ht="15" thickBot="1" x14ac:dyDescent="0.35">
      <c r="A54" s="376" t="s">
        <v>161</v>
      </c>
      <c r="B54" s="376" t="s">
        <v>162</v>
      </c>
      <c r="C54" s="376" t="s">
        <v>385</v>
      </c>
      <c r="D54" s="376" t="s">
        <v>354</v>
      </c>
      <c r="E54" s="376" t="s">
        <v>273</v>
      </c>
      <c r="F54" s="382" t="s">
        <v>384</v>
      </c>
      <c r="G54" s="376" t="s">
        <v>167</v>
      </c>
      <c r="H54" s="378"/>
      <c r="I54" s="378"/>
      <c r="J54" s="376" t="s">
        <v>168</v>
      </c>
      <c r="K54" s="376" t="s">
        <v>355</v>
      </c>
      <c r="L54" s="376" t="s">
        <v>178</v>
      </c>
      <c r="M54" s="376" t="s">
        <v>171</v>
      </c>
      <c r="N54" s="376" t="s">
        <v>172</v>
      </c>
      <c r="O54" s="379">
        <v>1</v>
      </c>
      <c r="P54" s="460">
        <v>1</v>
      </c>
      <c r="Q54" s="460">
        <v>1</v>
      </c>
      <c r="R54" s="380">
        <v>80</v>
      </c>
      <c r="S54" s="460">
        <v>1</v>
      </c>
      <c r="T54" s="380">
        <v>31259.59</v>
      </c>
      <c r="U54" s="380">
        <v>0</v>
      </c>
      <c r="V54" s="380">
        <v>18075.169999999998</v>
      </c>
      <c r="W54" s="380">
        <v>32572.799999999999</v>
      </c>
      <c r="X54" s="380">
        <v>19401.310000000001</v>
      </c>
      <c r="Y54" s="380">
        <v>32572.799999999999</v>
      </c>
      <c r="Z54" s="380">
        <v>19495.78</v>
      </c>
      <c r="AA54" s="376" t="s">
        <v>386</v>
      </c>
      <c r="AB54" s="376" t="s">
        <v>312</v>
      </c>
      <c r="AC54" s="376" t="s">
        <v>387</v>
      </c>
      <c r="AD54" s="376" t="s">
        <v>170</v>
      </c>
      <c r="AE54" s="376" t="s">
        <v>355</v>
      </c>
      <c r="AF54" s="376" t="s">
        <v>190</v>
      </c>
      <c r="AG54" s="376" t="s">
        <v>178</v>
      </c>
      <c r="AH54" s="381">
        <v>15.66</v>
      </c>
      <c r="AI54" s="381">
        <v>11656.8</v>
      </c>
      <c r="AJ54" s="376" t="s">
        <v>179</v>
      </c>
      <c r="AK54" s="376" t="s">
        <v>180</v>
      </c>
      <c r="AL54" s="376" t="s">
        <v>181</v>
      </c>
      <c r="AM54" s="376" t="s">
        <v>182</v>
      </c>
      <c r="AN54" s="376" t="s">
        <v>68</v>
      </c>
      <c r="AO54" s="379">
        <v>80</v>
      </c>
      <c r="AP54" s="460">
        <v>1</v>
      </c>
      <c r="AQ54" s="460">
        <v>1</v>
      </c>
      <c r="AR54" s="458" t="s">
        <v>183</v>
      </c>
      <c r="AS54" s="462">
        <f t="shared" si="0"/>
        <v>1</v>
      </c>
      <c r="AT54">
        <f t="shared" si="1"/>
        <v>1</v>
      </c>
      <c r="AU54" s="462">
        <f>IF(AT54=0,"",IF(AND(AT54=1,M54="F",SUMIF(C2:C391,C54,AS2:AS391)&lt;=1),SUMIF(C2:C391,C54,AS2:AS391),IF(AND(AT54=1,M54="F",SUMIF(C2:C391,C54,AS2:AS391)&gt;1),1,"")))</f>
        <v>1</v>
      </c>
      <c r="AV54" s="462" t="str">
        <f>IF(AT54=0,"",IF(AND(AT54=3,M54="F",SUMIF(C2:C391,C54,AS2:AS391)&lt;=1),SUMIF(C2:C391,C54,AS2:AS391),IF(AND(AT54=3,M54="F",SUMIF(C2:C391,C54,AS2:AS391)&gt;1),1,"")))</f>
        <v/>
      </c>
      <c r="AW54" s="462">
        <f>SUMIF(C2:C391,C54,O2:O391)</f>
        <v>1</v>
      </c>
      <c r="AX54" s="462">
        <f>IF(AND(M54="F",AS54&lt;&gt;0),SUMIF(C2:C391,C54,W2:W391),0)</f>
        <v>32572.799999999999</v>
      </c>
      <c r="AY54" s="462">
        <f t="shared" si="2"/>
        <v>32572.799999999999</v>
      </c>
      <c r="AZ54" s="462" t="str">
        <f t="shared" si="3"/>
        <v/>
      </c>
      <c r="BA54" s="462">
        <f t="shared" si="4"/>
        <v>0</v>
      </c>
      <c r="BB54" s="462">
        <f>IF(AND(AT54=1,AK54="E",AU54&gt;=0.75,AW54=1),Health,IF(AND(AT54=1,AK54="E",AU54&gt;=0.75),Health*P54,IF(AND(AT54=1,AK54="E",AU54&gt;=0.5,AW54=1),PTHealth,IF(AND(AT54=1,AK54="E",AU54&gt;=0.5),PTHealth*P54,0))))</f>
        <v>11650</v>
      </c>
      <c r="BC54" s="462">
        <f>IF(AND(AT54=3,AK54="E",AV54&gt;=0.75,AW54=1),Health,IF(AND(AT54=3,AK54="E",AV54&gt;=0.75),Health*P54,IF(AND(AT54=3,AK54="E",AV54&gt;=0.5,AW54=1),PTHealth,IF(AND(AT54=3,AK54="E",AV54&gt;=0.5),PTHealth*P54,0))))</f>
        <v>0</v>
      </c>
      <c r="BD54" s="462">
        <f>IF(AND(AT54&lt;&gt;0,AX54&gt;=MAXSSDI),SSDI*MAXSSDI*P54,IF(AT54&lt;&gt;0,SSDI*W54,0))</f>
        <v>2019.5136</v>
      </c>
      <c r="BE54" s="462">
        <f>IF(AT54&lt;&gt;0,SSHI*W54,0)</f>
        <v>472.30560000000003</v>
      </c>
      <c r="BF54" s="462">
        <f>IF(AND(AT54&lt;&gt;0,AN54&lt;&gt;"NE"),VLOOKUP(AN54,Retirement_Rates,3,FALSE)*W54,0)</f>
        <v>3889.1923200000001</v>
      </c>
      <c r="BG54" s="462">
        <f>IF(AND(AT54&lt;&gt;0,AJ54&lt;&gt;"PF"),Life*W54,0)</f>
        <v>234.84988799999999</v>
      </c>
      <c r="BH54" s="462">
        <f>IF(AND(AT54&lt;&gt;0,AM54="Y"),UI*W54,0)</f>
        <v>159.60672</v>
      </c>
      <c r="BI54" s="462">
        <f>IF(AND(AT54&lt;&gt;0,N54&lt;&gt;"NR"),DHR*W54,0)</f>
        <v>99.672767999999991</v>
      </c>
      <c r="BJ54" s="462">
        <f>IF(AT54&lt;&gt;0,WC*W54,0)</f>
        <v>876.20831999999996</v>
      </c>
      <c r="BK54" s="462">
        <f>IF(OR(AND(AT54&lt;&gt;0,AJ54&lt;&gt;"PF",AN54&lt;&gt;"NE",AG54&lt;&gt;"A"),AND(AL54="E",OR(AT54=1,AT54=3))),Sick*W54,0)</f>
        <v>0</v>
      </c>
      <c r="BL54" s="462">
        <f t="shared" si="5"/>
        <v>7751.3492159999996</v>
      </c>
      <c r="BM54" s="462">
        <f t="shared" si="6"/>
        <v>0</v>
      </c>
      <c r="BN54" s="462">
        <f>IF(AND(AT54=1,AK54="E",AU54&gt;=0.75,AW54=1),HealthBY,IF(AND(AT54=1,AK54="E",AU54&gt;=0.75),HealthBY*P54,IF(AND(AT54=1,AK54="E",AU54&gt;=0.5,AW54=1),PTHealthBY,IF(AND(AT54=1,AK54="E",AU54&gt;=0.5),PTHealthBY*P54,0))))</f>
        <v>11650</v>
      </c>
      <c r="BO54" s="462">
        <f>IF(AND(AT54=3,AK54="E",AV54&gt;=0.75,AW54=1),HealthBY,IF(AND(AT54=3,AK54="E",AV54&gt;=0.75),HealthBY*P54,IF(AND(AT54=3,AK54="E",AV54&gt;=0.5,AW54=1),PTHealthBY,IF(AND(AT54=3,AK54="E",AV54&gt;=0.5),PTHealthBY*P54,0))))</f>
        <v>0</v>
      </c>
      <c r="BP54" s="462">
        <f>IF(AND(AT54&lt;&gt;0,(AX54+BA54)&gt;=MAXSSDIBY),SSDIBY*MAXSSDIBY*P54,IF(AT54&lt;&gt;0,SSDIBY*W54,0))</f>
        <v>2019.5136</v>
      </c>
      <c r="BQ54" s="462">
        <f>IF(AT54&lt;&gt;0,SSHIBY*W54,0)</f>
        <v>472.30560000000003</v>
      </c>
      <c r="BR54" s="462">
        <f>IF(AND(AT54&lt;&gt;0,AN54&lt;&gt;"NE"),VLOOKUP(AN54,Retirement_Rates,4,FALSE)*W54,0)</f>
        <v>3889.1923200000001</v>
      </c>
      <c r="BS54" s="462">
        <f>IF(AND(AT54&lt;&gt;0,AJ54&lt;&gt;"PF"),LifeBY*W54,0)</f>
        <v>234.84988799999999</v>
      </c>
      <c r="BT54" s="462">
        <f>IF(AND(AT54&lt;&gt;0,AM54="Y"),UIBY*W54,0)</f>
        <v>0</v>
      </c>
      <c r="BU54" s="462">
        <f>IF(AND(AT54&lt;&gt;0,N54&lt;&gt;"NR"),DHRBY*W54,0)</f>
        <v>99.672767999999991</v>
      </c>
      <c r="BV54" s="462">
        <f>IF(AT54&lt;&gt;0,WCBY*W54,0)</f>
        <v>1130.2761600000001</v>
      </c>
      <c r="BW54" s="462">
        <f>IF(OR(AND(AT54&lt;&gt;0,AJ54&lt;&gt;"PF",AN54&lt;&gt;"NE",AG54&lt;&gt;"A"),AND(AL54="E",OR(AT54=1,AT54=3))),SickBY*W54,0)</f>
        <v>0</v>
      </c>
      <c r="BX54" s="462">
        <f t="shared" si="7"/>
        <v>7845.8103360000005</v>
      </c>
      <c r="BY54" s="462">
        <f t="shared" si="8"/>
        <v>0</v>
      </c>
      <c r="BZ54" s="462">
        <f t="shared" si="9"/>
        <v>0</v>
      </c>
      <c r="CA54" s="462">
        <f t="shared" si="10"/>
        <v>0</v>
      </c>
      <c r="CB54" s="462">
        <f t="shared" si="11"/>
        <v>0</v>
      </c>
      <c r="CC54" s="462">
        <f>IF(AT54&lt;&gt;0,SSHICHG*Y54,0)</f>
        <v>0</v>
      </c>
      <c r="CD54" s="462">
        <f>IF(AND(AT54&lt;&gt;0,AN54&lt;&gt;"NE"),VLOOKUP(AN54,Retirement_Rates,5,FALSE)*Y54,0)</f>
        <v>0</v>
      </c>
      <c r="CE54" s="462">
        <f>IF(AND(AT54&lt;&gt;0,AJ54&lt;&gt;"PF"),LifeCHG*Y54,0)</f>
        <v>0</v>
      </c>
      <c r="CF54" s="462">
        <f>IF(AND(AT54&lt;&gt;0,AM54="Y"),UICHG*Y54,0)</f>
        <v>-159.60672</v>
      </c>
      <c r="CG54" s="462">
        <f>IF(AND(AT54&lt;&gt;0,N54&lt;&gt;"NR"),DHRCHG*Y54,0)</f>
        <v>0</v>
      </c>
      <c r="CH54" s="462">
        <f>IF(AT54&lt;&gt;0,WCCHG*Y54,0)</f>
        <v>254.06784000000005</v>
      </c>
      <c r="CI54" s="462">
        <f>IF(OR(AND(AT54&lt;&gt;0,AJ54&lt;&gt;"PF",AN54&lt;&gt;"NE",AG54&lt;&gt;"A"),AND(AL54="E",OR(AT54=1,AT54=3))),SickCHG*Y54,0)</f>
        <v>0</v>
      </c>
      <c r="CJ54" s="462">
        <f t="shared" si="12"/>
        <v>94.461120000000051</v>
      </c>
      <c r="CK54" s="462" t="str">
        <f t="shared" si="13"/>
        <v/>
      </c>
      <c r="CL54" s="462" t="str">
        <f t="shared" si="14"/>
        <v/>
      </c>
      <c r="CM54" s="462" t="str">
        <f t="shared" si="15"/>
        <v/>
      </c>
      <c r="CN54" s="462" t="str">
        <f t="shared" si="16"/>
        <v>0243-02</v>
      </c>
    </row>
    <row r="55" spans="1:92" ht="15" thickBot="1" x14ac:dyDescent="0.35">
      <c r="A55" s="376" t="s">
        <v>161</v>
      </c>
      <c r="B55" s="376" t="s">
        <v>162</v>
      </c>
      <c r="C55" s="376" t="s">
        <v>388</v>
      </c>
      <c r="D55" s="376" t="s">
        <v>354</v>
      </c>
      <c r="E55" s="376" t="s">
        <v>273</v>
      </c>
      <c r="F55" s="382" t="s">
        <v>384</v>
      </c>
      <c r="G55" s="376" t="s">
        <v>167</v>
      </c>
      <c r="H55" s="378"/>
      <c r="I55" s="378"/>
      <c r="J55" s="376" t="s">
        <v>168</v>
      </c>
      <c r="K55" s="376" t="s">
        <v>355</v>
      </c>
      <c r="L55" s="376" t="s">
        <v>178</v>
      </c>
      <c r="M55" s="376" t="s">
        <v>171</v>
      </c>
      <c r="N55" s="376" t="s">
        <v>172</v>
      </c>
      <c r="O55" s="379">
        <v>1</v>
      </c>
      <c r="P55" s="460">
        <v>1</v>
      </c>
      <c r="Q55" s="460">
        <v>1</v>
      </c>
      <c r="R55" s="380">
        <v>80</v>
      </c>
      <c r="S55" s="460">
        <v>1</v>
      </c>
      <c r="T55" s="380">
        <v>25534.33</v>
      </c>
      <c r="U55" s="380">
        <v>0</v>
      </c>
      <c r="V55" s="380">
        <v>15400.84</v>
      </c>
      <c r="W55" s="380">
        <v>32572.799999999999</v>
      </c>
      <c r="X55" s="380">
        <v>19401.310000000001</v>
      </c>
      <c r="Y55" s="380">
        <v>32572.799999999999</v>
      </c>
      <c r="Z55" s="380">
        <v>19495.78</v>
      </c>
      <c r="AA55" s="376" t="s">
        <v>389</v>
      </c>
      <c r="AB55" s="376" t="s">
        <v>390</v>
      </c>
      <c r="AC55" s="376" t="s">
        <v>391</v>
      </c>
      <c r="AD55" s="376" t="s">
        <v>176</v>
      </c>
      <c r="AE55" s="376" t="s">
        <v>355</v>
      </c>
      <c r="AF55" s="376" t="s">
        <v>190</v>
      </c>
      <c r="AG55" s="376" t="s">
        <v>178</v>
      </c>
      <c r="AH55" s="381">
        <v>15.66</v>
      </c>
      <c r="AI55" s="381">
        <v>5959.7</v>
      </c>
      <c r="AJ55" s="376" t="s">
        <v>179</v>
      </c>
      <c r="AK55" s="376" t="s">
        <v>180</v>
      </c>
      <c r="AL55" s="376" t="s">
        <v>181</v>
      </c>
      <c r="AM55" s="376" t="s">
        <v>182</v>
      </c>
      <c r="AN55" s="376" t="s">
        <v>68</v>
      </c>
      <c r="AO55" s="379">
        <v>80</v>
      </c>
      <c r="AP55" s="460">
        <v>1</v>
      </c>
      <c r="AQ55" s="460">
        <v>1</v>
      </c>
      <c r="AR55" s="458" t="s">
        <v>183</v>
      </c>
      <c r="AS55" s="462">
        <f t="shared" si="0"/>
        <v>1</v>
      </c>
      <c r="AT55">
        <f t="shared" si="1"/>
        <v>1</v>
      </c>
      <c r="AU55" s="462">
        <f>IF(AT55=0,"",IF(AND(AT55=1,M55="F",SUMIF(C2:C391,C55,AS2:AS391)&lt;=1),SUMIF(C2:C391,C55,AS2:AS391),IF(AND(AT55=1,M55="F",SUMIF(C2:C391,C55,AS2:AS391)&gt;1),1,"")))</f>
        <v>1</v>
      </c>
      <c r="AV55" s="462" t="str">
        <f>IF(AT55=0,"",IF(AND(AT55=3,M55="F",SUMIF(C2:C391,C55,AS2:AS391)&lt;=1),SUMIF(C2:C391,C55,AS2:AS391),IF(AND(AT55=3,M55="F",SUMIF(C2:C391,C55,AS2:AS391)&gt;1),1,"")))</f>
        <v/>
      </c>
      <c r="AW55" s="462">
        <f>SUMIF(C2:C391,C55,O2:O391)</f>
        <v>2</v>
      </c>
      <c r="AX55" s="462">
        <f>IF(AND(M55="F",AS55&lt;&gt;0),SUMIF(C2:C391,C55,W2:W391),0)</f>
        <v>32572.799999999999</v>
      </c>
      <c r="AY55" s="462">
        <f t="shared" si="2"/>
        <v>32572.799999999999</v>
      </c>
      <c r="AZ55" s="462" t="str">
        <f t="shared" si="3"/>
        <v/>
      </c>
      <c r="BA55" s="462">
        <f t="shared" si="4"/>
        <v>0</v>
      </c>
      <c r="BB55" s="462">
        <f>IF(AND(AT55=1,AK55="E",AU55&gt;=0.75,AW55=1),Health,IF(AND(AT55=1,AK55="E",AU55&gt;=0.75),Health*P55,IF(AND(AT55=1,AK55="E",AU55&gt;=0.5,AW55=1),PTHealth,IF(AND(AT55=1,AK55="E",AU55&gt;=0.5),PTHealth*P55,0))))</f>
        <v>11650</v>
      </c>
      <c r="BC55" s="462">
        <f>IF(AND(AT55=3,AK55="E",AV55&gt;=0.75,AW55=1),Health,IF(AND(AT55=3,AK55="E",AV55&gt;=0.75),Health*P55,IF(AND(AT55=3,AK55="E",AV55&gt;=0.5,AW55=1),PTHealth,IF(AND(AT55=3,AK55="E",AV55&gt;=0.5),PTHealth*P55,0))))</f>
        <v>0</v>
      </c>
      <c r="BD55" s="462">
        <f>IF(AND(AT55&lt;&gt;0,AX55&gt;=MAXSSDI),SSDI*MAXSSDI*P55,IF(AT55&lt;&gt;0,SSDI*W55,0))</f>
        <v>2019.5136</v>
      </c>
      <c r="BE55" s="462">
        <f>IF(AT55&lt;&gt;0,SSHI*W55,0)</f>
        <v>472.30560000000003</v>
      </c>
      <c r="BF55" s="462">
        <f>IF(AND(AT55&lt;&gt;0,AN55&lt;&gt;"NE"),VLOOKUP(AN55,Retirement_Rates,3,FALSE)*W55,0)</f>
        <v>3889.1923200000001</v>
      </c>
      <c r="BG55" s="462">
        <f>IF(AND(AT55&lt;&gt;0,AJ55&lt;&gt;"PF"),Life*W55,0)</f>
        <v>234.84988799999999</v>
      </c>
      <c r="BH55" s="462">
        <f>IF(AND(AT55&lt;&gt;0,AM55="Y"),UI*W55,0)</f>
        <v>159.60672</v>
      </c>
      <c r="BI55" s="462">
        <f>IF(AND(AT55&lt;&gt;0,N55&lt;&gt;"NR"),DHR*W55,0)</f>
        <v>99.672767999999991</v>
      </c>
      <c r="BJ55" s="462">
        <f>IF(AT55&lt;&gt;0,WC*W55,0)</f>
        <v>876.20831999999996</v>
      </c>
      <c r="BK55" s="462">
        <f>IF(OR(AND(AT55&lt;&gt;0,AJ55&lt;&gt;"PF",AN55&lt;&gt;"NE",AG55&lt;&gt;"A"),AND(AL55="E",OR(AT55=1,AT55=3))),Sick*W55,0)</f>
        <v>0</v>
      </c>
      <c r="BL55" s="462">
        <f t="shared" si="5"/>
        <v>7751.3492159999996</v>
      </c>
      <c r="BM55" s="462">
        <f t="shared" si="6"/>
        <v>0</v>
      </c>
      <c r="BN55" s="462">
        <f>IF(AND(AT55=1,AK55="E",AU55&gt;=0.75,AW55=1),HealthBY,IF(AND(AT55=1,AK55="E",AU55&gt;=0.75),HealthBY*P55,IF(AND(AT55=1,AK55="E",AU55&gt;=0.5,AW55=1),PTHealthBY,IF(AND(AT55=1,AK55="E",AU55&gt;=0.5),PTHealthBY*P55,0))))</f>
        <v>11650</v>
      </c>
      <c r="BO55" s="462">
        <f>IF(AND(AT55=3,AK55="E",AV55&gt;=0.75,AW55=1),HealthBY,IF(AND(AT55=3,AK55="E",AV55&gt;=0.75),HealthBY*P55,IF(AND(AT55=3,AK55="E",AV55&gt;=0.5,AW55=1),PTHealthBY,IF(AND(AT55=3,AK55="E",AV55&gt;=0.5),PTHealthBY*P55,0))))</f>
        <v>0</v>
      </c>
      <c r="BP55" s="462">
        <f>IF(AND(AT55&lt;&gt;0,(AX55+BA55)&gt;=MAXSSDIBY),SSDIBY*MAXSSDIBY*P55,IF(AT55&lt;&gt;0,SSDIBY*W55,0))</f>
        <v>2019.5136</v>
      </c>
      <c r="BQ55" s="462">
        <f>IF(AT55&lt;&gt;0,SSHIBY*W55,0)</f>
        <v>472.30560000000003</v>
      </c>
      <c r="BR55" s="462">
        <f>IF(AND(AT55&lt;&gt;0,AN55&lt;&gt;"NE"),VLOOKUP(AN55,Retirement_Rates,4,FALSE)*W55,0)</f>
        <v>3889.1923200000001</v>
      </c>
      <c r="BS55" s="462">
        <f>IF(AND(AT55&lt;&gt;0,AJ55&lt;&gt;"PF"),LifeBY*W55,0)</f>
        <v>234.84988799999999</v>
      </c>
      <c r="BT55" s="462">
        <f>IF(AND(AT55&lt;&gt;0,AM55="Y"),UIBY*W55,0)</f>
        <v>0</v>
      </c>
      <c r="BU55" s="462">
        <f>IF(AND(AT55&lt;&gt;0,N55&lt;&gt;"NR"),DHRBY*W55,0)</f>
        <v>99.672767999999991</v>
      </c>
      <c r="BV55" s="462">
        <f>IF(AT55&lt;&gt;0,WCBY*W55,0)</f>
        <v>1130.2761600000001</v>
      </c>
      <c r="BW55" s="462">
        <f>IF(OR(AND(AT55&lt;&gt;0,AJ55&lt;&gt;"PF",AN55&lt;&gt;"NE",AG55&lt;&gt;"A"),AND(AL55="E",OR(AT55=1,AT55=3))),SickBY*W55,0)</f>
        <v>0</v>
      </c>
      <c r="BX55" s="462">
        <f t="shared" si="7"/>
        <v>7845.8103360000005</v>
      </c>
      <c r="BY55" s="462">
        <f t="shared" si="8"/>
        <v>0</v>
      </c>
      <c r="BZ55" s="462">
        <f t="shared" si="9"/>
        <v>0</v>
      </c>
      <c r="CA55" s="462">
        <f t="shared" si="10"/>
        <v>0</v>
      </c>
      <c r="CB55" s="462">
        <f t="shared" si="11"/>
        <v>0</v>
      </c>
      <c r="CC55" s="462">
        <f>IF(AT55&lt;&gt;0,SSHICHG*Y55,0)</f>
        <v>0</v>
      </c>
      <c r="CD55" s="462">
        <f>IF(AND(AT55&lt;&gt;0,AN55&lt;&gt;"NE"),VLOOKUP(AN55,Retirement_Rates,5,FALSE)*Y55,0)</f>
        <v>0</v>
      </c>
      <c r="CE55" s="462">
        <f>IF(AND(AT55&lt;&gt;0,AJ55&lt;&gt;"PF"),LifeCHG*Y55,0)</f>
        <v>0</v>
      </c>
      <c r="CF55" s="462">
        <f>IF(AND(AT55&lt;&gt;0,AM55="Y"),UICHG*Y55,0)</f>
        <v>-159.60672</v>
      </c>
      <c r="CG55" s="462">
        <f>IF(AND(AT55&lt;&gt;0,N55&lt;&gt;"NR"),DHRCHG*Y55,0)</f>
        <v>0</v>
      </c>
      <c r="CH55" s="462">
        <f>IF(AT55&lt;&gt;0,WCCHG*Y55,0)</f>
        <v>254.06784000000005</v>
      </c>
      <c r="CI55" s="462">
        <f>IF(OR(AND(AT55&lt;&gt;0,AJ55&lt;&gt;"PF",AN55&lt;&gt;"NE",AG55&lt;&gt;"A"),AND(AL55="E",OR(AT55=1,AT55=3))),SickCHG*Y55,0)</f>
        <v>0</v>
      </c>
      <c r="CJ55" s="462">
        <f t="shared" si="12"/>
        <v>94.461120000000051</v>
      </c>
      <c r="CK55" s="462" t="str">
        <f t="shared" si="13"/>
        <v/>
      </c>
      <c r="CL55" s="462" t="str">
        <f t="shared" si="14"/>
        <v/>
      </c>
      <c r="CM55" s="462" t="str">
        <f t="shared" si="15"/>
        <v/>
      </c>
      <c r="CN55" s="462" t="str">
        <f t="shared" si="16"/>
        <v>0243-02</v>
      </c>
    </row>
    <row r="56" spans="1:92" ht="15" thickBot="1" x14ac:dyDescent="0.35">
      <c r="A56" s="376" t="s">
        <v>161</v>
      </c>
      <c r="B56" s="376" t="s">
        <v>162</v>
      </c>
      <c r="C56" s="376" t="s">
        <v>392</v>
      </c>
      <c r="D56" s="376" t="s">
        <v>393</v>
      </c>
      <c r="E56" s="376" t="s">
        <v>273</v>
      </c>
      <c r="F56" s="382" t="s">
        <v>384</v>
      </c>
      <c r="G56" s="376" t="s">
        <v>167</v>
      </c>
      <c r="H56" s="378"/>
      <c r="I56" s="378"/>
      <c r="J56" s="376" t="s">
        <v>168</v>
      </c>
      <c r="K56" s="376" t="s">
        <v>394</v>
      </c>
      <c r="L56" s="376" t="s">
        <v>395</v>
      </c>
      <c r="M56" s="376" t="s">
        <v>171</v>
      </c>
      <c r="N56" s="376" t="s">
        <v>172</v>
      </c>
      <c r="O56" s="379">
        <v>1</v>
      </c>
      <c r="P56" s="460">
        <v>1</v>
      </c>
      <c r="Q56" s="460">
        <v>1</v>
      </c>
      <c r="R56" s="380">
        <v>80</v>
      </c>
      <c r="S56" s="460">
        <v>1</v>
      </c>
      <c r="T56" s="380">
        <v>36012.82</v>
      </c>
      <c r="U56" s="380">
        <v>0</v>
      </c>
      <c r="V56" s="380">
        <v>20190.830000000002</v>
      </c>
      <c r="W56" s="380">
        <v>36192</v>
      </c>
      <c r="X56" s="380">
        <v>20262.580000000002</v>
      </c>
      <c r="Y56" s="380">
        <v>36192</v>
      </c>
      <c r="Z56" s="380">
        <v>20367.54</v>
      </c>
      <c r="AA56" s="376" t="s">
        <v>396</v>
      </c>
      <c r="AB56" s="376" t="s">
        <v>397</v>
      </c>
      <c r="AC56" s="376" t="s">
        <v>398</v>
      </c>
      <c r="AD56" s="376" t="s">
        <v>170</v>
      </c>
      <c r="AE56" s="376" t="s">
        <v>394</v>
      </c>
      <c r="AF56" s="376" t="s">
        <v>399</v>
      </c>
      <c r="AG56" s="376" t="s">
        <v>178</v>
      </c>
      <c r="AH56" s="381">
        <v>17.399999999999999</v>
      </c>
      <c r="AI56" s="381">
        <v>46163.3</v>
      </c>
      <c r="AJ56" s="376" t="s">
        <v>179</v>
      </c>
      <c r="AK56" s="376" t="s">
        <v>180</v>
      </c>
      <c r="AL56" s="376" t="s">
        <v>181</v>
      </c>
      <c r="AM56" s="376" t="s">
        <v>182</v>
      </c>
      <c r="AN56" s="376" t="s">
        <v>68</v>
      </c>
      <c r="AO56" s="379">
        <v>80</v>
      </c>
      <c r="AP56" s="460">
        <v>1</v>
      </c>
      <c r="AQ56" s="460">
        <v>1</v>
      </c>
      <c r="AR56" s="458" t="s">
        <v>183</v>
      </c>
      <c r="AS56" s="462">
        <f t="shared" si="0"/>
        <v>1</v>
      </c>
      <c r="AT56">
        <f t="shared" si="1"/>
        <v>1</v>
      </c>
      <c r="AU56" s="462">
        <f>IF(AT56=0,"",IF(AND(AT56=1,M56="F",SUMIF(C2:C391,C56,AS2:AS391)&lt;=1),SUMIF(C2:C391,C56,AS2:AS391),IF(AND(AT56=1,M56="F",SUMIF(C2:C391,C56,AS2:AS391)&gt;1),1,"")))</f>
        <v>1</v>
      </c>
      <c r="AV56" s="462" t="str">
        <f>IF(AT56=0,"",IF(AND(AT56=3,M56="F",SUMIF(C2:C391,C56,AS2:AS391)&lt;=1),SUMIF(C2:C391,C56,AS2:AS391),IF(AND(AT56=3,M56="F",SUMIF(C2:C391,C56,AS2:AS391)&gt;1),1,"")))</f>
        <v/>
      </c>
      <c r="AW56" s="462">
        <f>SUMIF(C2:C391,C56,O2:O391)</f>
        <v>1</v>
      </c>
      <c r="AX56" s="462">
        <f>IF(AND(M56="F",AS56&lt;&gt;0),SUMIF(C2:C391,C56,W2:W391),0)</f>
        <v>36192</v>
      </c>
      <c r="AY56" s="462">
        <f t="shared" si="2"/>
        <v>36192</v>
      </c>
      <c r="AZ56" s="462" t="str">
        <f t="shared" si="3"/>
        <v/>
      </c>
      <c r="BA56" s="462">
        <f t="shared" si="4"/>
        <v>0</v>
      </c>
      <c r="BB56" s="462">
        <f>IF(AND(AT56=1,AK56="E",AU56&gt;=0.75,AW56=1),Health,IF(AND(AT56=1,AK56="E",AU56&gt;=0.75),Health*P56,IF(AND(AT56=1,AK56="E",AU56&gt;=0.5,AW56=1),PTHealth,IF(AND(AT56=1,AK56="E",AU56&gt;=0.5),PTHealth*P56,0))))</f>
        <v>11650</v>
      </c>
      <c r="BC56" s="462">
        <f>IF(AND(AT56=3,AK56="E",AV56&gt;=0.75,AW56=1),Health,IF(AND(AT56=3,AK56="E",AV56&gt;=0.75),Health*P56,IF(AND(AT56=3,AK56="E",AV56&gt;=0.5,AW56=1),PTHealth,IF(AND(AT56=3,AK56="E",AV56&gt;=0.5),PTHealth*P56,0))))</f>
        <v>0</v>
      </c>
      <c r="BD56" s="462">
        <f>IF(AND(AT56&lt;&gt;0,AX56&gt;=MAXSSDI),SSDI*MAXSSDI*P56,IF(AT56&lt;&gt;0,SSDI*W56,0))</f>
        <v>2243.904</v>
      </c>
      <c r="BE56" s="462">
        <f>IF(AT56&lt;&gt;0,SSHI*W56,0)</f>
        <v>524.78399999999999</v>
      </c>
      <c r="BF56" s="462">
        <f>IF(AND(AT56&lt;&gt;0,AN56&lt;&gt;"NE"),VLOOKUP(AN56,Retirement_Rates,3,FALSE)*W56,0)</f>
        <v>4321.3248000000003</v>
      </c>
      <c r="BG56" s="462">
        <f>IF(AND(AT56&lt;&gt;0,AJ56&lt;&gt;"PF"),Life*W56,0)</f>
        <v>260.94432</v>
      </c>
      <c r="BH56" s="462">
        <f>IF(AND(AT56&lt;&gt;0,AM56="Y"),UI*W56,0)</f>
        <v>177.3408</v>
      </c>
      <c r="BI56" s="462">
        <f>IF(AND(AT56&lt;&gt;0,N56&lt;&gt;"NR"),DHR*W56,0)</f>
        <v>110.74751999999999</v>
      </c>
      <c r="BJ56" s="462">
        <f>IF(AT56&lt;&gt;0,WC*W56,0)</f>
        <v>973.56479999999999</v>
      </c>
      <c r="BK56" s="462">
        <f>IF(OR(AND(AT56&lt;&gt;0,AJ56&lt;&gt;"PF",AN56&lt;&gt;"NE",AG56&lt;&gt;"A"),AND(AL56="E",OR(AT56=1,AT56=3))),Sick*W56,0)</f>
        <v>0</v>
      </c>
      <c r="BL56" s="462">
        <f t="shared" si="5"/>
        <v>8612.61024</v>
      </c>
      <c r="BM56" s="462">
        <f t="shared" si="6"/>
        <v>0</v>
      </c>
      <c r="BN56" s="462">
        <f>IF(AND(AT56=1,AK56="E",AU56&gt;=0.75,AW56=1),HealthBY,IF(AND(AT56=1,AK56="E",AU56&gt;=0.75),HealthBY*P56,IF(AND(AT56=1,AK56="E",AU56&gt;=0.5,AW56=1),PTHealthBY,IF(AND(AT56=1,AK56="E",AU56&gt;=0.5),PTHealthBY*P56,0))))</f>
        <v>11650</v>
      </c>
      <c r="BO56" s="462">
        <f>IF(AND(AT56=3,AK56="E",AV56&gt;=0.75,AW56=1),HealthBY,IF(AND(AT56=3,AK56="E",AV56&gt;=0.75),HealthBY*P56,IF(AND(AT56=3,AK56="E",AV56&gt;=0.5,AW56=1),PTHealthBY,IF(AND(AT56=3,AK56="E",AV56&gt;=0.5),PTHealthBY*P56,0))))</f>
        <v>0</v>
      </c>
      <c r="BP56" s="462">
        <f>IF(AND(AT56&lt;&gt;0,(AX56+BA56)&gt;=MAXSSDIBY),SSDIBY*MAXSSDIBY*P56,IF(AT56&lt;&gt;0,SSDIBY*W56,0))</f>
        <v>2243.904</v>
      </c>
      <c r="BQ56" s="462">
        <f>IF(AT56&lt;&gt;0,SSHIBY*W56,0)</f>
        <v>524.78399999999999</v>
      </c>
      <c r="BR56" s="462">
        <f>IF(AND(AT56&lt;&gt;0,AN56&lt;&gt;"NE"),VLOOKUP(AN56,Retirement_Rates,4,FALSE)*W56,0)</f>
        <v>4321.3248000000003</v>
      </c>
      <c r="BS56" s="462">
        <f>IF(AND(AT56&lt;&gt;0,AJ56&lt;&gt;"PF"),LifeBY*W56,0)</f>
        <v>260.94432</v>
      </c>
      <c r="BT56" s="462">
        <f>IF(AND(AT56&lt;&gt;0,AM56="Y"),UIBY*W56,0)</f>
        <v>0</v>
      </c>
      <c r="BU56" s="462">
        <f>IF(AND(AT56&lt;&gt;0,N56&lt;&gt;"NR"),DHRBY*W56,0)</f>
        <v>110.74751999999999</v>
      </c>
      <c r="BV56" s="462">
        <f>IF(AT56&lt;&gt;0,WCBY*W56,0)</f>
        <v>1255.8624</v>
      </c>
      <c r="BW56" s="462">
        <f>IF(OR(AND(AT56&lt;&gt;0,AJ56&lt;&gt;"PF",AN56&lt;&gt;"NE",AG56&lt;&gt;"A"),AND(AL56="E",OR(AT56=1,AT56=3))),SickBY*W56,0)</f>
        <v>0</v>
      </c>
      <c r="BX56" s="462">
        <f t="shared" si="7"/>
        <v>8717.5670399999999</v>
      </c>
      <c r="BY56" s="462">
        <f t="shared" si="8"/>
        <v>0</v>
      </c>
      <c r="BZ56" s="462">
        <f t="shared" si="9"/>
        <v>0</v>
      </c>
      <c r="CA56" s="462">
        <f t="shared" si="10"/>
        <v>0</v>
      </c>
      <c r="CB56" s="462">
        <f t="shared" si="11"/>
        <v>0</v>
      </c>
      <c r="CC56" s="462">
        <f>IF(AT56&lt;&gt;0,SSHICHG*Y56,0)</f>
        <v>0</v>
      </c>
      <c r="CD56" s="462">
        <f>IF(AND(AT56&lt;&gt;0,AN56&lt;&gt;"NE"),VLOOKUP(AN56,Retirement_Rates,5,FALSE)*Y56,0)</f>
        <v>0</v>
      </c>
      <c r="CE56" s="462">
        <f>IF(AND(AT56&lt;&gt;0,AJ56&lt;&gt;"PF"),LifeCHG*Y56,0)</f>
        <v>0</v>
      </c>
      <c r="CF56" s="462">
        <f>IF(AND(AT56&lt;&gt;0,AM56="Y"),UICHG*Y56,0)</f>
        <v>-177.3408</v>
      </c>
      <c r="CG56" s="462">
        <f>IF(AND(AT56&lt;&gt;0,N56&lt;&gt;"NR"),DHRCHG*Y56,0)</f>
        <v>0</v>
      </c>
      <c r="CH56" s="462">
        <f>IF(AT56&lt;&gt;0,WCCHG*Y56,0)</f>
        <v>282.29760000000005</v>
      </c>
      <c r="CI56" s="462">
        <f>IF(OR(AND(AT56&lt;&gt;0,AJ56&lt;&gt;"PF",AN56&lt;&gt;"NE",AG56&lt;&gt;"A"),AND(AL56="E",OR(AT56=1,AT56=3))),SickCHG*Y56,0)</f>
        <v>0</v>
      </c>
      <c r="CJ56" s="462">
        <f t="shared" si="12"/>
        <v>104.95680000000004</v>
      </c>
      <c r="CK56" s="462" t="str">
        <f t="shared" si="13"/>
        <v/>
      </c>
      <c r="CL56" s="462" t="str">
        <f t="shared" si="14"/>
        <v/>
      </c>
      <c r="CM56" s="462" t="str">
        <f t="shared" si="15"/>
        <v/>
      </c>
      <c r="CN56" s="462" t="str">
        <f t="shared" si="16"/>
        <v>0243-02</v>
      </c>
    </row>
    <row r="57" spans="1:92" ht="15" thickBot="1" x14ac:dyDescent="0.35">
      <c r="A57" s="376" t="s">
        <v>161</v>
      </c>
      <c r="B57" s="376" t="s">
        <v>162</v>
      </c>
      <c r="C57" s="376" t="s">
        <v>400</v>
      </c>
      <c r="D57" s="376" t="s">
        <v>354</v>
      </c>
      <c r="E57" s="376" t="s">
        <v>273</v>
      </c>
      <c r="F57" s="382" t="s">
        <v>384</v>
      </c>
      <c r="G57" s="376" t="s">
        <v>167</v>
      </c>
      <c r="H57" s="378"/>
      <c r="I57" s="378"/>
      <c r="J57" s="376" t="s">
        <v>168</v>
      </c>
      <c r="K57" s="376" t="s">
        <v>355</v>
      </c>
      <c r="L57" s="376" t="s">
        <v>178</v>
      </c>
      <c r="M57" s="376" t="s">
        <v>171</v>
      </c>
      <c r="N57" s="376" t="s">
        <v>172</v>
      </c>
      <c r="O57" s="379">
        <v>1</v>
      </c>
      <c r="P57" s="460">
        <v>1</v>
      </c>
      <c r="Q57" s="460">
        <v>1</v>
      </c>
      <c r="R57" s="380">
        <v>80</v>
      </c>
      <c r="S57" s="460">
        <v>1</v>
      </c>
      <c r="T57" s="380">
        <v>31297.95</v>
      </c>
      <c r="U57" s="380">
        <v>8.61</v>
      </c>
      <c r="V57" s="380">
        <v>17914.93</v>
      </c>
      <c r="W57" s="380">
        <v>32822.400000000001</v>
      </c>
      <c r="X57" s="380">
        <v>19460.7</v>
      </c>
      <c r="Y57" s="380">
        <v>32822.400000000001</v>
      </c>
      <c r="Z57" s="380">
        <v>19555.89</v>
      </c>
      <c r="AA57" s="376" t="s">
        <v>401</v>
      </c>
      <c r="AB57" s="376" t="s">
        <v>402</v>
      </c>
      <c r="AC57" s="376" t="s">
        <v>403</v>
      </c>
      <c r="AD57" s="376" t="s">
        <v>231</v>
      </c>
      <c r="AE57" s="376" t="s">
        <v>355</v>
      </c>
      <c r="AF57" s="376" t="s">
        <v>190</v>
      </c>
      <c r="AG57" s="376" t="s">
        <v>178</v>
      </c>
      <c r="AH57" s="381">
        <v>15.78</v>
      </c>
      <c r="AI57" s="381">
        <v>12541.2</v>
      </c>
      <c r="AJ57" s="376" t="s">
        <v>179</v>
      </c>
      <c r="AK57" s="376" t="s">
        <v>180</v>
      </c>
      <c r="AL57" s="376" t="s">
        <v>181</v>
      </c>
      <c r="AM57" s="376" t="s">
        <v>182</v>
      </c>
      <c r="AN57" s="376" t="s">
        <v>68</v>
      </c>
      <c r="AO57" s="379">
        <v>80</v>
      </c>
      <c r="AP57" s="460">
        <v>1</v>
      </c>
      <c r="AQ57" s="460">
        <v>1</v>
      </c>
      <c r="AR57" s="458" t="s">
        <v>183</v>
      </c>
      <c r="AS57" s="462">
        <f t="shared" si="0"/>
        <v>1</v>
      </c>
      <c r="AT57">
        <f t="shared" si="1"/>
        <v>1</v>
      </c>
      <c r="AU57" s="462">
        <f>IF(AT57=0,"",IF(AND(AT57=1,M57="F",SUMIF(C2:C391,C57,AS2:AS391)&lt;=1),SUMIF(C2:C391,C57,AS2:AS391),IF(AND(AT57=1,M57="F",SUMIF(C2:C391,C57,AS2:AS391)&gt;1),1,"")))</f>
        <v>1</v>
      </c>
      <c r="AV57" s="462" t="str">
        <f>IF(AT57=0,"",IF(AND(AT57=3,M57="F",SUMIF(C2:C391,C57,AS2:AS391)&lt;=1),SUMIF(C2:C391,C57,AS2:AS391),IF(AND(AT57=3,M57="F",SUMIF(C2:C391,C57,AS2:AS391)&gt;1),1,"")))</f>
        <v/>
      </c>
      <c r="AW57" s="462">
        <f>SUMIF(C2:C391,C57,O2:O391)</f>
        <v>1</v>
      </c>
      <c r="AX57" s="462">
        <f>IF(AND(M57="F",AS57&lt;&gt;0),SUMIF(C2:C391,C57,W2:W391),0)</f>
        <v>32822.400000000001</v>
      </c>
      <c r="AY57" s="462">
        <f t="shared" si="2"/>
        <v>32822.400000000001</v>
      </c>
      <c r="AZ57" s="462" t="str">
        <f t="shared" si="3"/>
        <v/>
      </c>
      <c r="BA57" s="462">
        <f t="shared" si="4"/>
        <v>0</v>
      </c>
      <c r="BB57" s="462">
        <f>IF(AND(AT57=1,AK57="E",AU57&gt;=0.75,AW57=1),Health,IF(AND(AT57=1,AK57="E",AU57&gt;=0.75),Health*P57,IF(AND(AT57=1,AK57="E",AU57&gt;=0.5,AW57=1),PTHealth,IF(AND(AT57=1,AK57="E",AU57&gt;=0.5),PTHealth*P57,0))))</f>
        <v>11650</v>
      </c>
      <c r="BC57" s="462">
        <f>IF(AND(AT57=3,AK57="E",AV57&gt;=0.75,AW57=1),Health,IF(AND(AT57=3,AK57="E",AV57&gt;=0.75),Health*P57,IF(AND(AT57=3,AK57="E",AV57&gt;=0.5,AW57=1),PTHealth,IF(AND(AT57=3,AK57="E",AV57&gt;=0.5),PTHealth*P57,0))))</f>
        <v>0</v>
      </c>
      <c r="BD57" s="462">
        <f>IF(AND(AT57&lt;&gt;0,AX57&gt;=MAXSSDI),SSDI*MAXSSDI*P57,IF(AT57&lt;&gt;0,SSDI*W57,0))</f>
        <v>2034.9888000000001</v>
      </c>
      <c r="BE57" s="462">
        <f>IF(AT57&lt;&gt;0,SSHI*W57,0)</f>
        <v>475.92480000000006</v>
      </c>
      <c r="BF57" s="462">
        <f>IF(AND(AT57&lt;&gt;0,AN57&lt;&gt;"NE"),VLOOKUP(AN57,Retirement_Rates,3,FALSE)*W57,0)</f>
        <v>3918.9945600000005</v>
      </c>
      <c r="BG57" s="462">
        <f>IF(AND(AT57&lt;&gt;0,AJ57&lt;&gt;"PF"),Life*W57,0)</f>
        <v>236.64950400000001</v>
      </c>
      <c r="BH57" s="462">
        <f>IF(AND(AT57&lt;&gt;0,AM57="Y"),UI*W57,0)</f>
        <v>160.82975999999999</v>
      </c>
      <c r="BI57" s="462">
        <f>IF(AND(AT57&lt;&gt;0,N57&lt;&gt;"NR"),DHR*W57,0)</f>
        <v>100.436544</v>
      </c>
      <c r="BJ57" s="462">
        <f>IF(AT57&lt;&gt;0,WC*W57,0)</f>
        <v>882.92256000000009</v>
      </c>
      <c r="BK57" s="462">
        <f>IF(OR(AND(AT57&lt;&gt;0,AJ57&lt;&gt;"PF",AN57&lt;&gt;"NE",AG57&lt;&gt;"A"),AND(AL57="E",OR(AT57=1,AT57=3))),Sick*W57,0)</f>
        <v>0</v>
      </c>
      <c r="BL57" s="462">
        <f t="shared" si="5"/>
        <v>7810.7465280000006</v>
      </c>
      <c r="BM57" s="462">
        <f t="shared" si="6"/>
        <v>0</v>
      </c>
      <c r="BN57" s="462">
        <f>IF(AND(AT57=1,AK57="E",AU57&gt;=0.75,AW57=1),HealthBY,IF(AND(AT57=1,AK57="E",AU57&gt;=0.75),HealthBY*P57,IF(AND(AT57=1,AK57="E",AU57&gt;=0.5,AW57=1),PTHealthBY,IF(AND(AT57=1,AK57="E",AU57&gt;=0.5),PTHealthBY*P57,0))))</f>
        <v>11650</v>
      </c>
      <c r="BO57" s="462">
        <f>IF(AND(AT57=3,AK57="E",AV57&gt;=0.75,AW57=1),HealthBY,IF(AND(AT57=3,AK57="E",AV57&gt;=0.75),HealthBY*P57,IF(AND(AT57=3,AK57="E",AV57&gt;=0.5,AW57=1),PTHealthBY,IF(AND(AT57=3,AK57="E",AV57&gt;=0.5),PTHealthBY*P57,0))))</f>
        <v>0</v>
      </c>
      <c r="BP57" s="462">
        <f>IF(AND(AT57&lt;&gt;0,(AX57+BA57)&gt;=MAXSSDIBY),SSDIBY*MAXSSDIBY*P57,IF(AT57&lt;&gt;0,SSDIBY*W57,0))</f>
        <v>2034.9888000000001</v>
      </c>
      <c r="BQ57" s="462">
        <f>IF(AT57&lt;&gt;0,SSHIBY*W57,0)</f>
        <v>475.92480000000006</v>
      </c>
      <c r="BR57" s="462">
        <f>IF(AND(AT57&lt;&gt;0,AN57&lt;&gt;"NE"),VLOOKUP(AN57,Retirement_Rates,4,FALSE)*W57,0)</f>
        <v>3918.9945600000005</v>
      </c>
      <c r="BS57" s="462">
        <f>IF(AND(AT57&lt;&gt;0,AJ57&lt;&gt;"PF"),LifeBY*W57,0)</f>
        <v>236.64950400000001</v>
      </c>
      <c r="BT57" s="462">
        <f>IF(AND(AT57&lt;&gt;0,AM57="Y"),UIBY*W57,0)</f>
        <v>0</v>
      </c>
      <c r="BU57" s="462">
        <f>IF(AND(AT57&lt;&gt;0,N57&lt;&gt;"NR"),DHRBY*W57,0)</f>
        <v>100.436544</v>
      </c>
      <c r="BV57" s="462">
        <f>IF(AT57&lt;&gt;0,WCBY*W57,0)</f>
        <v>1138.9372800000001</v>
      </c>
      <c r="BW57" s="462">
        <f>IF(OR(AND(AT57&lt;&gt;0,AJ57&lt;&gt;"PF",AN57&lt;&gt;"NE",AG57&lt;&gt;"A"),AND(AL57="E",OR(AT57=1,AT57=3))),SickBY*W57,0)</f>
        <v>0</v>
      </c>
      <c r="BX57" s="462">
        <f t="shared" si="7"/>
        <v>7905.9314880000011</v>
      </c>
      <c r="BY57" s="462">
        <f t="shared" si="8"/>
        <v>0</v>
      </c>
      <c r="BZ57" s="462">
        <f t="shared" si="9"/>
        <v>0</v>
      </c>
      <c r="CA57" s="462">
        <f t="shared" si="10"/>
        <v>0</v>
      </c>
      <c r="CB57" s="462">
        <f t="shared" si="11"/>
        <v>0</v>
      </c>
      <c r="CC57" s="462">
        <f>IF(AT57&lt;&gt;0,SSHICHG*Y57,0)</f>
        <v>0</v>
      </c>
      <c r="CD57" s="462">
        <f>IF(AND(AT57&lt;&gt;0,AN57&lt;&gt;"NE"),VLOOKUP(AN57,Retirement_Rates,5,FALSE)*Y57,0)</f>
        <v>0</v>
      </c>
      <c r="CE57" s="462">
        <f>IF(AND(AT57&lt;&gt;0,AJ57&lt;&gt;"PF"),LifeCHG*Y57,0)</f>
        <v>0</v>
      </c>
      <c r="CF57" s="462">
        <f>IF(AND(AT57&lt;&gt;0,AM57="Y"),UICHG*Y57,0)</f>
        <v>-160.82975999999999</v>
      </c>
      <c r="CG57" s="462">
        <f>IF(AND(AT57&lt;&gt;0,N57&lt;&gt;"NR"),DHRCHG*Y57,0)</f>
        <v>0</v>
      </c>
      <c r="CH57" s="462">
        <f>IF(AT57&lt;&gt;0,WCCHG*Y57,0)</f>
        <v>256.01472000000007</v>
      </c>
      <c r="CI57" s="462">
        <f>IF(OR(AND(AT57&lt;&gt;0,AJ57&lt;&gt;"PF",AN57&lt;&gt;"NE",AG57&lt;&gt;"A"),AND(AL57="E",OR(AT57=1,AT57=3))),SickCHG*Y57,0)</f>
        <v>0</v>
      </c>
      <c r="CJ57" s="462">
        <f t="shared" si="12"/>
        <v>95.184960000000075</v>
      </c>
      <c r="CK57" s="462" t="str">
        <f t="shared" si="13"/>
        <v/>
      </c>
      <c r="CL57" s="462" t="str">
        <f t="shared" si="14"/>
        <v/>
      </c>
      <c r="CM57" s="462" t="str">
        <f t="shared" si="15"/>
        <v/>
      </c>
      <c r="CN57" s="462" t="str">
        <f t="shared" si="16"/>
        <v>0243-02</v>
      </c>
    </row>
    <row r="58" spans="1:92" ht="15" thickBot="1" x14ac:dyDescent="0.35">
      <c r="A58" s="376" t="s">
        <v>161</v>
      </c>
      <c r="B58" s="376" t="s">
        <v>162</v>
      </c>
      <c r="C58" s="376" t="s">
        <v>404</v>
      </c>
      <c r="D58" s="376" t="s">
        <v>405</v>
      </c>
      <c r="E58" s="376" t="s">
        <v>273</v>
      </c>
      <c r="F58" s="382" t="s">
        <v>384</v>
      </c>
      <c r="G58" s="376" t="s">
        <v>167</v>
      </c>
      <c r="H58" s="378"/>
      <c r="I58" s="378"/>
      <c r="J58" s="376" t="s">
        <v>168</v>
      </c>
      <c r="K58" s="376" t="s">
        <v>406</v>
      </c>
      <c r="L58" s="376" t="s">
        <v>316</v>
      </c>
      <c r="M58" s="376" t="s">
        <v>171</v>
      </c>
      <c r="N58" s="376" t="s">
        <v>172</v>
      </c>
      <c r="O58" s="379">
        <v>1</v>
      </c>
      <c r="P58" s="460">
        <v>1</v>
      </c>
      <c r="Q58" s="460">
        <v>1</v>
      </c>
      <c r="R58" s="380">
        <v>80</v>
      </c>
      <c r="S58" s="460">
        <v>1</v>
      </c>
      <c r="T58" s="380">
        <v>24871.599999999999</v>
      </c>
      <c r="U58" s="380">
        <v>9.92</v>
      </c>
      <c r="V58" s="380">
        <v>15730.52</v>
      </c>
      <c r="W58" s="380">
        <v>27726.400000000001</v>
      </c>
      <c r="X58" s="380">
        <v>18248.02</v>
      </c>
      <c r="Y58" s="380">
        <v>27726.400000000001</v>
      </c>
      <c r="Z58" s="380">
        <v>18328.43</v>
      </c>
      <c r="AA58" s="376" t="s">
        <v>407</v>
      </c>
      <c r="AB58" s="376" t="s">
        <v>408</v>
      </c>
      <c r="AC58" s="376" t="s">
        <v>409</v>
      </c>
      <c r="AD58" s="376" t="s">
        <v>195</v>
      </c>
      <c r="AE58" s="376" t="s">
        <v>406</v>
      </c>
      <c r="AF58" s="376" t="s">
        <v>320</v>
      </c>
      <c r="AG58" s="376" t="s">
        <v>178</v>
      </c>
      <c r="AH58" s="381">
        <v>13.33</v>
      </c>
      <c r="AI58" s="381">
        <v>4732.1000000000004</v>
      </c>
      <c r="AJ58" s="376" t="s">
        <v>179</v>
      </c>
      <c r="AK58" s="376" t="s">
        <v>180</v>
      </c>
      <c r="AL58" s="376" t="s">
        <v>181</v>
      </c>
      <c r="AM58" s="376" t="s">
        <v>182</v>
      </c>
      <c r="AN58" s="376" t="s">
        <v>68</v>
      </c>
      <c r="AO58" s="379">
        <v>80</v>
      </c>
      <c r="AP58" s="460">
        <v>1</v>
      </c>
      <c r="AQ58" s="460">
        <v>1</v>
      </c>
      <c r="AR58" s="458" t="s">
        <v>183</v>
      </c>
      <c r="AS58" s="462">
        <f t="shared" si="0"/>
        <v>1</v>
      </c>
      <c r="AT58">
        <f t="shared" si="1"/>
        <v>1</v>
      </c>
      <c r="AU58" s="462">
        <f>IF(AT58=0,"",IF(AND(AT58=1,M58="F",SUMIF(C2:C391,C58,AS2:AS391)&lt;=1),SUMIF(C2:C391,C58,AS2:AS391),IF(AND(AT58=1,M58="F",SUMIF(C2:C391,C58,AS2:AS391)&gt;1),1,"")))</f>
        <v>1</v>
      </c>
      <c r="AV58" s="462" t="str">
        <f>IF(AT58=0,"",IF(AND(AT58=3,M58="F",SUMIF(C2:C391,C58,AS2:AS391)&lt;=1),SUMIF(C2:C391,C58,AS2:AS391),IF(AND(AT58=3,M58="F",SUMIF(C2:C391,C58,AS2:AS391)&gt;1),1,"")))</f>
        <v/>
      </c>
      <c r="AW58" s="462">
        <f>SUMIF(C2:C391,C58,O2:O391)</f>
        <v>1</v>
      </c>
      <c r="AX58" s="462">
        <f>IF(AND(M58="F",AS58&lt;&gt;0),SUMIF(C2:C391,C58,W2:W391),0)</f>
        <v>27726.400000000001</v>
      </c>
      <c r="AY58" s="462">
        <f t="shared" si="2"/>
        <v>27726.400000000001</v>
      </c>
      <c r="AZ58" s="462" t="str">
        <f t="shared" si="3"/>
        <v/>
      </c>
      <c r="BA58" s="462">
        <f t="shared" si="4"/>
        <v>0</v>
      </c>
      <c r="BB58" s="462">
        <f>IF(AND(AT58=1,AK58="E",AU58&gt;=0.75,AW58=1),Health,IF(AND(AT58=1,AK58="E",AU58&gt;=0.75),Health*P58,IF(AND(AT58=1,AK58="E",AU58&gt;=0.5,AW58=1),PTHealth,IF(AND(AT58=1,AK58="E",AU58&gt;=0.5),PTHealth*P58,0))))</f>
        <v>11650</v>
      </c>
      <c r="BC58" s="462">
        <f>IF(AND(AT58=3,AK58="E",AV58&gt;=0.75,AW58=1),Health,IF(AND(AT58=3,AK58="E",AV58&gt;=0.75),Health*P58,IF(AND(AT58=3,AK58="E",AV58&gt;=0.5,AW58=1),PTHealth,IF(AND(AT58=3,AK58="E",AV58&gt;=0.5),PTHealth*P58,0))))</f>
        <v>0</v>
      </c>
      <c r="BD58" s="462">
        <f>IF(AND(AT58&lt;&gt;0,AX58&gt;=MAXSSDI),SSDI*MAXSSDI*P58,IF(AT58&lt;&gt;0,SSDI*W58,0))</f>
        <v>1719.0368000000001</v>
      </c>
      <c r="BE58" s="462">
        <f>IF(AT58&lt;&gt;0,SSHI*W58,0)</f>
        <v>402.03280000000007</v>
      </c>
      <c r="BF58" s="462">
        <f>IF(AND(AT58&lt;&gt;0,AN58&lt;&gt;"NE"),VLOOKUP(AN58,Retirement_Rates,3,FALSE)*W58,0)</f>
        <v>3310.5321600000002</v>
      </c>
      <c r="BG58" s="462">
        <f>IF(AND(AT58&lt;&gt;0,AJ58&lt;&gt;"PF"),Life*W58,0)</f>
        <v>199.90734400000002</v>
      </c>
      <c r="BH58" s="462">
        <f>IF(AND(AT58&lt;&gt;0,AM58="Y"),UI*W58,0)</f>
        <v>135.85936000000001</v>
      </c>
      <c r="BI58" s="462">
        <f>IF(AND(AT58&lt;&gt;0,N58&lt;&gt;"NR"),DHR*W58,0)</f>
        <v>84.842783999999995</v>
      </c>
      <c r="BJ58" s="462">
        <f>IF(AT58&lt;&gt;0,WC*W58,0)</f>
        <v>745.84016000000008</v>
      </c>
      <c r="BK58" s="462">
        <f>IF(OR(AND(AT58&lt;&gt;0,AJ58&lt;&gt;"PF",AN58&lt;&gt;"NE",AG58&lt;&gt;"A"),AND(AL58="E",OR(AT58=1,AT58=3))),Sick*W58,0)</f>
        <v>0</v>
      </c>
      <c r="BL58" s="462">
        <f t="shared" si="5"/>
        <v>6598.0514080000012</v>
      </c>
      <c r="BM58" s="462">
        <f t="shared" si="6"/>
        <v>0</v>
      </c>
      <c r="BN58" s="462">
        <f>IF(AND(AT58=1,AK58="E",AU58&gt;=0.75,AW58=1),HealthBY,IF(AND(AT58=1,AK58="E",AU58&gt;=0.75),HealthBY*P58,IF(AND(AT58=1,AK58="E",AU58&gt;=0.5,AW58=1),PTHealthBY,IF(AND(AT58=1,AK58="E",AU58&gt;=0.5),PTHealthBY*P58,0))))</f>
        <v>11650</v>
      </c>
      <c r="BO58" s="462">
        <f>IF(AND(AT58=3,AK58="E",AV58&gt;=0.75,AW58=1),HealthBY,IF(AND(AT58=3,AK58="E",AV58&gt;=0.75),HealthBY*P58,IF(AND(AT58=3,AK58="E",AV58&gt;=0.5,AW58=1),PTHealthBY,IF(AND(AT58=3,AK58="E",AV58&gt;=0.5),PTHealthBY*P58,0))))</f>
        <v>0</v>
      </c>
      <c r="BP58" s="462">
        <f>IF(AND(AT58&lt;&gt;0,(AX58+BA58)&gt;=MAXSSDIBY),SSDIBY*MAXSSDIBY*P58,IF(AT58&lt;&gt;0,SSDIBY*W58,0))</f>
        <v>1719.0368000000001</v>
      </c>
      <c r="BQ58" s="462">
        <f>IF(AT58&lt;&gt;0,SSHIBY*W58,0)</f>
        <v>402.03280000000007</v>
      </c>
      <c r="BR58" s="462">
        <f>IF(AND(AT58&lt;&gt;0,AN58&lt;&gt;"NE"),VLOOKUP(AN58,Retirement_Rates,4,FALSE)*W58,0)</f>
        <v>3310.5321600000002</v>
      </c>
      <c r="BS58" s="462">
        <f>IF(AND(AT58&lt;&gt;0,AJ58&lt;&gt;"PF"),LifeBY*W58,0)</f>
        <v>199.90734400000002</v>
      </c>
      <c r="BT58" s="462">
        <f>IF(AND(AT58&lt;&gt;0,AM58="Y"),UIBY*W58,0)</f>
        <v>0</v>
      </c>
      <c r="BU58" s="462">
        <f>IF(AND(AT58&lt;&gt;0,N58&lt;&gt;"NR"),DHRBY*W58,0)</f>
        <v>84.842783999999995</v>
      </c>
      <c r="BV58" s="462">
        <f>IF(AT58&lt;&gt;0,WCBY*W58,0)</f>
        <v>962.10608000000013</v>
      </c>
      <c r="BW58" s="462">
        <f>IF(OR(AND(AT58&lt;&gt;0,AJ58&lt;&gt;"PF",AN58&lt;&gt;"NE",AG58&lt;&gt;"A"),AND(AL58="E",OR(AT58=1,AT58=3))),SickBY*W58,0)</f>
        <v>0</v>
      </c>
      <c r="BX58" s="462">
        <f t="shared" si="7"/>
        <v>6678.4579680000015</v>
      </c>
      <c r="BY58" s="462">
        <f t="shared" si="8"/>
        <v>0</v>
      </c>
      <c r="BZ58" s="462">
        <f t="shared" si="9"/>
        <v>0</v>
      </c>
      <c r="CA58" s="462">
        <f t="shared" si="10"/>
        <v>0</v>
      </c>
      <c r="CB58" s="462">
        <f t="shared" si="11"/>
        <v>0</v>
      </c>
      <c r="CC58" s="462">
        <f>IF(AT58&lt;&gt;0,SSHICHG*Y58,0)</f>
        <v>0</v>
      </c>
      <c r="CD58" s="462">
        <f>IF(AND(AT58&lt;&gt;0,AN58&lt;&gt;"NE"),VLOOKUP(AN58,Retirement_Rates,5,FALSE)*Y58,0)</f>
        <v>0</v>
      </c>
      <c r="CE58" s="462">
        <f>IF(AND(AT58&lt;&gt;0,AJ58&lt;&gt;"PF"),LifeCHG*Y58,0)</f>
        <v>0</v>
      </c>
      <c r="CF58" s="462">
        <f>IF(AND(AT58&lt;&gt;0,AM58="Y"),UICHG*Y58,0)</f>
        <v>-135.85936000000001</v>
      </c>
      <c r="CG58" s="462">
        <f>IF(AND(AT58&lt;&gt;0,N58&lt;&gt;"NR"),DHRCHG*Y58,0)</f>
        <v>0</v>
      </c>
      <c r="CH58" s="462">
        <f>IF(AT58&lt;&gt;0,WCCHG*Y58,0)</f>
        <v>216.26592000000005</v>
      </c>
      <c r="CI58" s="462">
        <f>IF(OR(AND(AT58&lt;&gt;0,AJ58&lt;&gt;"PF",AN58&lt;&gt;"NE",AG58&lt;&gt;"A"),AND(AL58="E",OR(AT58=1,AT58=3))),SickCHG*Y58,0)</f>
        <v>0</v>
      </c>
      <c r="CJ58" s="462">
        <f t="shared" si="12"/>
        <v>80.406560000000042</v>
      </c>
      <c r="CK58" s="462" t="str">
        <f t="shared" si="13"/>
        <v/>
      </c>
      <c r="CL58" s="462" t="str">
        <f t="shared" si="14"/>
        <v/>
      </c>
      <c r="CM58" s="462" t="str">
        <f t="shared" si="15"/>
        <v/>
      </c>
      <c r="CN58" s="462" t="str">
        <f t="shared" si="16"/>
        <v>0243-02</v>
      </c>
    </row>
    <row r="59" spans="1:92" ht="15" thickBot="1" x14ac:dyDescent="0.35">
      <c r="A59" s="376" t="s">
        <v>161</v>
      </c>
      <c r="B59" s="376" t="s">
        <v>162</v>
      </c>
      <c r="C59" s="376" t="s">
        <v>410</v>
      </c>
      <c r="D59" s="376" t="s">
        <v>411</v>
      </c>
      <c r="E59" s="376" t="s">
        <v>273</v>
      </c>
      <c r="F59" s="382" t="s">
        <v>384</v>
      </c>
      <c r="G59" s="376" t="s">
        <v>167</v>
      </c>
      <c r="H59" s="378"/>
      <c r="I59" s="378"/>
      <c r="J59" s="376" t="s">
        <v>193</v>
      </c>
      <c r="K59" s="376" t="s">
        <v>412</v>
      </c>
      <c r="L59" s="376" t="s">
        <v>181</v>
      </c>
      <c r="M59" s="376" t="s">
        <v>171</v>
      </c>
      <c r="N59" s="376" t="s">
        <v>172</v>
      </c>
      <c r="O59" s="379">
        <v>1</v>
      </c>
      <c r="P59" s="460">
        <v>0.33</v>
      </c>
      <c r="Q59" s="460">
        <v>0.33</v>
      </c>
      <c r="R59" s="380">
        <v>80</v>
      </c>
      <c r="S59" s="460">
        <v>0.33</v>
      </c>
      <c r="T59" s="380">
        <v>21764.13</v>
      </c>
      <c r="U59" s="380">
        <v>0</v>
      </c>
      <c r="V59" s="380">
        <v>7166.23</v>
      </c>
      <c r="W59" s="380">
        <v>21484.32</v>
      </c>
      <c r="X59" s="380">
        <v>8957.1</v>
      </c>
      <c r="Y59" s="380">
        <v>21484.32</v>
      </c>
      <c r="Z59" s="380">
        <v>9019.41</v>
      </c>
      <c r="AA59" s="376" t="s">
        <v>413</v>
      </c>
      <c r="AB59" s="376" t="s">
        <v>414</v>
      </c>
      <c r="AC59" s="376" t="s">
        <v>415</v>
      </c>
      <c r="AD59" s="376" t="s">
        <v>170</v>
      </c>
      <c r="AE59" s="376" t="s">
        <v>412</v>
      </c>
      <c r="AF59" s="376" t="s">
        <v>206</v>
      </c>
      <c r="AG59" s="376" t="s">
        <v>178</v>
      </c>
      <c r="AH59" s="381">
        <v>31.3</v>
      </c>
      <c r="AI59" s="379">
        <v>962</v>
      </c>
      <c r="AJ59" s="376" t="s">
        <v>179</v>
      </c>
      <c r="AK59" s="376" t="s">
        <v>180</v>
      </c>
      <c r="AL59" s="376" t="s">
        <v>181</v>
      </c>
      <c r="AM59" s="376" t="s">
        <v>182</v>
      </c>
      <c r="AN59" s="376" t="s">
        <v>68</v>
      </c>
      <c r="AO59" s="379">
        <v>80</v>
      </c>
      <c r="AP59" s="460">
        <v>1</v>
      </c>
      <c r="AQ59" s="460">
        <v>0.33</v>
      </c>
      <c r="AR59" s="458" t="s">
        <v>183</v>
      </c>
      <c r="AS59" s="462">
        <f t="shared" si="0"/>
        <v>0.33</v>
      </c>
      <c r="AT59">
        <f t="shared" si="1"/>
        <v>1</v>
      </c>
      <c r="AU59" s="462">
        <f>IF(AT59=0,"",IF(AND(AT59=1,M59="F",SUMIF(C2:C391,C59,AS2:AS391)&lt;=1),SUMIF(C2:C391,C59,AS2:AS391),IF(AND(AT59=1,M59="F",SUMIF(C2:C391,C59,AS2:AS391)&gt;1),1,"")))</f>
        <v>1</v>
      </c>
      <c r="AV59" s="462" t="str">
        <f>IF(AT59=0,"",IF(AND(AT59=3,M59="F",SUMIF(C2:C391,C59,AS2:AS391)&lt;=1),SUMIF(C2:C391,C59,AS2:AS391),IF(AND(AT59=3,M59="F",SUMIF(C2:C391,C59,AS2:AS391)&gt;1),1,"")))</f>
        <v/>
      </c>
      <c r="AW59" s="462">
        <f>SUMIF(C2:C391,C59,O2:O391)</f>
        <v>2</v>
      </c>
      <c r="AX59" s="462">
        <f>IF(AND(M59="F",AS59&lt;&gt;0),SUMIF(C2:C391,C59,W2:W391),0)</f>
        <v>65104</v>
      </c>
      <c r="AY59" s="462">
        <f t="shared" si="2"/>
        <v>21484.32</v>
      </c>
      <c r="AZ59" s="462" t="str">
        <f t="shared" si="3"/>
        <v/>
      </c>
      <c r="BA59" s="462">
        <f t="shared" si="4"/>
        <v>0</v>
      </c>
      <c r="BB59" s="462">
        <f>IF(AND(AT59=1,AK59="E",AU59&gt;=0.75,AW59=1),Health,IF(AND(AT59=1,AK59="E",AU59&gt;=0.75),Health*P59,IF(AND(AT59=1,AK59="E",AU59&gt;=0.5,AW59=1),PTHealth,IF(AND(AT59=1,AK59="E",AU59&gt;=0.5),PTHealth*P59,0))))</f>
        <v>3844.5</v>
      </c>
      <c r="BC59" s="462">
        <f>IF(AND(AT59=3,AK59="E",AV59&gt;=0.75,AW59=1),Health,IF(AND(AT59=3,AK59="E",AV59&gt;=0.75),Health*P59,IF(AND(AT59=3,AK59="E",AV59&gt;=0.5,AW59=1),PTHealth,IF(AND(AT59=3,AK59="E",AV59&gt;=0.5),PTHealth*P59,0))))</f>
        <v>0</v>
      </c>
      <c r="BD59" s="462">
        <f>IF(AND(AT59&lt;&gt;0,AX59&gt;=MAXSSDI),SSDI*MAXSSDI*P59,IF(AT59&lt;&gt;0,SSDI*W59,0))</f>
        <v>1332.02784</v>
      </c>
      <c r="BE59" s="462">
        <f>IF(AT59&lt;&gt;0,SSHI*W59,0)</f>
        <v>311.52264000000002</v>
      </c>
      <c r="BF59" s="462">
        <f>IF(AND(AT59&lt;&gt;0,AN59&lt;&gt;"NE"),VLOOKUP(AN59,Retirement_Rates,3,FALSE)*W59,0)</f>
        <v>2565.2278080000001</v>
      </c>
      <c r="BG59" s="462">
        <f>IF(AND(AT59&lt;&gt;0,AJ59&lt;&gt;"PF"),Life*W59,0)</f>
        <v>154.9019472</v>
      </c>
      <c r="BH59" s="462">
        <f>IF(AND(AT59&lt;&gt;0,AM59="Y"),UI*W59,0)</f>
        <v>105.273168</v>
      </c>
      <c r="BI59" s="462">
        <f>IF(AND(AT59&lt;&gt;0,N59&lt;&gt;"NR"),DHR*W59,0)</f>
        <v>65.742019200000001</v>
      </c>
      <c r="BJ59" s="462">
        <f>IF(AT59&lt;&gt;0,WC*W59,0)</f>
        <v>577.92820800000004</v>
      </c>
      <c r="BK59" s="462">
        <f>IF(OR(AND(AT59&lt;&gt;0,AJ59&lt;&gt;"PF",AN59&lt;&gt;"NE",AG59&lt;&gt;"A"),AND(AL59="E",OR(AT59=1,AT59=3))),Sick*W59,0)</f>
        <v>0</v>
      </c>
      <c r="BL59" s="462">
        <f t="shared" si="5"/>
        <v>5112.6236303999995</v>
      </c>
      <c r="BM59" s="462">
        <f t="shared" si="6"/>
        <v>0</v>
      </c>
      <c r="BN59" s="462">
        <f>IF(AND(AT59=1,AK59="E",AU59&gt;=0.75,AW59=1),HealthBY,IF(AND(AT59=1,AK59="E",AU59&gt;=0.75),HealthBY*P59,IF(AND(AT59=1,AK59="E",AU59&gt;=0.5,AW59=1),PTHealthBY,IF(AND(AT59=1,AK59="E",AU59&gt;=0.5),PTHealthBY*P59,0))))</f>
        <v>3844.5</v>
      </c>
      <c r="BO59" s="462">
        <f>IF(AND(AT59=3,AK59="E",AV59&gt;=0.75,AW59=1),HealthBY,IF(AND(AT59=3,AK59="E",AV59&gt;=0.75),HealthBY*P59,IF(AND(AT59=3,AK59="E",AV59&gt;=0.5,AW59=1),PTHealthBY,IF(AND(AT59=3,AK59="E",AV59&gt;=0.5),PTHealthBY*P59,0))))</f>
        <v>0</v>
      </c>
      <c r="BP59" s="462">
        <f>IF(AND(AT59&lt;&gt;0,(AX59+BA59)&gt;=MAXSSDIBY),SSDIBY*MAXSSDIBY*P59,IF(AT59&lt;&gt;0,SSDIBY*W59,0))</f>
        <v>1332.02784</v>
      </c>
      <c r="BQ59" s="462">
        <f>IF(AT59&lt;&gt;0,SSHIBY*W59,0)</f>
        <v>311.52264000000002</v>
      </c>
      <c r="BR59" s="462">
        <f>IF(AND(AT59&lt;&gt;0,AN59&lt;&gt;"NE"),VLOOKUP(AN59,Retirement_Rates,4,FALSE)*W59,0)</f>
        <v>2565.2278080000001</v>
      </c>
      <c r="BS59" s="462">
        <f>IF(AND(AT59&lt;&gt;0,AJ59&lt;&gt;"PF"),LifeBY*W59,0)</f>
        <v>154.9019472</v>
      </c>
      <c r="BT59" s="462">
        <f>IF(AND(AT59&lt;&gt;0,AM59="Y"),UIBY*W59,0)</f>
        <v>0</v>
      </c>
      <c r="BU59" s="462">
        <f>IF(AND(AT59&lt;&gt;0,N59&lt;&gt;"NR"),DHRBY*W59,0)</f>
        <v>65.742019200000001</v>
      </c>
      <c r="BV59" s="462">
        <f>IF(AT59&lt;&gt;0,WCBY*W59,0)</f>
        <v>745.50590399999999</v>
      </c>
      <c r="BW59" s="462">
        <f>IF(OR(AND(AT59&lt;&gt;0,AJ59&lt;&gt;"PF",AN59&lt;&gt;"NE",AG59&lt;&gt;"A"),AND(AL59="E",OR(AT59=1,AT59=3))),SickBY*W59,0)</f>
        <v>0</v>
      </c>
      <c r="BX59" s="462">
        <f t="shared" si="7"/>
        <v>5174.9281583999991</v>
      </c>
      <c r="BY59" s="462">
        <f t="shared" si="8"/>
        <v>0</v>
      </c>
      <c r="BZ59" s="462">
        <f t="shared" si="9"/>
        <v>0</v>
      </c>
      <c r="CA59" s="462">
        <f t="shared" si="10"/>
        <v>0</v>
      </c>
      <c r="CB59" s="462">
        <f t="shared" si="11"/>
        <v>0</v>
      </c>
      <c r="CC59" s="462">
        <f>IF(AT59&lt;&gt;0,SSHICHG*Y59,0)</f>
        <v>0</v>
      </c>
      <c r="CD59" s="462">
        <f>IF(AND(AT59&lt;&gt;0,AN59&lt;&gt;"NE"),VLOOKUP(AN59,Retirement_Rates,5,FALSE)*Y59,0)</f>
        <v>0</v>
      </c>
      <c r="CE59" s="462">
        <f>IF(AND(AT59&lt;&gt;0,AJ59&lt;&gt;"PF"),LifeCHG*Y59,0)</f>
        <v>0</v>
      </c>
      <c r="CF59" s="462">
        <f>IF(AND(AT59&lt;&gt;0,AM59="Y"),UICHG*Y59,0)</f>
        <v>-105.273168</v>
      </c>
      <c r="CG59" s="462">
        <f>IF(AND(AT59&lt;&gt;0,N59&lt;&gt;"NR"),DHRCHG*Y59,0)</f>
        <v>0</v>
      </c>
      <c r="CH59" s="462">
        <f>IF(AT59&lt;&gt;0,WCCHG*Y59,0)</f>
        <v>167.57769600000003</v>
      </c>
      <c r="CI59" s="462">
        <f>IF(OR(AND(AT59&lt;&gt;0,AJ59&lt;&gt;"PF",AN59&lt;&gt;"NE",AG59&lt;&gt;"A"),AND(AL59="E",OR(AT59=1,AT59=3))),SickCHG*Y59,0)</f>
        <v>0</v>
      </c>
      <c r="CJ59" s="462">
        <f t="shared" si="12"/>
        <v>62.304528000000033</v>
      </c>
      <c r="CK59" s="462" t="str">
        <f t="shared" si="13"/>
        <v/>
      </c>
      <c r="CL59" s="462" t="str">
        <f t="shared" si="14"/>
        <v/>
      </c>
      <c r="CM59" s="462" t="str">
        <f t="shared" si="15"/>
        <v/>
      </c>
      <c r="CN59" s="462" t="str">
        <f t="shared" si="16"/>
        <v>0243-02</v>
      </c>
    </row>
    <row r="60" spans="1:92" ht="15" thickBot="1" x14ac:dyDescent="0.35">
      <c r="A60" s="376" t="s">
        <v>161</v>
      </c>
      <c r="B60" s="376" t="s">
        <v>162</v>
      </c>
      <c r="C60" s="376" t="s">
        <v>374</v>
      </c>
      <c r="D60" s="376" t="s">
        <v>375</v>
      </c>
      <c r="E60" s="376" t="s">
        <v>273</v>
      </c>
      <c r="F60" s="382" t="s">
        <v>384</v>
      </c>
      <c r="G60" s="376" t="s">
        <v>167</v>
      </c>
      <c r="H60" s="378"/>
      <c r="I60" s="378"/>
      <c r="J60" s="376" t="s">
        <v>193</v>
      </c>
      <c r="K60" s="376" t="s">
        <v>376</v>
      </c>
      <c r="L60" s="376" t="s">
        <v>166</v>
      </c>
      <c r="M60" s="376" t="s">
        <v>225</v>
      </c>
      <c r="N60" s="376" t="s">
        <v>296</v>
      </c>
      <c r="O60" s="379">
        <v>0</v>
      </c>
      <c r="P60" s="460">
        <v>0.2</v>
      </c>
      <c r="Q60" s="460">
        <v>0.2</v>
      </c>
      <c r="R60" s="380">
        <v>80</v>
      </c>
      <c r="S60" s="460">
        <v>0.2</v>
      </c>
      <c r="T60" s="380">
        <v>18991.8</v>
      </c>
      <c r="U60" s="380">
        <v>0</v>
      </c>
      <c r="V60" s="380">
        <v>6242.72</v>
      </c>
      <c r="W60" s="380">
        <v>18611.84</v>
      </c>
      <c r="X60" s="380">
        <v>8151.98</v>
      </c>
      <c r="Y60" s="380">
        <v>18611.84</v>
      </c>
      <c r="Z60" s="380">
        <v>8058.92</v>
      </c>
      <c r="AA60" s="378"/>
      <c r="AB60" s="376" t="s">
        <v>45</v>
      </c>
      <c r="AC60" s="376" t="s">
        <v>45</v>
      </c>
      <c r="AD60" s="378"/>
      <c r="AE60" s="378"/>
      <c r="AF60" s="378"/>
      <c r="AG60" s="378"/>
      <c r="AH60" s="379">
        <v>0</v>
      </c>
      <c r="AI60" s="379">
        <v>0</v>
      </c>
      <c r="AJ60" s="378"/>
      <c r="AK60" s="378"/>
      <c r="AL60" s="376" t="s">
        <v>181</v>
      </c>
      <c r="AM60" s="378"/>
      <c r="AN60" s="378"/>
      <c r="AO60" s="379">
        <v>0</v>
      </c>
      <c r="AP60" s="460">
        <v>0</v>
      </c>
      <c r="AQ60" s="460">
        <v>0</v>
      </c>
      <c r="AR60" s="459"/>
      <c r="AS60" s="462">
        <f t="shared" si="0"/>
        <v>0</v>
      </c>
      <c r="AT60">
        <f t="shared" si="1"/>
        <v>0</v>
      </c>
      <c r="AU60" s="462" t="str">
        <f>IF(AT60=0,"",IF(AND(AT60=1,M60="F",SUMIF(C2:C391,C60,AS2:AS391)&lt;=1),SUMIF(C2:C391,C60,AS2:AS391),IF(AND(AT60=1,M60="F",SUMIF(C2:C391,C60,AS2:AS391)&gt;1),1,"")))</f>
        <v/>
      </c>
      <c r="AV60" s="462" t="str">
        <f>IF(AT60=0,"",IF(AND(AT60=3,M60="F",SUMIF(C2:C391,C60,AS2:AS391)&lt;=1),SUMIF(C2:C391,C60,AS2:AS391),IF(AND(AT60=3,M60="F",SUMIF(C2:C391,C60,AS2:AS391)&gt;1),1,"")))</f>
        <v/>
      </c>
      <c r="AW60" s="462">
        <f>SUMIF(C2:C391,C60,O2:O391)</f>
        <v>0</v>
      </c>
      <c r="AX60" s="462">
        <f>IF(AND(M60="F",AS60&lt;&gt;0),SUMIF(C2:C391,C60,W2:W391),0)</f>
        <v>0</v>
      </c>
      <c r="AY60" s="462" t="str">
        <f t="shared" si="2"/>
        <v/>
      </c>
      <c r="AZ60" s="462" t="str">
        <f t="shared" si="3"/>
        <v/>
      </c>
      <c r="BA60" s="462">
        <f t="shared" si="4"/>
        <v>0</v>
      </c>
      <c r="BB60" s="462">
        <f>IF(AND(AT60=1,AK60="E",AU60&gt;=0.75,AW60=1),Health,IF(AND(AT60=1,AK60="E",AU60&gt;=0.75),Health*P60,IF(AND(AT60=1,AK60="E",AU60&gt;=0.5,AW60=1),PTHealth,IF(AND(AT60=1,AK60="E",AU60&gt;=0.5),PTHealth*P60,0))))</f>
        <v>0</v>
      </c>
      <c r="BC60" s="462">
        <f>IF(AND(AT60=3,AK60="E",AV60&gt;=0.75,AW60=1),Health,IF(AND(AT60=3,AK60="E",AV60&gt;=0.75),Health*P60,IF(AND(AT60=3,AK60="E",AV60&gt;=0.5,AW60=1),PTHealth,IF(AND(AT60=3,AK60="E",AV60&gt;=0.5),PTHealth*P60,0))))</f>
        <v>0</v>
      </c>
      <c r="BD60" s="462">
        <f>IF(AND(AT60&lt;&gt;0,AX60&gt;=MAXSSDI),SSDI*MAXSSDI*P60,IF(AT60&lt;&gt;0,SSDI*W60,0))</f>
        <v>0</v>
      </c>
      <c r="BE60" s="462">
        <f>IF(AT60&lt;&gt;0,SSHI*W60,0)</f>
        <v>0</v>
      </c>
      <c r="BF60" s="462">
        <f>IF(AND(AT60&lt;&gt;0,AN60&lt;&gt;"NE"),VLOOKUP(AN60,Retirement_Rates,3,FALSE)*W60,0)</f>
        <v>0</v>
      </c>
      <c r="BG60" s="462">
        <f>IF(AND(AT60&lt;&gt;0,AJ60&lt;&gt;"PF"),Life*W60,0)</f>
        <v>0</v>
      </c>
      <c r="BH60" s="462">
        <f>IF(AND(AT60&lt;&gt;0,AM60="Y"),UI*W60,0)</f>
        <v>0</v>
      </c>
      <c r="BI60" s="462">
        <f>IF(AND(AT60&lt;&gt;0,N60&lt;&gt;"NR"),DHR*W60,0)</f>
        <v>0</v>
      </c>
      <c r="BJ60" s="462">
        <f>IF(AT60&lt;&gt;0,WC*W60,0)</f>
        <v>0</v>
      </c>
      <c r="BK60" s="462">
        <f>IF(OR(AND(AT60&lt;&gt;0,AJ60&lt;&gt;"PF",AN60&lt;&gt;"NE",AG60&lt;&gt;"A"),AND(AL60="E",OR(AT60=1,AT60=3))),Sick*W60,0)</f>
        <v>0</v>
      </c>
      <c r="BL60" s="462">
        <f t="shared" si="5"/>
        <v>0</v>
      </c>
      <c r="BM60" s="462">
        <f t="shared" si="6"/>
        <v>0</v>
      </c>
      <c r="BN60" s="462">
        <f>IF(AND(AT60=1,AK60="E",AU60&gt;=0.75,AW60=1),HealthBY,IF(AND(AT60=1,AK60="E",AU60&gt;=0.75),HealthBY*P60,IF(AND(AT60=1,AK60="E",AU60&gt;=0.5,AW60=1),PTHealthBY,IF(AND(AT60=1,AK60="E",AU60&gt;=0.5),PTHealthBY*P60,0))))</f>
        <v>0</v>
      </c>
      <c r="BO60" s="462">
        <f>IF(AND(AT60=3,AK60="E",AV60&gt;=0.75,AW60=1),HealthBY,IF(AND(AT60=3,AK60="E",AV60&gt;=0.75),HealthBY*P60,IF(AND(AT60=3,AK60="E",AV60&gt;=0.5,AW60=1),PTHealthBY,IF(AND(AT60=3,AK60="E",AV60&gt;=0.5),PTHealthBY*P60,0))))</f>
        <v>0</v>
      </c>
      <c r="BP60" s="462">
        <f>IF(AND(AT60&lt;&gt;0,(AX60+BA60)&gt;=MAXSSDIBY),SSDIBY*MAXSSDIBY*P60,IF(AT60&lt;&gt;0,SSDIBY*W60,0))</f>
        <v>0</v>
      </c>
      <c r="BQ60" s="462">
        <f>IF(AT60&lt;&gt;0,SSHIBY*W60,0)</f>
        <v>0</v>
      </c>
      <c r="BR60" s="462">
        <f>IF(AND(AT60&lt;&gt;0,AN60&lt;&gt;"NE"),VLOOKUP(AN60,Retirement_Rates,4,FALSE)*W60,0)</f>
        <v>0</v>
      </c>
      <c r="BS60" s="462">
        <f>IF(AND(AT60&lt;&gt;0,AJ60&lt;&gt;"PF"),LifeBY*W60,0)</f>
        <v>0</v>
      </c>
      <c r="BT60" s="462">
        <f>IF(AND(AT60&lt;&gt;0,AM60="Y"),UIBY*W60,0)</f>
        <v>0</v>
      </c>
      <c r="BU60" s="462">
        <f>IF(AND(AT60&lt;&gt;0,N60&lt;&gt;"NR"),DHRBY*W60,0)</f>
        <v>0</v>
      </c>
      <c r="BV60" s="462">
        <f>IF(AT60&lt;&gt;0,WCBY*W60,0)</f>
        <v>0</v>
      </c>
      <c r="BW60" s="462">
        <f>IF(OR(AND(AT60&lt;&gt;0,AJ60&lt;&gt;"PF",AN60&lt;&gt;"NE",AG60&lt;&gt;"A"),AND(AL60="E",OR(AT60=1,AT60=3))),SickBY*W60,0)</f>
        <v>0</v>
      </c>
      <c r="BX60" s="462">
        <f t="shared" si="7"/>
        <v>0</v>
      </c>
      <c r="BY60" s="462">
        <f t="shared" si="8"/>
        <v>0</v>
      </c>
      <c r="BZ60" s="462">
        <f t="shared" si="9"/>
        <v>0</v>
      </c>
      <c r="CA60" s="462">
        <f t="shared" si="10"/>
        <v>0</v>
      </c>
      <c r="CB60" s="462">
        <f t="shared" si="11"/>
        <v>0</v>
      </c>
      <c r="CC60" s="462">
        <f>IF(AT60&lt;&gt;0,SSHICHG*Y60,0)</f>
        <v>0</v>
      </c>
      <c r="CD60" s="462">
        <f>IF(AND(AT60&lt;&gt;0,AN60&lt;&gt;"NE"),VLOOKUP(AN60,Retirement_Rates,5,FALSE)*Y60,0)</f>
        <v>0</v>
      </c>
      <c r="CE60" s="462">
        <f>IF(AND(AT60&lt;&gt;0,AJ60&lt;&gt;"PF"),LifeCHG*Y60,0)</f>
        <v>0</v>
      </c>
      <c r="CF60" s="462">
        <f>IF(AND(AT60&lt;&gt;0,AM60="Y"),UICHG*Y60,0)</f>
        <v>0</v>
      </c>
      <c r="CG60" s="462">
        <f>IF(AND(AT60&lt;&gt;0,N60&lt;&gt;"NR"),DHRCHG*Y60,0)</f>
        <v>0</v>
      </c>
      <c r="CH60" s="462">
        <f>IF(AT60&lt;&gt;0,WCCHG*Y60,0)</f>
        <v>0</v>
      </c>
      <c r="CI60" s="462">
        <f>IF(OR(AND(AT60&lt;&gt;0,AJ60&lt;&gt;"PF",AN60&lt;&gt;"NE",AG60&lt;&gt;"A"),AND(AL60="E",OR(AT60=1,AT60=3))),SickCHG*Y60,0)</f>
        <v>0</v>
      </c>
      <c r="CJ60" s="462">
        <f t="shared" si="12"/>
        <v>0</v>
      </c>
      <c r="CK60" s="462" t="str">
        <f t="shared" si="13"/>
        <v/>
      </c>
      <c r="CL60" s="462" t="str">
        <f t="shared" si="14"/>
        <v/>
      </c>
      <c r="CM60" s="462" t="str">
        <f t="shared" si="15"/>
        <v/>
      </c>
      <c r="CN60" s="462" t="str">
        <f t="shared" si="16"/>
        <v>0243-02</v>
      </c>
    </row>
    <row r="61" spans="1:92" ht="15" thickBot="1" x14ac:dyDescent="0.35">
      <c r="A61" s="376" t="s">
        <v>161</v>
      </c>
      <c r="B61" s="376" t="s">
        <v>162</v>
      </c>
      <c r="C61" s="376" t="s">
        <v>226</v>
      </c>
      <c r="D61" s="376" t="s">
        <v>227</v>
      </c>
      <c r="E61" s="376" t="s">
        <v>416</v>
      </c>
      <c r="F61" s="382" t="s">
        <v>417</v>
      </c>
      <c r="G61" s="376" t="s">
        <v>167</v>
      </c>
      <c r="H61" s="378"/>
      <c r="I61" s="378"/>
      <c r="J61" s="376" t="s">
        <v>229</v>
      </c>
      <c r="K61" s="376" t="s">
        <v>230</v>
      </c>
      <c r="L61" s="376" t="s">
        <v>231</v>
      </c>
      <c r="M61" s="376" t="s">
        <v>225</v>
      </c>
      <c r="N61" s="376" t="s">
        <v>223</v>
      </c>
      <c r="O61" s="379">
        <v>0</v>
      </c>
      <c r="P61" s="460">
        <v>0.43</v>
      </c>
      <c r="Q61" s="460">
        <v>0</v>
      </c>
      <c r="R61" s="380">
        <v>0</v>
      </c>
      <c r="S61" s="460">
        <v>0</v>
      </c>
      <c r="T61" s="380">
        <v>0</v>
      </c>
      <c r="U61" s="380">
        <v>0</v>
      </c>
      <c r="V61" s="380">
        <v>0</v>
      </c>
      <c r="W61" s="380">
        <v>0</v>
      </c>
      <c r="X61" s="380">
        <v>0</v>
      </c>
      <c r="Y61" s="380">
        <v>0</v>
      </c>
      <c r="Z61" s="380">
        <v>0</v>
      </c>
      <c r="AA61" s="378"/>
      <c r="AB61" s="376" t="s">
        <v>45</v>
      </c>
      <c r="AC61" s="376" t="s">
        <v>45</v>
      </c>
      <c r="AD61" s="378"/>
      <c r="AE61" s="378"/>
      <c r="AF61" s="378"/>
      <c r="AG61" s="378"/>
      <c r="AH61" s="379">
        <v>0</v>
      </c>
      <c r="AI61" s="379">
        <v>0</v>
      </c>
      <c r="AJ61" s="378"/>
      <c r="AK61" s="378"/>
      <c r="AL61" s="376" t="s">
        <v>181</v>
      </c>
      <c r="AM61" s="378"/>
      <c r="AN61" s="378"/>
      <c r="AO61" s="379">
        <v>0</v>
      </c>
      <c r="AP61" s="460">
        <v>0</v>
      </c>
      <c r="AQ61" s="460">
        <v>0</v>
      </c>
      <c r="AR61" s="459"/>
      <c r="AS61" s="462">
        <f t="shared" si="0"/>
        <v>0</v>
      </c>
      <c r="AT61">
        <f t="shared" si="1"/>
        <v>0</v>
      </c>
      <c r="AU61" s="462" t="str">
        <f>IF(AT61=0,"",IF(AND(AT61=1,M61="F",SUMIF(C2:C391,C61,AS2:AS391)&lt;=1),SUMIF(C2:C391,C61,AS2:AS391),IF(AND(AT61=1,M61="F",SUMIF(C2:C391,C61,AS2:AS391)&gt;1),1,"")))</f>
        <v/>
      </c>
      <c r="AV61" s="462" t="str">
        <f>IF(AT61=0,"",IF(AND(AT61=3,M61="F",SUMIF(C2:C391,C61,AS2:AS391)&lt;=1),SUMIF(C2:C391,C61,AS2:AS391),IF(AND(AT61=3,M61="F",SUMIF(C2:C391,C61,AS2:AS391)&gt;1),1,"")))</f>
        <v/>
      </c>
      <c r="AW61" s="462">
        <f>SUMIF(C2:C391,C61,O2:O391)</f>
        <v>0</v>
      </c>
      <c r="AX61" s="462">
        <f>IF(AND(M61="F",AS61&lt;&gt;0),SUMIF(C2:C391,C61,W2:W391),0)</f>
        <v>0</v>
      </c>
      <c r="AY61" s="462" t="str">
        <f t="shared" si="2"/>
        <v/>
      </c>
      <c r="AZ61" s="462" t="str">
        <f t="shared" si="3"/>
        <v/>
      </c>
      <c r="BA61" s="462">
        <f t="shared" si="4"/>
        <v>0</v>
      </c>
      <c r="BB61" s="462">
        <f>IF(AND(AT61=1,AK61="E",AU61&gt;=0.75,AW61=1),Health,IF(AND(AT61=1,AK61="E",AU61&gt;=0.75),Health*P61,IF(AND(AT61=1,AK61="E",AU61&gt;=0.5,AW61=1),PTHealth,IF(AND(AT61=1,AK61="E",AU61&gt;=0.5),PTHealth*P61,0))))</f>
        <v>0</v>
      </c>
      <c r="BC61" s="462">
        <f>IF(AND(AT61=3,AK61="E",AV61&gt;=0.75,AW61=1),Health,IF(AND(AT61=3,AK61="E",AV61&gt;=0.75),Health*P61,IF(AND(AT61=3,AK61="E",AV61&gt;=0.5,AW61=1),PTHealth,IF(AND(AT61=3,AK61="E",AV61&gt;=0.5),PTHealth*P61,0))))</f>
        <v>0</v>
      </c>
      <c r="BD61" s="462">
        <f>IF(AND(AT61&lt;&gt;0,AX61&gt;=MAXSSDI),SSDI*MAXSSDI*P61,IF(AT61&lt;&gt;0,SSDI*W61,0))</f>
        <v>0</v>
      </c>
      <c r="BE61" s="462">
        <f>IF(AT61&lt;&gt;0,SSHI*W61,0)</f>
        <v>0</v>
      </c>
      <c r="BF61" s="462">
        <f>IF(AND(AT61&lt;&gt;0,AN61&lt;&gt;"NE"),VLOOKUP(AN61,Retirement_Rates,3,FALSE)*W61,0)</f>
        <v>0</v>
      </c>
      <c r="BG61" s="462">
        <f>IF(AND(AT61&lt;&gt;0,AJ61&lt;&gt;"PF"),Life*W61,0)</f>
        <v>0</v>
      </c>
      <c r="BH61" s="462">
        <f>IF(AND(AT61&lt;&gt;0,AM61="Y"),UI*W61,0)</f>
        <v>0</v>
      </c>
      <c r="BI61" s="462">
        <f>IF(AND(AT61&lt;&gt;0,N61&lt;&gt;"NR"),DHR*W61,0)</f>
        <v>0</v>
      </c>
      <c r="BJ61" s="462">
        <f>IF(AT61&lt;&gt;0,WC*W61,0)</f>
        <v>0</v>
      </c>
      <c r="BK61" s="462">
        <f>IF(OR(AND(AT61&lt;&gt;0,AJ61&lt;&gt;"PF",AN61&lt;&gt;"NE",AG61&lt;&gt;"A"),AND(AL61="E",OR(AT61=1,AT61=3))),Sick*W61,0)</f>
        <v>0</v>
      </c>
      <c r="BL61" s="462">
        <f t="shared" si="5"/>
        <v>0</v>
      </c>
      <c r="BM61" s="462">
        <f t="shared" si="6"/>
        <v>0</v>
      </c>
      <c r="BN61" s="462">
        <f>IF(AND(AT61=1,AK61="E",AU61&gt;=0.75,AW61=1),HealthBY,IF(AND(AT61=1,AK61="E",AU61&gt;=0.75),HealthBY*P61,IF(AND(AT61=1,AK61="E",AU61&gt;=0.5,AW61=1),PTHealthBY,IF(AND(AT61=1,AK61="E",AU61&gt;=0.5),PTHealthBY*P61,0))))</f>
        <v>0</v>
      </c>
      <c r="BO61" s="462">
        <f>IF(AND(AT61=3,AK61="E",AV61&gt;=0.75,AW61=1),HealthBY,IF(AND(AT61=3,AK61="E",AV61&gt;=0.75),HealthBY*P61,IF(AND(AT61=3,AK61="E",AV61&gt;=0.5,AW61=1),PTHealthBY,IF(AND(AT61=3,AK61="E",AV61&gt;=0.5),PTHealthBY*P61,0))))</f>
        <v>0</v>
      </c>
      <c r="BP61" s="462">
        <f>IF(AND(AT61&lt;&gt;0,(AX61+BA61)&gt;=MAXSSDIBY),SSDIBY*MAXSSDIBY*P61,IF(AT61&lt;&gt;0,SSDIBY*W61,0))</f>
        <v>0</v>
      </c>
      <c r="BQ61" s="462">
        <f>IF(AT61&lt;&gt;0,SSHIBY*W61,0)</f>
        <v>0</v>
      </c>
      <c r="BR61" s="462">
        <f>IF(AND(AT61&lt;&gt;0,AN61&lt;&gt;"NE"),VLOOKUP(AN61,Retirement_Rates,4,FALSE)*W61,0)</f>
        <v>0</v>
      </c>
      <c r="BS61" s="462">
        <f>IF(AND(AT61&lt;&gt;0,AJ61&lt;&gt;"PF"),LifeBY*W61,0)</f>
        <v>0</v>
      </c>
      <c r="BT61" s="462">
        <f>IF(AND(AT61&lt;&gt;0,AM61="Y"),UIBY*W61,0)</f>
        <v>0</v>
      </c>
      <c r="BU61" s="462">
        <f>IF(AND(AT61&lt;&gt;0,N61&lt;&gt;"NR"),DHRBY*W61,0)</f>
        <v>0</v>
      </c>
      <c r="BV61" s="462">
        <f>IF(AT61&lt;&gt;0,WCBY*W61,0)</f>
        <v>0</v>
      </c>
      <c r="BW61" s="462">
        <f>IF(OR(AND(AT61&lt;&gt;0,AJ61&lt;&gt;"PF",AN61&lt;&gt;"NE",AG61&lt;&gt;"A"),AND(AL61="E",OR(AT61=1,AT61=3))),SickBY*W61,0)</f>
        <v>0</v>
      </c>
      <c r="BX61" s="462">
        <f t="shared" si="7"/>
        <v>0</v>
      </c>
      <c r="BY61" s="462">
        <f t="shared" si="8"/>
        <v>0</v>
      </c>
      <c r="BZ61" s="462">
        <f t="shared" si="9"/>
        <v>0</v>
      </c>
      <c r="CA61" s="462">
        <f t="shared" si="10"/>
        <v>0</v>
      </c>
      <c r="CB61" s="462">
        <f t="shared" si="11"/>
        <v>0</v>
      </c>
      <c r="CC61" s="462">
        <f>IF(AT61&lt;&gt;0,SSHICHG*Y61,0)</f>
        <v>0</v>
      </c>
      <c r="CD61" s="462">
        <f>IF(AND(AT61&lt;&gt;0,AN61&lt;&gt;"NE"),VLOOKUP(AN61,Retirement_Rates,5,FALSE)*Y61,0)</f>
        <v>0</v>
      </c>
      <c r="CE61" s="462">
        <f>IF(AND(AT61&lt;&gt;0,AJ61&lt;&gt;"PF"),LifeCHG*Y61,0)</f>
        <v>0</v>
      </c>
      <c r="CF61" s="462">
        <f>IF(AND(AT61&lt;&gt;0,AM61="Y"),UICHG*Y61,0)</f>
        <v>0</v>
      </c>
      <c r="CG61" s="462">
        <f>IF(AND(AT61&lt;&gt;0,N61&lt;&gt;"NR"),DHRCHG*Y61,0)</f>
        <v>0</v>
      </c>
      <c r="CH61" s="462">
        <f>IF(AT61&lt;&gt;0,WCCHG*Y61,0)</f>
        <v>0</v>
      </c>
      <c r="CI61" s="462">
        <f>IF(OR(AND(AT61&lt;&gt;0,AJ61&lt;&gt;"PF",AN61&lt;&gt;"NE",AG61&lt;&gt;"A"),AND(AL61="E",OR(AT61=1,AT61=3))),SickCHG*Y61,0)</f>
        <v>0</v>
      </c>
      <c r="CJ61" s="462">
        <f t="shared" si="12"/>
        <v>0</v>
      </c>
      <c r="CK61" s="462" t="str">
        <f t="shared" si="13"/>
        <v/>
      </c>
      <c r="CL61" s="462">
        <f t="shared" si="14"/>
        <v>0</v>
      </c>
      <c r="CM61" s="462">
        <f t="shared" si="15"/>
        <v>0</v>
      </c>
      <c r="CN61" s="462" t="str">
        <f t="shared" si="16"/>
        <v>0247-06</v>
      </c>
    </row>
    <row r="62" spans="1:92" ht="15" thickBot="1" x14ac:dyDescent="0.35">
      <c r="A62" s="376" t="s">
        <v>161</v>
      </c>
      <c r="B62" s="376" t="s">
        <v>162</v>
      </c>
      <c r="C62" s="376" t="s">
        <v>233</v>
      </c>
      <c r="D62" s="376" t="s">
        <v>227</v>
      </c>
      <c r="E62" s="376" t="s">
        <v>416</v>
      </c>
      <c r="F62" s="382" t="s">
        <v>417</v>
      </c>
      <c r="G62" s="376" t="s">
        <v>167</v>
      </c>
      <c r="H62" s="378"/>
      <c r="I62" s="378"/>
      <c r="J62" s="376" t="s">
        <v>229</v>
      </c>
      <c r="K62" s="376" t="s">
        <v>230</v>
      </c>
      <c r="L62" s="376" t="s">
        <v>231</v>
      </c>
      <c r="M62" s="376" t="s">
        <v>171</v>
      </c>
      <c r="N62" s="376" t="s">
        <v>172</v>
      </c>
      <c r="O62" s="379">
        <v>1</v>
      </c>
      <c r="P62" s="460">
        <v>0.4</v>
      </c>
      <c r="Q62" s="460">
        <v>0.4</v>
      </c>
      <c r="R62" s="380">
        <v>80</v>
      </c>
      <c r="S62" s="460">
        <v>0.4</v>
      </c>
      <c r="T62" s="380">
        <v>16682.22</v>
      </c>
      <c r="U62" s="380">
        <v>0</v>
      </c>
      <c r="V62" s="380">
        <v>8120.76</v>
      </c>
      <c r="W62" s="380">
        <v>16556.8</v>
      </c>
      <c r="X62" s="380">
        <v>8600</v>
      </c>
      <c r="Y62" s="380">
        <v>16556.8</v>
      </c>
      <c r="Z62" s="380">
        <v>8648.02</v>
      </c>
      <c r="AA62" s="376" t="s">
        <v>234</v>
      </c>
      <c r="AB62" s="376" t="s">
        <v>235</v>
      </c>
      <c r="AC62" s="376" t="s">
        <v>218</v>
      </c>
      <c r="AD62" s="376" t="s">
        <v>170</v>
      </c>
      <c r="AE62" s="376" t="s">
        <v>230</v>
      </c>
      <c r="AF62" s="376" t="s">
        <v>236</v>
      </c>
      <c r="AG62" s="376" t="s">
        <v>178</v>
      </c>
      <c r="AH62" s="381">
        <v>19.899999999999999</v>
      </c>
      <c r="AI62" s="379">
        <v>12304</v>
      </c>
      <c r="AJ62" s="376" t="s">
        <v>179</v>
      </c>
      <c r="AK62" s="376" t="s">
        <v>180</v>
      </c>
      <c r="AL62" s="376" t="s">
        <v>181</v>
      </c>
      <c r="AM62" s="376" t="s">
        <v>182</v>
      </c>
      <c r="AN62" s="376" t="s">
        <v>68</v>
      </c>
      <c r="AO62" s="379">
        <v>80</v>
      </c>
      <c r="AP62" s="460">
        <v>1</v>
      </c>
      <c r="AQ62" s="460">
        <v>0.4</v>
      </c>
      <c r="AR62" s="458" t="s">
        <v>183</v>
      </c>
      <c r="AS62" s="462">
        <f t="shared" si="0"/>
        <v>0.4</v>
      </c>
      <c r="AT62">
        <f t="shared" si="1"/>
        <v>1</v>
      </c>
      <c r="AU62" s="462">
        <f>IF(AT62=0,"",IF(AND(AT62=1,M62="F",SUMIF(C2:C391,C62,AS2:AS391)&lt;=1),SUMIF(C2:C391,C62,AS2:AS391),IF(AND(AT62=1,M62="F",SUMIF(C2:C391,C62,AS2:AS391)&gt;1),1,"")))</f>
        <v>1</v>
      </c>
      <c r="AV62" s="462" t="str">
        <f>IF(AT62=0,"",IF(AND(AT62=3,M62="F",SUMIF(C2:C391,C62,AS2:AS391)&lt;=1),SUMIF(C2:C391,C62,AS2:AS391),IF(AND(AT62=3,M62="F",SUMIF(C2:C391,C62,AS2:AS391)&gt;1),1,"")))</f>
        <v/>
      </c>
      <c r="AW62" s="462">
        <f>SUMIF(C2:C391,C62,O2:O391)</f>
        <v>3</v>
      </c>
      <c r="AX62" s="462">
        <f>IF(AND(M62="F",AS62&lt;&gt;0),SUMIF(C2:C391,C62,W2:W391),0)</f>
        <v>41392</v>
      </c>
      <c r="AY62" s="462">
        <f t="shared" si="2"/>
        <v>16556.8</v>
      </c>
      <c r="AZ62" s="462" t="str">
        <f t="shared" si="3"/>
        <v/>
      </c>
      <c r="BA62" s="462">
        <f t="shared" si="4"/>
        <v>0</v>
      </c>
      <c r="BB62" s="462">
        <f>IF(AND(AT62=1,AK62="E",AU62&gt;=0.75,AW62=1),Health,IF(AND(AT62=1,AK62="E",AU62&gt;=0.75),Health*P62,IF(AND(AT62=1,AK62="E",AU62&gt;=0.5,AW62=1),PTHealth,IF(AND(AT62=1,AK62="E",AU62&gt;=0.5),PTHealth*P62,0))))</f>
        <v>4660</v>
      </c>
      <c r="BC62" s="462">
        <f>IF(AND(AT62=3,AK62="E",AV62&gt;=0.75,AW62=1),Health,IF(AND(AT62=3,AK62="E",AV62&gt;=0.75),Health*P62,IF(AND(AT62=3,AK62="E",AV62&gt;=0.5,AW62=1),PTHealth,IF(AND(AT62=3,AK62="E",AV62&gt;=0.5),PTHealth*P62,0))))</f>
        <v>0</v>
      </c>
      <c r="BD62" s="462">
        <f>IF(AND(AT62&lt;&gt;0,AX62&gt;=MAXSSDI),SSDI*MAXSSDI*P62,IF(AT62&lt;&gt;0,SSDI*W62,0))</f>
        <v>1026.5216</v>
      </c>
      <c r="BE62" s="462">
        <f>IF(AT62&lt;&gt;0,SSHI*W62,0)</f>
        <v>240.0736</v>
      </c>
      <c r="BF62" s="462">
        <f>IF(AND(AT62&lt;&gt;0,AN62&lt;&gt;"NE"),VLOOKUP(AN62,Retirement_Rates,3,FALSE)*W62,0)</f>
        <v>1976.88192</v>
      </c>
      <c r="BG62" s="462">
        <f>IF(AND(AT62&lt;&gt;0,AJ62&lt;&gt;"PF"),Life*W62,0)</f>
        <v>119.374528</v>
      </c>
      <c r="BH62" s="462">
        <f>IF(AND(AT62&lt;&gt;0,AM62="Y"),UI*W62,0)</f>
        <v>81.128319999999988</v>
      </c>
      <c r="BI62" s="462">
        <f>IF(AND(AT62&lt;&gt;0,N62&lt;&gt;"NR"),DHR*W62,0)</f>
        <v>50.663807999999996</v>
      </c>
      <c r="BJ62" s="462">
        <f>IF(AT62&lt;&gt;0,WC*W62,0)</f>
        <v>445.37791999999996</v>
      </c>
      <c r="BK62" s="462">
        <f>IF(OR(AND(AT62&lt;&gt;0,AJ62&lt;&gt;"PF",AN62&lt;&gt;"NE",AG62&lt;&gt;"A"),AND(AL62="E",OR(AT62=1,AT62=3))),Sick*W62,0)</f>
        <v>0</v>
      </c>
      <c r="BL62" s="462">
        <f t="shared" si="5"/>
        <v>3940.0216959999993</v>
      </c>
      <c r="BM62" s="462">
        <f t="shared" si="6"/>
        <v>0</v>
      </c>
      <c r="BN62" s="462">
        <f>IF(AND(AT62=1,AK62="E",AU62&gt;=0.75,AW62=1),HealthBY,IF(AND(AT62=1,AK62="E",AU62&gt;=0.75),HealthBY*P62,IF(AND(AT62=1,AK62="E",AU62&gt;=0.5,AW62=1),PTHealthBY,IF(AND(AT62=1,AK62="E",AU62&gt;=0.5),PTHealthBY*P62,0))))</f>
        <v>4660</v>
      </c>
      <c r="BO62" s="462">
        <f>IF(AND(AT62=3,AK62="E",AV62&gt;=0.75,AW62=1),HealthBY,IF(AND(AT62=3,AK62="E",AV62&gt;=0.75),HealthBY*P62,IF(AND(AT62=3,AK62="E",AV62&gt;=0.5,AW62=1),PTHealthBY,IF(AND(AT62=3,AK62="E",AV62&gt;=0.5),PTHealthBY*P62,0))))</f>
        <v>0</v>
      </c>
      <c r="BP62" s="462">
        <f>IF(AND(AT62&lt;&gt;0,(AX62+BA62)&gt;=MAXSSDIBY),SSDIBY*MAXSSDIBY*P62,IF(AT62&lt;&gt;0,SSDIBY*W62,0))</f>
        <v>1026.5216</v>
      </c>
      <c r="BQ62" s="462">
        <f>IF(AT62&lt;&gt;0,SSHIBY*W62,0)</f>
        <v>240.0736</v>
      </c>
      <c r="BR62" s="462">
        <f>IF(AND(AT62&lt;&gt;0,AN62&lt;&gt;"NE"),VLOOKUP(AN62,Retirement_Rates,4,FALSE)*W62,0)</f>
        <v>1976.88192</v>
      </c>
      <c r="BS62" s="462">
        <f>IF(AND(AT62&lt;&gt;0,AJ62&lt;&gt;"PF"),LifeBY*W62,0)</f>
        <v>119.374528</v>
      </c>
      <c r="BT62" s="462">
        <f>IF(AND(AT62&lt;&gt;0,AM62="Y"),UIBY*W62,0)</f>
        <v>0</v>
      </c>
      <c r="BU62" s="462">
        <f>IF(AND(AT62&lt;&gt;0,N62&lt;&gt;"NR"),DHRBY*W62,0)</f>
        <v>50.663807999999996</v>
      </c>
      <c r="BV62" s="462">
        <f>IF(AT62&lt;&gt;0,WCBY*W62,0)</f>
        <v>574.52096000000006</v>
      </c>
      <c r="BW62" s="462">
        <f>IF(OR(AND(AT62&lt;&gt;0,AJ62&lt;&gt;"PF",AN62&lt;&gt;"NE",AG62&lt;&gt;"A"),AND(AL62="E",OR(AT62=1,AT62=3))),SickBY*W62,0)</f>
        <v>0</v>
      </c>
      <c r="BX62" s="462">
        <f t="shared" si="7"/>
        <v>3988.0364159999999</v>
      </c>
      <c r="BY62" s="462">
        <f t="shared" si="8"/>
        <v>0</v>
      </c>
      <c r="BZ62" s="462">
        <f t="shared" si="9"/>
        <v>0</v>
      </c>
      <c r="CA62" s="462">
        <f t="shared" si="10"/>
        <v>0</v>
      </c>
      <c r="CB62" s="462">
        <f t="shared" si="11"/>
        <v>0</v>
      </c>
      <c r="CC62" s="462">
        <f>IF(AT62&lt;&gt;0,SSHICHG*Y62,0)</f>
        <v>0</v>
      </c>
      <c r="CD62" s="462">
        <f>IF(AND(AT62&lt;&gt;0,AN62&lt;&gt;"NE"),VLOOKUP(AN62,Retirement_Rates,5,FALSE)*Y62,0)</f>
        <v>0</v>
      </c>
      <c r="CE62" s="462">
        <f>IF(AND(AT62&lt;&gt;0,AJ62&lt;&gt;"PF"),LifeCHG*Y62,0)</f>
        <v>0</v>
      </c>
      <c r="CF62" s="462">
        <f>IF(AND(AT62&lt;&gt;0,AM62="Y"),UICHG*Y62,0)</f>
        <v>-81.128319999999988</v>
      </c>
      <c r="CG62" s="462">
        <f>IF(AND(AT62&lt;&gt;0,N62&lt;&gt;"NR"),DHRCHG*Y62,0)</f>
        <v>0</v>
      </c>
      <c r="CH62" s="462">
        <f>IF(AT62&lt;&gt;0,WCCHG*Y62,0)</f>
        <v>129.14304000000001</v>
      </c>
      <c r="CI62" s="462">
        <f>IF(OR(AND(AT62&lt;&gt;0,AJ62&lt;&gt;"PF",AN62&lt;&gt;"NE",AG62&lt;&gt;"A"),AND(AL62="E",OR(AT62=1,AT62=3))),SickCHG*Y62,0)</f>
        <v>0</v>
      </c>
      <c r="CJ62" s="462">
        <f t="shared" si="12"/>
        <v>48.014720000000025</v>
      </c>
      <c r="CK62" s="462" t="str">
        <f t="shared" si="13"/>
        <v/>
      </c>
      <c r="CL62" s="462" t="str">
        <f t="shared" si="14"/>
        <v/>
      </c>
      <c r="CM62" s="462" t="str">
        <f t="shared" si="15"/>
        <v/>
      </c>
      <c r="CN62" s="462" t="str">
        <f t="shared" si="16"/>
        <v>0247-06</v>
      </c>
    </row>
    <row r="63" spans="1:92" ht="15" thickBot="1" x14ac:dyDescent="0.35">
      <c r="A63" s="376" t="s">
        <v>161</v>
      </c>
      <c r="B63" s="376" t="s">
        <v>162</v>
      </c>
      <c r="C63" s="376" t="s">
        <v>321</v>
      </c>
      <c r="D63" s="376" t="s">
        <v>322</v>
      </c>
      <c r="E63" s="376" t="s">
        <v>416</v>
      </c>
      <c r="F63" s="382" t="s">
        <v>417</v>
      </c>
      <c r="G63" s="376" t="s">
        <v>167</v>
      </c>
      <c r="H63" s="378"/>
      <c r="I63" s="378"/>
      <c r="J63" s="376" t="s">
        <v>193</v>
      </c>
      <c r="K63" s="376" t="s">
        <v>323</v>
      </c>
      <c r="L63" s="376" t="s">
        <v>231</v>
      </c>
      <c r="M63" s="376" t="s">
        <v>324</v>
      </c>
      <c r="N63" s="376" t="s">
        <v>172</v>
      </c>
      <c r="O63" s="379">
        <v>0</v>
      </c>
      <c r="P63" s="460">
        <v>0</v>
      </c>
      <c r="Q63" s="460">
        <v>0</v>
      </c>
      <c r="R63" s="380">
        <v>80</v>
      </c>
      <c r="S63" s="460">
        <v>0</v>
      </c>
      <c r="T63" s="380">
        <v>0</v>
      </c>
      <c r="U63" s="380">
        <v>0</v>
      </c>
      <c r="V63" s="380">
        <v>-242.71</v>
      </c>
      <c r="W63" s="380">
        <v>0</v>
      </c>
      <c r="X63" s="380">
        <v>0</v>
      </c>
      <c r="Y63" s="380">
        <v>0</v>
      </c>
      <c r="Z63" s="380">
        <v>0</v>
      </c>
      <c r="AA63" s="378"/>
      <c r="AB63" s="376" t="s">
        <v>45</v>
      </c>
      <c r="AC63" s="376" t="s">
        <v>45</v>
      </c>
      <c r="AD63" s="378"/>
      <c r="AE63" s="378"/>
      <c r="AF63" s="378"/>
      <c r="AG63" s="378"/>
      <c r="AH63" s="379">
        <v>0</v>
      </c>
      <c r="AI63" s="379">
        <v>0</v>
      </c>
      <c r="AJ63" s="378"/>
      <c r="AK63" s="378"/>
      <c r="AL63" s="376" t="s">
        <v>181</v>
      </c>
      <c r="AM63" s="378"/>
      <c r="AN63" s="378"/>
      <c r="AO63" s="379">
        <v>0</v>
      </c>
      <c r="AP63" s="460">
        <v>0</v>
      </c>
      <c r="AQ63" s="460">
        <v>0</v>
      </c>
      <c r="AR63" s="459"/>
      <c r="AS63" s="462">
        <f t="shared" si="0"/>
        <v>0</v>
      </c>
      <c r="AT63">
        <f t="shared" si="1"/>
        <v>0</v>
      </c>
      <c r="AU63" s="462" t="str">
        <f>IF(AT63=0,"",IF(AND(AT63=1,M63="F",SUMIF(C2:C391,C63,AS2:AS391)&lt;=1),SUMIF(C2:C391,C63,AS2:AS391),IF(AND(AT63=1,M63="F",SUMIF(C2:C391,C63,AS2:AS391)&gt;1),1,"")))</f>
        <v/>
      </c>
      <c r="AV63" s="462" t="str">
        <f>IF(AT63=0,"",IF(AND(AT63=3,M63="F",SUMIF(C2:C391,C63,AS2:AS391)&lt;=1),SUMIF(C2:C391,C63,AS2:AS391),IF(AND(AT63=3,M63="F",SUMIF(C2:C391,C63,AS2:AS391)&gt;1),1,"")))</f>
        <v/>
      </c>
      <c r="AW63" s="462">
        <f>SUMIF(C2:C391,C63,O2:O391)</f>
        <v>0</v>
      </c>
      <c r="AX63" s="462">
        <f>IF(AND(M63="F",AS63&lt;&gt;0),SUMIF(C2:C391,C63,W2:W391),0)</f>
        <v>0</v>
      </c>
      <c r="AY63" s="462" t="str">
        <f t="shared" si="2"/>
        <v/>
      </c>
      <c r="AZ63" s="462" t="str">
        <f t="shared" si="3"/>
        <v/>
      </c>
      <c r="BA63" s="462">
        <f t="shared" si="4"/>
        <v>0</v>
      </c>
      <c r="BB63" s="462">
        <f>IF(AND(AT63=1,AK63="E",AU63&gt;=0.75,AW63=1),Health,IF(AND(AT63=1,AK63="E",AU63&gt;=0.75),Health*P63,IF(AND(AT63=1,AK63="E",AU63&gt;=0.5,AW63=1),PTHealth,IF(AND(AT63=1,AK63="E",AU63&gt;=0.5),PTHealth*P63,0))))</f>
        <v>0</v>
      </c>
      <c r="BC63" s="462">
        <f>IF(AND(AT63=3,AK63="E",AV63&gt;=0.75,AW63=1),Health,IF(AND(AT63=3,AK63="E",AV63&gt;=0.75),Health*P63,IF(AND(AT63=3,AK63="E",AV63&gt;=0.5,AW63=1),PTHealth,IF(AND(AT63=3,AK63="E",AV63&gt;=0.5),PTHealth*P63,0))))</f>
        <v>0</v>
      </c>
      <c r="BD63" s="462">
        <f>IF(AND(AT63&lt;&gt;0,AX63&gt;=MAXSSDI),SSDI*MAXSSDI*P63,IF(AT63&lt;&gt;0,SSDI*W63,0))</f>
        <v>0</v>
      </c>
      <c r="BE63" s="462">
        <f>IF(AT63&lt;&gt;0,SSHI*W63,0)</f>
        <v>0</v>
      </c>
      <c r="BF63" s="462">
        <f>IF(AND(AT63&lt;&gt;0,AN63&lt;&gt;"NE"),VLOOKUP(AN63,Retirement_Rates,3,FALSE)*W63,0)</f>
        <v>0</v>
      </c>
      <c r="BG63" s="462">
        <f>IF(AND(AT63&lt;&gt;0,AJ63&lt;&gt;"PF"),Life*W63,0)</f>
        <v>0</v>
      </c>
      <c r="BH63" s="462">
        <f>IF(AND(AT63&lt;&gt;0,AM63="Y"),UI*W63,0)</f>
        <v>0</v>
      </c>
      <c r="BI63" s="462">
        <f>IF(AND(AT63&lt;&gt;0,N63&lt;&gt;"NR"),DHR*W63,0)</f>
        <v>0</v>
      </c>
      <c r="BJ63" s="462">
        <f>IF(AT63&lt;&gt;0,WC*W63,0)</f>
        <v>0</v>
      </c>
      <c r="BK63" s="462">
        <f>IF(OR(AND(AT63&lt;&gt;0,AJ63&lt;&gt;"PF",AN63&lt;&gt;"NE",AG63&lt;&gt;"A"),AND(AL63="E",OR(AT63=1,AT63=3))),Sick*W63,0)</f>
        <v>0</v>
      </c>
      <c r="BL63" s="462">
        <f t="shared" si="5"/>
        <v>0</v>
      </c>
      <c r="BM63" s="462">
        <f t="shared" si="6"/>
        <v>0</v>
      </c>
      <c r="BN63" s="462">
        <f>IF(AND(AT63=1,AK63="E",AU63&gt;=0.75,AW63=1),HealthBY,IF(AND(AT63=1,AK63="E",AU63&gt;=0.75),HealthBY*P63,IF(AND(AT63=1,AK63="E",AU63&gt;=0.5,AW63=1),PTHealthBY,IF(AND(AT63=1,AK63="E",AU63&gt;=0.5),PTHealthBY*P63,0))))</f>
        <v>0</v>
      </c>
      <c r="BO63" s="462">
        <f>IF(AND(AT63=3,AK63="E",AV63&gt;=0.75,AW63=1),HealthBY,IF(AND(AT63=3,AK63="E",AV63&gt;=0.75),HealthBY*P63,IF(AND(AT63=3,AK63="E",AV63&gt;=0.5,AW63=1),PTHealthBY,IF(AND(AT63=3,AK63="E",AV63&gt;=0.5),PTHealthBY*P63,0))))</f>
        <v>0</v>
      </c>
      <c r="BP63" s="462">
        <f>IF(AND(AT63&lt;&gt;0,(AX63+BA63)&gt;=MAXSSDIBY),SSDIBY*MAXSSDIBY*P63,IF(AT63&lt;&gt;0,SSDIBY*W63,0))</f>
        <v>0</v>
      </c>
      <c r="BQ63" s="462">
        <f>IF(AT63&lt;&gt;0,SSHIBY*W63,0)</f>
        <v>0</v>
      </c>
      <c r="BR63" s="462">
        <f>IF(AND(AT63&lt;&gt;0,AN63&lt;&gt;"NE"),VLOOKUP(AN63,Retirement_Rates,4,FALSE)*W63,0)</f>
        <v>0</v>
      </c>
      <c r="BS63" s="462">
        <f>IF(AND(AT63&lt;&gt;0,AJ63&lt;&gt;"PF"),LifeBY*W63,0)</f>
        <v>0</v>
      </c>
      <c r="BT63" s="462">
        <f>IF(AND(AT63&lt;&gt;0,AM63="Y"),UIBY*W63,0)</f>
        <v>0</v>
      </c>
      <c r="BU63" s="462">
        <f>IF(AND(AT63&lt;&gt;0,N63&lt;&gt;"NR"),DHRBY*W63,0)</f>
        <v>0</v>
      </c>
      <c r="BV63" s="462">
        <f>IF(AT63&lt;&gt;0,WCBY*W63,0)</f>
        <v>0</v>
      </c>
      <c r="BW63" s="462">
        <f>IF(OR(AND(AT63&lt;&gt;0,AJ63&lt;&gt;"PF",AN63&lt;&gt;"NE",AG63&lt;&gt;"A"),AND(AL63="E",OR(AT63=1,AT63=3))),SickBY*W63,0)</f>
        <v>0</v>
      </c>
      <c r="BX63" s="462">
        <f t="shared" si="7"/>
        <v>0</v>
      </c>
      <c r="BY63" s="462">
        <f t="shared" si="8"/>
        <v>0</v>
      </c>
      <c r="BZ63" s="462">
        <f t="shared" si="9"/>
        <v>0</v>
      </c>
      <c r="CA63" s="462">
        <f t="shared" si="10"/>
        <v>0</v>
      </c>
      <c r="CB63" s="462">
        <f t="shared" si="11"/>
        <v>0</v>
      </c>
      <c r="CC63" s="462">
        <f>IF(AT63&lt;&gt;0,SSHICHG*Y63,0)</f>
        <v>0</v>
      </c>
      <c r="CD63" s="462">
        <f>IF(AND(AT63&lt;&gt;0,AN63&lt;&gt;"NE"),VLOOKUP(AN63,Retirement_Rates,5,FALSE)*Y63,0)</f>
        <v>0</v>
      </c>
      <c r="CE63" s="462">
        <f>IF(AND(AT63&lt;&gt;0,AJ63&lt;&gt;"PF"),LifeCHG*Y63,0)</f>
        <v>0</v>
      </c>
      <c r="CF63" s="462">
        <f>IF(AND(AT63&lt;&gt;0,AM63="Y"),UICHG*Y63,0)</f>
        <v>0</v>
      </c>
      <c r="CG63" s="462">
        <f>IF(AND(AT63&lt;&gt;0,N63&lt;&gt;"NR"),DHRCHG*Y63,0)</f>
        <v>0</v>
      </c>
      <c r="CH63" s="462">
        <f>IF(AT63&lt;&gt;0,WCCHG*Y63,0)</f>
        <v>0</v>
      </c>
      <c r="CI63" s="462">
        <f>IF(OR(AND(AT63&lt;&gt;0,AJ63&lt;&gt;"PF",AN63&lt;&gt;"NE",AG63&lt;&gt;"A"),AND(AL63="E",OR(AT63=1,AT63=3))),SickCHG*Y63,0)</f>
        <v>0</v>
      </c>
      <c r="CJ63" s="462">
        <f t="shared" si="12"/>
        <v>0</v>
      </c>
      <c r="CK63" s="462" t="str">
        <f t="shared" si="13"/>
        <v/>
      </c>
      <c r="CL63" s="462" t="str">
        <f t="shared" si="14"/>
        <v/>
      </c>
      <c r="CM63" s="462" t="str">
        <f t="shared" si="15"/>
        <v/>
      </c>
      <c r="CN63" s="462" t="str">
        <f t="shared" si="16"/>
        <v>0247-06</v>
      </c>
    </row>
    <row r="64" spans="1:92" ht="15" thickBot="1" x14ac:dyDescent="0.35">
      <c r="A64" s="376" t="s">
        <v>161</v>
      </c>
      <c r="B64" s="376" t="s">
        <v>162</v>
      </c>
      <c r="C64" s="376" t="s">
        <v>245</v>
      </c>
      <c r="D64" s="376" t="s">
        <v>227</v>
      </c>
      <c r="E64" s="376" t="s">
        <v>416</v>
      </c>
      <c r="F64" s="382" t="s">
        <v>417</v>
      </c>
      <c r="G64" s="376" t="s">
        <v>167</v>
      </c>
      <c r="H64" s="378"/>
      <c r="I64" s="378"/>
      <c r="J64" s="376" t="s">
        <v>229</v>
      </c>
      <c r="K64" s="376" t="s">
        <v>230</v>
      </c>
      <c r="L64" s="376" t="s">
        <v>231</v>
      </c>
      <c r="M64" s="376" t="s">
        <v>171</v>
      </c>
      <c r="N64" s="376" t="s">
        <v>172</v>
      </c>
      <c r="O64" s="379">
        <v>1</v>
      </c>
      <c r="P64" s="460">
        <v>0.33</v>
      </c>
      <c r="Q64" s="460">
        <v>0.33</v>
      </c>
      <c r="R64" s="380">
        <v>60</v>
      </c>
      <c r="S64" s="460">
        <v>0.24</v>
      </c>
      <c r="T64" s="380">
        <v>10052.49</v>
      </c>
      <c r="U64" s="380">
        <v>0</v>
      </c>
      <c r="V64" s="380">
        <v>6194.9</v>
      </c>
      <c r="W64" s="380">
        <v>10244.52</v>
      </c>
      <c r="X64" s="380">
        <v>6282.37</v>
      </c>
      <c r="Y64" s="380">
        <v>10244.52</v>
      </c>
      <c r="Z64" s="380">
        <v>6312.08</v>
      </c>
      <c r="AA64" s="376" t="s">
        <v>246</v>
      </c>
      <c r="AB64" s="376" t="s">
        <v>247</v>
      </c>
      <c r="AC64" s="376" t="s">
        <v>248</v>
      </c>
      <c r="AD64" s="376" t="s">
        <v>240</v>
      </c>
      <c r="AE64" s="376" t="s">
        <v>230</v>
      </c>
      <c r="AF64" s="376" t="s">
        <v>236</v>
      </c>
      <c r="AG64" s="376" t="s">
        <v>178</v>
      </c>
      <c r="AH64" s="381">
        <v>19.899999999999999</v>
      </c>
      <c r="AI64" s="381">
        <v>5550.7</v>
      </c>
      <c r="AJ64" s="376" t="s">
        <v>249</v>
      </c>
      <c r="AK64" s="376" t="s">
        <v>180</v>
      </c>
      <c r="AL64" s="376" t="s">
        <v>181</v>
      </c>
      <c r="AM64" s="376" t="s">
        <v>182</v>
      </c>
      <c r="AN64" s="376" t="s">
        <v>68</v>
      </c>
      <c r="AO64" s="379">
        <v>60</v>
      </c>
      <c r="AP64" s="460">
        <v>1</v>
      </c>
      <c r="AQ64" s="460">
        <v>0.24</v>
      </c>
      <c r="AR64" s="458" t="s">
        <v>183</v>
      </c>
      <c r="AS64" s="462">
        <f t="shared" si="0"/>
        <v>0.2475</v>
      </c>
      <c r="AT64">
        <f t="shared" si="1"/>
        <v>1</v>
      </c>
      <c r="AU64" s="462">
        <f>IF(AT64=0,"",IF(AND(AT64=1,M64="F",SUMIF(C2:C391,C64,AS2:AS391)&lt;=1),SUMIF(C2:C391,C64,AS2:AS391),IF(AND(AT64=1,M64="F",SUMIF(C2:C391,C64,AS2:AS391)&gt;1),1,"")))</f>
        <v>0.75</v>
      </c>
      <c r="AV64" s="462" t="str">
        <f>IF(AT64=0,"",IF(AND(AT64=3,M64="F",SUMIF(C2:C391,C64,AS2:AS391)&lt;=1),SUMIF(C2:C391,C64,AS2:AS391),IF(AND(AT64=3,M64="F",SUMIF(C2:C391,C64,AS2:AS391)&gt;1),1,"")))</f>
        <v/>
      </c>
      <c r="AW64" s="462">
        <f>SUMIF(C2:C391,C64,O2:O391)</f>
        <v>3</v>
      </c>
      <c r="AX64" s="462">
        <f>IF(AND(M64="F",AS64&lt;&gt;0),SUMIF(C2:C391,C64,W2:W391),0)</f>
        <v>31044</v>
      </c>
      <c r="AY64" s="462">
        <f t="shared" si="2"/>
        <v>10244.52</v>
      </c>
      <c r="AZ64" s="462" t="str">
        <f t="shared" si="3"/>
        <v/>
      </c>
      <c r="BA64" s="462">
        <f t="shared" si="4"/>
        <v>0</v>
      </c>
      <c r="BB64" s="462">
        <f>IF(AND(AT64=1,AK64="E",AU64&gt;=0.75,AW64=1),Health,IF(AND(AT64=1,AK64="E",AU64&gt;=0.75),Health*P64,IF(AND(AT64=1,AK64="E",AU64&gt;=0.5,AW64=1),PTHealth,IF(AND(AT64=1,AK64="E",AU64&gt;=0.5),PTHealth*P64,0))))</f>
        <v>3844.5</v>
      </c>
      <c r="BC64" s="462">
        <f>IF(AND(AT64=3,AK64="E",AV64&gt;=0.75,AW64=1),Health,IF(AND(AT64=3,AK64="E",AV64&gt;=0.75),Health*P64,IF(AND(AT64=3,AK64="E",AV64&gt;=0.5,AW64=1),PTHealth,IF(AND(AT64=3,AK64="E",AV64&gt;=0.5),PTHealth*P64,0))))</f>
        <v>0</v>
      </c>
      <c r="BD64" s="462">
        <f>IF(AND(AT64&lt;&gt;0,AX64&gt;=MAXSSDI),SSDI*MAXSSDI*P64,IF(AT64&lt;&gt;0,SSDI*W64,0))</f>
        <v>635.16024000000004</v>
      </c>
      <c r="BE64" s="462">
        <f>IF(AT64&lt;&gt;0,SSHI*W64,0)</f>
        <v>148.54554000000002</v>
      </c>
      <c r="BF64" s="462">
        <f>IF(AND(AT64&lt;&gt;0,AN64&lt;&gt;"NE"),VLOOKUP(AN64,Retirement_Rates,3,FALSE)*W64,0)</f>
        <v>1223.195688</v>
      </c>
      <c r="BG64" s="462">
        <f>IF(AND(AT64&lt;&gt;0,AJ64&lt;&gt;"PF"),Life*W64,0)</f>
        <v>73.862989200000001</v>
      </c>
      <c r="BH64" s="462">
        <f>IF(AND(AT64&lt;&gt;0,AM64="Y"),UI*W64,0)</f>
        <v>50.198148000000003</v>
      </c>
      <c r="BI64" s="462">
        <f>IF(AND(AT64&lt;&gt;0,N64&lt;&gt;"NR"),DHR*W64,0)</f>
        <v>31.348231200000001</v>
      </c>
      <c r="BJ64" s="462">
        <f>IF(AT64&lt;&gt;0,WC*W64,0)</f>
        <v>275.57758799999999</v>
      </c>
      <c r="BK64" s="462">
        <f>IF(OR(AND(AT64&lt;&gt;0,AJ64&lt;&gt;"PF",AN64&lt;&gt;"NE",AG64&lt;&gt;"A"),AND(AL64="E",OR(AT64=1,AT64=3))),Sick*W64,0)</f>
        <v>0</v>
      </c>
      <c r="BL64" s="462">
        <f t="shared" si="5"/>
        <v>2437.8884244000001</v>
      </c>
      <c r="BM64" s="462">
        <f t="shared" si="6"/>
        <v>0</v>
      </c>
      <c r="BN64" s="462">
        <f>IF(AND(AT64=1,AK64="E",AU64&gt;=0.75,AW64=1),HealthBY,IF(AND(AT64=1,AK64="E",AU64&gt;=0.75),HealthBY*P64,IF(AND(AT64=1,AK64="E",AU64&gt;=0.5,AW64=1),PTHealthBY,IF(AND(AT64=1,AK64="E",AU64&gt;=0.5),PTHealthBY*P64,0))))</f>
        <v>3844.5</v>
      </c>
      <c r="BO64" s="462">
        <f>IF(AND(AT64=3,AK64="E",AV64&gt;=0.75,AW64=1),HealthBY,IF(AND(AT64=3,AK64="E",AV64&gt;=0.75),HealthBY*P64,IF(AND(AT64=3,AK64="E",AV64&gt;=0.5,AW64=1),PTHealthBY,IF(AND(AT64=3,AK64="E",AV64&gt;=0.5),PTHealthBY*P64,0))))</f>
        <v>0</v>
      </c>
      <c r="BP64" s="462">
        <f>IF(AND(AT64&lt;&gt;0,(AX64+BA64)&gt;=MAXSSDIBY),SSDIBY*MAXSSDIBY*P64,IF(AT64&lt;&gt;0,SSDIBY*W64,0))</f>
        <v>635.16024000000004</v>
      </c>
      <c r="BQ64" s="462">
        <f>IF(AT64&lt;&gt;0,SSHIBY*W64,0)</f>
        <v>148.54554000000002</v>
      </c>
      <c r="BR64" s="462">
        <f>IF(AND(AT64&lt;&gt;0,AN64&lt;&gt;"NE"),VLOOKUP(AN64,Retirement_Rates,4,FALSE)*W64,0)</f>
        <v>1223.195688</v>
      </c>
      <c r="BS64" s="462">
        <f>IF(AND(AT64&lt;&gt;0,AJ64&lt;&gt;"PF"),LifeBY*W64,0)</f>
        <v>73.862989200000001</v>
      </c>
      <c r="BT64" s="462">
        <f>IF(AND(AT64&lt;&gt;0,AM64="Y"),UIBY*W64,0)</f>
        <v>0</v>
      </c>
      <c r="BU64" s="462">
        <f>IF(AND(AT64&lt;&gt;0,N64&lt;&gt;"NR"),DHRBY*W64,0)</f>
        <v>31.348231200000001</v>
      </c>
      <c r="BV64" s="462">
        <f>IF(AT64&lt;&gt;0,WCBY*W64,0)</f>
        <v>355.48484400000001</v>
      </c>
      <c r="BW64" s="462">
        <f>IF(OR(AND(AT64&lt;&gt;0,AJ64&lt;&gt;"PF",AN64&lt;&gt;"NE",AG64&lt;&gt;"A"),AND(AL64="E",OR(AT64=1,AT64=3))),SickBY*W64,0)</f>
        <v>0</v>
      </c>
      <c r="BX64" s="462">
        <f t="shared" si="7"/>
        <v>2467.5975324000001</v>
      </c>
      <c r="BY64" s="462">
        <f t="shared" si="8"/>
        <v>0</v>
      </c>
      <c r="BZ64" s="462">
        <f t="shared" si="9"/>
        <v>0</v>
      </c>
      <c r="CA64" s="462">
        <f t="shared" si="10"/>
        <v>0</v>
      </c>
      <c r="CB64" s="462">
        <f t="shared" si="11"/>
        <v>0</v>
      </c>
      <c r="CC64" s="462">
        <f>IF(AT64&lt;&gt;0,SSHICHG*Y64,0)</f>
        <v>0</v>
      </c>
      <c r="CD64" s="462">
        <f>IF(AND(AT64&lt;&gt;0,AN64&lt;&gt;"NE"),VLOOKUP(AN64,Retirement_Rates,5,FALSE)*Y64,0)</f>
        <v>0</v>
      </c>
      <c r="CE64" s="462">
        <f>IF(AND(AT64&lt;&gt;0,AJ64&lt;&gt;"PF"),LifeCHG*Y64,0)</f>
        <v>0</v>
      </c>
      <c r="CF64" s="462">
        <f>IF(AND(AT64&lt;&gt;0,AM64="Y"),UICHG*Y64,0)</f>
        <v>-50.198148000000003</v>
      </c>
      <c r="CG64" s="462">
        <f>IF(AND(AT64&lt;&gt;0,N64&lt;&gt;"NR"),DHRCHG*Y64,0)</f>
        <v>0</v>
      </c>
      <c r="CH64" s="462">
        <f>IF(AT64&lt;&gt;0,WCCHG*Y64,0)</f>
        <v>79.907256000000018</v>
      </c>
      <c r="CI64" s="462">
        <f>IF(OR(AND(AT64&lt;&gt;0,AJ64&lt;&gt;"PF",AN64&lt;&gt;"NE",AG64&lt;&gt;"A"),AND(AL64="E",OR(AT64=1,AT64=3))),SickCHG*Y64,0)</f>
        <v>0</v>
      </c>
      <c r="CJ64" s="462">
        <f t="shared" si="12"/>
        <v>29.709108000000015</v>
      </c>
      <c r="CK64" s="462" t="str">
        <f t="shared" si="13"/>
        <v/>
      </c>
      <c r="CL64" s="462" t="str">
        <f t="shared" si="14"/>
        <v/>
      </c>
      <c r="CM64" s="462" t="str">
        <f t="shared" si="15"/>
        <v/>
      </c>
      <c r="CN64" s="462" t="str">
        <f t="shared" si="16"/>
        <v>0247-06</v>
      </c>
    </row>
    <row r="65" spans="1:92" ht="15" thickBot="1" x14ac:dyDescent="0.35">
      <c r="A65" s="376" t="s">
        <v>161</v>
      </c>
      <c r="B65" s="376" t="s">
        <v>162</v>
      </c>
      <c r="C65" s="376" t="s">
        <v>367</v>
      </c>
      <c r="D65" s="376" t="s">
        <v>368</v>
      </c>
      <c r="E65" s="376" t="s">
        <v>416</v>
      </c>
      <c r="F65" s="382" t="s">
        <v>417</v>
      </c>
      <c r="G65" s="376" t="s">
        <v>167</v>
      </c>
      <c r="H65" s="378"/>
      <c r="I65" s="378"/>
      <c r="J65" s="376" t="s">
        <v>229</v>
      </c>
      <c r="K65" s="376" t="s">
        <v>369</v>
      </c>
      <c r="L65" s="376" t="s">
        <v>231</v>
      </c>
      <c r="M65" s="376" t="s">
        <v>171</v>
      </c>
      <c r="N65" s="376" t="s">
        <v>172</v>
      </c>
      <c r="O65" s="379">
        <v>1</v>
      </c>
      <c r="P65" s="460">
        <v>0.3</v>
      </c>
      <c r="Q65" s="460">
        <v>0.3</v>
      </c>
      <c r="R65" s="380">
        <v>80</v>
      </c>
      <c r="S65" s="460">
        <v>0.3</v>
      </c>
      <c r="T65" s="380">
        <v>12329.29</v>
      </c>
      <c r="U65" s="380">
        <v>0</v>
      </c>
      <c r="V65" s="380">
        <v>6054.43</v>
      </c>
      <c r="W65" s="380">
        <v>12679.68</v>
      </c>
      <c r="X65" s="380">
        <v>6512.37</v>
      </c>
      <c r="Y65" s="380">
        <v>12679.68</v>
      </c>
      <c r="Z65" s="380">
        <v>6549.14</v>
      </c>
      <c r="AA65" s="376" t="s">
        <v>370</v>
      </c>
      <c r="AB65" s="376" t="s">
        <v>371</v>
      </c>
      <c r="AC65" s="376" t="s">
        <v>372</v>
      </c>
      <c r="AD65" s="376" t="s">
        <v>373</v>
      </c>
      <c r="AE65" s="376" t="s">
        <v>369</v>
      </c>
      <c r="AF65" s="376" t="s">
        <v>236</v>
      </c>
      <c r="AG65" s="376" t="s">
        <v>178</v>
      </c>
      <c r="AH65" s="381">
        <v>20.32</v>
      </c>
      <c r="AI65" s="379">
        <v>28035</v>
      </c>
      <c r="AJ65" s="376" t="s">
        <v>179</v>
      </c>
      <c r="AK65" s="376" t="s">
        <v>180</v>
      </c>
      <c r="AL65" s="376" t="s">
        <v>181</v>
      </c>
      <c r="AM65" s="376" t="s">
        <v>182</v>
      </c>
      <c r="AN65" s="376" t="s">
        <v>68</v>
      </c>
      <c r="AO65" s="379">
        <v>80</v>
      </c>
      <c r="AP65" s="460">
        <v>1</v>
      </c>
      <c r="AQ65" s="460">
        <v>0.3</v>
      </c>
      <c r="AR65" s="458" t="s">
        <v>183</v>
      </c>
      <c r="AS65" s="462">
        <f t="shared" si="0"/>
        <v>0.3</v>
      </c>
      <c r="AT65">
        <f t="shared" si="1"/>
        <v>1</v>
      </c>
      <c r="AU65" s="462">
        <f>IF(AT65=0,"",IF(AND(AT65=1,M65="F",SUMIF(C2:C391,C65,AS2:AS391)&lt;=1),SUMIF(C2:C391,C65,AS2:AS391),IF(AND(AT65=1,M65="F",SUMIF(C2:C391,C65,AS2:AS391)&gt;1),1,"")))</f>
        <v>1</v>
      </c>
      <c r="AV65" s="462" t="str">
        <f>IF(AT65=0,"",IF(AND(AT65=3,M65="F",SUMIF(C2:C391,C65,AS2:AS391)&lt;=1),SUMIF(C2:C391,C65,AS2:AS391),IF(AND(AT65=3,M65="F",SUMIF(C2:C391,C65,AS2:AS391)&gt;1),1,"")))</f>
        <v/>
      </c>
      <c r="AW65" s="462">
        <f>SUMIF(C2:C391,C65,O2:O391)</f>
        <v>3</v>
      </c>
      <c r="AX65" s="462">
        <f>IF(AND(M65="F",AS65&lt;&gt;0),SUMIF(C2:C391,C65,W2:W391),0)</f>
        <v>42265.600000000006</v>
      </c>
      <c r="AY65" s="462">
        <f t="shared" si="2"/>
        <v>12679.68</v>
      </c>
      <c r="AZ65" s="462" t="str">
        <f t="shared" si="3"/>
        <v/>
      </c>
      <c r="BA65" s="462">
        <f t="shared" si="4"/>
        <v>0</v>
      </c>
      <c r="BB65" s="462">
        <f>IF(AND(AT65=1,AK65="E",AU65&gt;=0.75,AW65=1),Health,IF(AND(AT65=1,AK65="E",AU65&gt;=0.75),Health*P65,IF(AND(AT65=1,AK65="E",AU65&gt;=0.5,AW65=1),PTHealth,IF(AND(AT65=1,AK65="E",AU65&gt;=0.5),PTHealth*P65,0))))</f>
        <v>3495</v>
      </c>
      <c r="BC65" s="462">
        <f>IF(AND(AT65=3,AK65="E",AV65&gt;=0.75,AW65=1),Health,IF(AND(AT65=3,AK65="E",AV65&gt;=0.75),Health*P65,IF(AND(AT65=3,AK65="E",AV65&gt;=0.5,AW65=1),PTHealth,IF(AND(AT65=3,AK65="E",AV65&gt;=0.5),PTHealth*P65,0))))</f>
        <v>0</v>
      </c>
      <c r="BD65" s="462">
        <f>IF(AND(AT65&lt;&gt;0,AX65&gt;=MAXSSDI),SSDI*MAXSSDI*P65,IF(AT65&lt;&gt;0,SSDI*W65,0))</f>
        <v>786.14016000000004</v>
      </c>
      <c r="BE65" s="462">
        <f>IF(AT65&lt;&gt;0,SSHI*W65,0)</f>
        <v>183.85536000000002</v>
      </c>
      <c r="BF65" s="462">
        <f>IF(AND(AT65&lt;&gt;0,AN65&lt;&gt;"NE"),VLOOKUP(AN65,Retirement_Rates,3,FALSE)*W65,0)</f>
        <v>1513.953792</v>
      </c>
      <c r="BG65" s="462">
        <f>IF(AND(AT65&lt;&gt;0,AJ65&lt;&gt;"PF"),Life*W65,0)</f>
        <v>91.420492800000005</v>
      </c>
      <c r="BH65" s="462">
        <f>IF(AND(AT65&lt;&gt;0,AM65="Y"),UI*W65,0)</f>
        <v>62.130431999999999</v>
      </c>
      <c r="BI65" s="462">
        <f>IF(AND(AT65&lt;&gt;0,N65&lt;&gt;"NR"),DHR*W65,0)</f>
        <v>38.799820799999999</v>
      </c>
      <c r="BJ65" s="462">
        <f>IF(AT65&lt;&gt;0,WC*W65,0)</f>
        <v>341.083392</v>
      </c>
      <c r="BK65" s="462">
        <f>IF(OR(AND(AT65&lt;&gt;0,AJ65&lt;&gt;"PF",AN65&lt;&gt;"NE",AG65&lt;&gt;"A"),AND(AL65="E",OR(AT65=1,AT65=3))),Sick*W65,0)</f>
        <v>0</v>
      </c>
      <c r="BL65" s="462">
        <f t="shared" si="5"/>
        <v>3017.3834495999999</v>
      </c>
      <c r="BM65" s="462">
        <f t="shared" si="6"/>
        <v>0</v>
      </c>
      <c r="BN65" s="462">
        <f>IF(AND(AT65=1,AK65="E",AU65&gt;=0.75,AW65=1),HealthBY,IF(AND(AT65=1,AK65="E",AU65&gt;=0.75),HealthBY*P65,IF(AND(AT65=1,AK65="E",AU65&gt;=0.5,AW65=1),PTHealthBY,IF(AND(AT65=1,AK65="E",AU65&gt;=0.5),PTHealthBY*P65,0))))</f>
        <v>3495</v>
      </c>
      <c r="BO65" s="462">
        <f>IF(AND(AT65=3,AK65="E",AV65&gt;=0.75,AW65=1),HealthBY,IF(AND(AT65=3,AK65="E",AV65&gt;=0.75),HealthBY*P65,IF(AND(AT65=3,AK65="E",AV65&gt;=0.5,AW65=1),PTHealthBY,IF(AND(AT65=3,AK65="E",AV65&gt;=0.5),PTHealthBY*P65,0))))</f>
        <v>0</v>
      </c>
      <c r="BP65" s="462">
        <f>IF(AND(AT65&lt;&gt;0,(AX65+BA65)&gt;=MAXSSDIBY),SSDIBY*MAXSSDIBY*P65,IF(AT65&lt;&gt;0,SSDIBY*W65,0))</f>
        <v>786.14016000000004</v>
      </c>
      <c r="BQ65" s="462">
        <f>IF(AT65&lt;&gt;0,SSHIBY*W65,0)</f>
        <v>183.85536000000002</v>
      </c>
      <c r="BR65" s="462">
        <f>IF(AND(AT65&lt;&gt;0,AN65&lt;&gt;"NE"),VLOOKUP(AN65,Retirement_Rates,4,FALSE)*W65,0)</f>
        <v>1513.953792</v>
      </c>
      <c r="BS65" s="462">
        <f>IF(AND(AT65&lt;&gt;0,AJ65&lt;&gt;"PF"),LifeBY*W65,0)</f>
        <v>91.420492800000005</v>
      </c>
      <c r="BT65" s="462">
        <f>IF(AND(AT65&lt;&gt;0,AM65="Y"),UIBY*W65,0)</f>
        <v>0</v>
      </c>
      <c r="BU65" s="462">
        <f>IF(AND(AT65&lt;&gt;0,N65&lt;&gt;"NR"),DHRBY*W65,0)</f>
        <v>38.799820799999999</v>
      </c>
      <c r="BV65" s="462">
        <f>IF(AT65&lt;&gt;0,WCBY*W65,0)</f>
        <v>439.98489600000005</v>
      </c>
      <c r="BW65" s="462">
        <f>IF(OR(AND(AT65&lt;&gt;0,AJ65&lt;&gt;"PF",AN65&lt;&gt;"NE",AG65&lt;&gt;"A"),AND(AL65="E",OR(AT65=1,AT65=3))),SickBY*W65,0)</f>
        <v>0</v>
      </c>
      <c r="BX65" s="462">
        <f t="shared" si="7"/>
        <v>3054.1545216</v>
      </c>
      <c r="BY65" s="462">
        <f t="shared" si="8"/>
        <v>0</v>
      </c>
      <c r="BZ65" s="462">
        <f t="shared" si="9"/>
        <v>0</v>
      </c>
      <c r="CA65" s="462">
        <f t="shared" si="10"/>
        <v>0</v>
      </c>
      <c r="CB65" s="462">
        <f t="shared" si="11"/>
        <v>0</v>
      </c>
      <c r="CC65" s="462">
        <f>IF(AT65&lt;&gt;0,SSHICHG*Y65,0)</f>
        <v>0</v>
      </c>
      <c r="CD65" s="462">
        <f>IF(AND(AT65&lt;&gt;0,AN65&lt;&gt;"NE"),VLOOKUP(AN65,Retirement_Rates,5,FALSE)*Y65,0)</f>
        <v>0</v>
      </c>
      <c r="CE65" s="462">
        <f>IF(AND(AT65&lt;&gt;0,AJ65&lt;&gt;"PF"),LifeCHG*Y65,0)</f>
        <v>0</v>
      </c>
      <c r="CF65" s="462">
        <f>IF(AND(AT65&lt;&gt;0,AM65="Y"),UICHG*Y65,0)</f>
        <v>-62.130431999999999</v>
      </c>
      <c r="CG65" s="462">
        <f>IF(AND(AT65&lt;&gt;0,N65&lt;&gt;"NR"),DHRCHG*Y65,0)</f>
        <v>0</v>
      </c>
      <c r="CH65" s="462">
        <f>IF(AT65&lt;&gt;0,WCCHG*Y65,0)</f>
        <v>98.901504000000017</v>
      </c>
      <c r="CI65" s="462">
        <f>IF(OR(AND(AT65&lt;&gt;0,AJ65&lt;&gt;"PF",AN65&lt;&gt;"NE",AG65&lt;&gt;"A"),AND(AL65="E",OR(AT65=1,AT65=3))),SickCHG*Y65,0)</f>
        <v>0</v>
      </c>
      <c r="CJ65" s="462">
        <f t="shared" si="12"/>
        <v>36.771072000000018</v>
      </c>
      <c r="CK65" s="462" t="str">
        <f t="shared" si="13"/>
        <v/>
      </c>
      <c r="CL65" s="462" t="str">
        <f t="shared" si="14"/>
        <v/>
      </c>
      <c r="CM65" s="462" t="str">
        <f t="shared" si="15"/>
        <v/>
      </c>
      <c r="CN65" s="462" t="str">
        <f t="shared" si="16"/>
        <v>0247-06</v>
      </c>
    </row>
    <row r="66" spans="1:92" ht="15" thickBot="1" x14ac:dyDescent="0.35">
      <c r="A66" s="376" t="s">
        <v>161</v>
      </c>
      <c r="B66" s="376" t="s">
        <v>162</v>
      </c>
      <c r="C66" s="376" t="s">
        <v>325</v>
      </c>
      <c r="D66" s="376" t="s">
        <v>326</v>
      </c>
      <c r="E66" s="376" t="s">
        <v>416</v>
      </c>
      <c r="F66" s="382" t="s">
        <v>417</v>
      </c>
      <c r="G66" s="376" t="s">
        <v>167</v>
      </c>
      <c r="H66" s="378"/>
      <c r="I66" s="378"/>
      <c r="J66" s="376" t="s">
        <v>193</v>
      </c>
      <c r="K66" s="376" t="s">
        <v>327</v>
      </c>
      <c r="L66" s="376" t="s">
        <v>170</v>
      </c>
      <c r="M66" s="376" t="s">
        <v>324</v>
      </c>
      <c r="N66" s="376" t="s">
        <v>172</v>
      </c>
      <c r="O66" s="379">
        <v>0</v>
      </c>
      <c r="P66" s="460">
        <v>0</v>
      </c>
      <c r="Q66" s="460">
        <v>0</v>
      </c>
      <c r="R66" s="380">
        <v>80</v>
      </c>
      <c r="S66" s="460">
        <v>0</v>
      </c>
      <c r="T66" s="380">
        <v>0</v>
      </c>
      <c r="U66" s="380">
        <v>0</v>
      </c>
      <c r="V66" s="380">
        <v>-242.71</v>
      </c>
      <c r="W66" s="380">
        <v>0</v>
      </c>
      <c r="X66" s="380">
        <v>0</v>
      </c>
      <c r="Y66" s="380">
        <v>0</v>
      </c>
      <c r="Z66" s="380">
        <v>0</v>
      </c>
      <c r="AA66" s="378"/>
      <c r="AB66" s="376" t="s">
        <v>45</v>
      </c>
      <c r="AC66" s="376" t="s">
        <v>45</v>
      </c>
      <c r="AD66" s="378"/>
      <c r="AE66" s="378"/>
      <c r="AF66" s="378"/>
      <c r="AG66" s="378"/>
      <c r="AH66" s="379">
        <v>0</v>
      </c>
      <c r="AI66" s="379">
        <v>0</v>
      </c>
      <c r="AJ66" s="378"/>
      <c r="AK66" s="378"/>
      <c r="AL66" s="376" t="s">
        <v>181</v>
      </c>
      <c r="AM66" s="378"/>
      <c r="AN66" s="378"/>
      <c r="AO66" s="379">
        <v>0</v>
      </c>
      <c r="AP66" s="460">
        <v>0</v>
      </c>
      <c r="AQ66" s="460">
        <v>0</v>
      </c>
      <c r="AR66" s="459"/>
      <c r="AS66" s="462">
        <f t="shared" si="0"/>
        <v>0</v>
      </c>
      <c r="AT66">
        <f t="shared" si="1"/>
        <v>0</v>
      </c>
      <c r="AU66" s="462" t="str">
        <f>IF(AT66=0,"",IF(AND(AT66=1,M66="F",SUMIF(C2:C391,C66,AS2:AS391)&lt;=1),SUMIF(C2:C391,C66,AS2:AS391),IF(AND(AT66=1,M66="F",SUMIF(C2:C391,C66,AS2:AS391)&gt;1),1,"")))</f>
        <v/>
      </c>
      <c r="AV66" s="462" t="str">
        <f>IF(AT66=0,"",IF(AND(AT66=3,M66="F",SUMIF(C2:C391,C66,AS2:AS391)&lt;=1),SUMIF(C2:C391,C66,AS2:AS391),IF(AND(AT66=3,M66="F",SUMIF(C2:C391,C66,AS2:AS391)&gt;1),1,"")))</f>
        <v/>
      </c>
      <c r="AW66" s="462">
        <f>SUMIF(C2:C391,C66,O2:O391)</f>
        <v>0</v>
      </c>
      <c r="AX66" s="462">
        <f>IF(AND(M66="F",AS66&lt;&gt;0),SUMIF(C2:C391,C66,W2:W391),0)</f>
        <v>0</v>
      </c>
      <c r="AY66" s="462" t="str">
        <f t="shared" si="2"/>
        <v/>
      </c>
      <c r="AZ66" s="462" t="str">
        <f t="shared" si="3"/>
        <v/>
      </c>
      <c r="BA66" s="462">
        <f t="shared" si="4"/>
        <v>0</v>
      </c>
      <c r="BB66" s="462">
        <f>IF(AND(AT66=1,AK66="E",AU66&gt;=0.75,AW66=1),Health,IF(AND(AT66=1,AK66="E",AU66&gt;=0.75),Health*P66,IF(AND(AT66=1,AK66="E",AU66&gt;=0.5,AW66=1),PTHealth,IF(AND(AT66=1,AK66="E",AU66&gt;=0.5),PTHealth*P66,0))))</f>
        <v>0</v>
      </c>
      <c r="BC66" s="462">
        <f>IF(AND(AT66=3,AK66="E",AV66&gt;=0.75,AW66=1),Health,IF(AND(AT66=3,AK66="E",AV66&gt;=0.75),Health*P66,IF(AND(AT66=3,AK66="E",AV66&gt;=0.5,AW66=1),PTHealth,IF(AND(AT66=3,AK66="E",AV66&gt;=0.5),PTHealth*P66,0))))</f>
        <v>0</v>
      </c>
      <c r="BD66" s="462">
        <f>IF(AND(AT66&lt;&gt;0,AX66&gt;=MAXSSDI),SSDI*MAXSSDI*P66,IF(AT66&lt;&gt;0,SSDI*W66,0))</f>
        <v>0</v>
      </c>
      <c r="BE66" s="462">
        <f>IF(AT66&lt;&gt;0,SSHI*W66,0)</f>
        <v>0</v>
      </c>
      <c r="BF66" s="462">
        <f>IF(AND(AT66&lt;&gt;0,AN66&lt;&gt;"NE"),VLOOKUP(AN66,Retirement_Rates,3,FALSE)*W66,0)</f>
        <v>0</v>
      </c>
      <c r="BG66" s="462">
        <f>IF(AND(AT66&lt;&gt;0,AJ66&lt;&gt;"PF"),Life*W66,0)</f>
        <v>0</v>
      </c>
      <c r="BH66" s="462">
        <f>IF(AND(AT66&lt;&gt;0,AM66="Y"),UI*W66,0)</f>
        <v>0</v>
      </c>
      <c r="BI66" s="462">
        <f>IF(AND(AT66&lt;&gt;0,N66&lt;&gt;"NR"),DHR*W66,0)</f>
        <v>0</v>
      </c>
      <c r="BJ66" s="462">
        <f>IF(AT66&lt;&gt;0,WC*W66,0)</f>
        <v>0</v>
      </c>
      <c r="BK66" s="462">
        <f>IF(OR(AND(AT66&lt;&gt;0,AJ66&lt;&gt;"PF",AN66&lt;&gt;"NE",AG66&lt;&gt;"A"),AND(AL66="E",OR(AT66=1,AT66=3))),Sick*W66,0)</f>
        <v>0</v>
      </c>
      <c r="BL66" s="462">
        <f t="shared" si="5"/>
        <v>0</v>
      </c>
      <c r="BM66" s="462">
        <f t="shared" si="6"/>
        <v>0</v>
      </c>
      <c r="BN66" s="462">
        <f>IF(AND(AT66=1,AK66="E",AU66&gt;=0.75,AW66=1),HealthBY,IF(AND(AT66=1,AK66="E",AU66&gt;=0.75),HealthBY*P66,IF(AND(AT66=1,AK66="E",AU66&gt;=0.5,AW66=1),PTHealthBY,IF(AND(AT66=1,AK66="E",AU66&gt;=0.5),PTHealthBY*P66,0))))</f>
        <v>0</v>
      </c>
      <c r="BO66" s="462">
        <f>IF(AND(AT66=3,AK66="E",AV66&gt;=0.75,AW66=1),HealthBY,IF(AND(AT66=3,AK66="E",AV66&gt;=0.75),HealthBY*P66,IF(AND(AT66=3,AK66="E",AV66&gt;=0.5,AW66=1),PTHealthBY,IF(AND(AT66=3,AK66="E",AV66&gt;=0.5),PTHealthBY*P66,0))))</f>
        <v>0</v>
      </c>
      <c r="BP66" s="462">
        <f>IF(AND(AT66&lt;&gt;0,(AX66+BA66)&gt;=MAXSSDIBY),SSDIBY*MAXSSDIBY*P66,IF(AT66&lt;&gt;0,SSDIBY*W66,0))</f>
        <v>0</v>
      </c>
      <c r="BQ66" s="462">
        <f>IF(AT66&lt;&gt;0,SSHIBY*W66,0)</f>
        <v>0</v>
      </c>
      <c r="BR66" s="462">
        <f>IF(AND(AT66&lt;&gt;0,AN66&lt;&gt;"NE"),VLOOKUP(AN66,Retirement_Rates,4,FALSE)*W66,0)</f>
        <v>0</v>
      </c>
      <c r="BS66" s="462">
        <f>IF(AND(AT66&lt;&gt;0,AJ66&lt;&gt;"PF"),LifeBY*W66,0)</f>
        <v>0</v>
      </c>
      <c r="BT66" s="462">
        <f>IF(AND(AT66&lt;&gt;0,AM66="Y"),UIBY*W66,0)</f>
        <v>0</v>
      </c>
      <c r="BU66" s="462">
        <f>IF(AND(AT66&lt;&gt;0,N66&lt;&gt;"NR"),DHRBY*W66,0)</f>
        <v>0</v>
      </c>
      <c r="BV66" s="462">
        <f>IF(AT66&lt;&gt;0,WCBY*W66,0)</f>
        <v>0</v>
      </c>
      <c r="BW66" s="462">
        <f>IF(OR(AND(AT66&lt;&gt;0,AJ66&lt;&gt;"PF",AN66&lt;&gt;"NE",AG66&lt;&gt;"A"),AND(AL66="E",OR(AT66=1,AT66=3))),SickBY*W66,0)</f>
        <v>0</v>
      </c>
      <c r="BX66" s="462">
        <f t="shared" si="7"/>
        <v>0</v>
      </c>
      <c r="BY66" s="462">
        <f t="shared" si="8"/>
        <v>0</v>
      </c>
      <c r="BZ66" s="462">
        <f t="shared" si="9"/>
        <v>0</v>
      </c>
      <c r="CA66" s="462">
        <f t="shared" si="10"/>
        <v>0</v>
      </c>
      <c r="CB66" s="462">
        <f t="shared" si="11"/>
        <v>0</v>
      </c>
      <c r="CC66" s="462">
        <f>IF(AT66&lt;&gt;0,SSHICHG*Y66,0)</f>
        <v>0</v>
      </c>
      <c r="CD66" s="462">
        <f>IF(AND(AT66&lt;&gt;0,AN66&lt;&gt;"NE"),VLOOKUP(AN66,Retirement_Rates,5,FALSE)*Y66,0)</f>
        <v>0</v>
      </c>
      <c r="CE66" s="462">
        <f>IF(AND(AT66&lt;&gt;0,AJ66&lt;&gt;"PF"),LifeCHG*Y66,0)</f>
        <v>0</v>
      </c>
      <c r="CF66" s="462">
        <f>IF(AND(AT66&lt;&gt;0,AM66="Y"),UICHG*Y66,0)</f>
        <v>0</v>
      </c>
      <c r="CG66" s="462">
        <f>IF(AND(AT66&lt;&gt;0,N66&lt;&gt;"NR"),DHRCHG*Y66,0)</f>
        <v>0</v>
      </c>
      <c r="CH66" s="462">
        <f>IF(AT66&lt;&gt;0,WCCHG*Y66,0)</f>
        <v>0</v>
      </c>
      <c r="CI66" s="462">
        <f>IF(OR(AND(AT66&lt;&gt;0,AJ66&lt;&gt;"PF",AN66&lt;&gt;"NE",AG66&lt;&gt;"A"),AND(AL66="E",OR(AT66=1,AT66=3))),SickCHG*Y66,0)</f>
        <v>0</v>
      </c>
      <c r="CJ66" s="462">
        <f t="shared" si="12"/>
        <v>0</v>
      </c>
      <c r="CK66" s="462" t="str">
        <f t="shared" si="13"/>
        <v/>
      </c>
      <c r="CL66" s="462" t="str">
        <f t="shared" si="14"/>
        <v/>
      </c>
      <c r="CM66" s="462" t="str">
        <f t="shared" si="15"/>
        <v/>
      </c>
      <c r="CN66" s="462" t="str">
        <f t="shared" si="16"/>
        <v>0247-06</v>
      </c>
    </row>
    <row r="67" spans="1:92" ht="15" thickBot="1" x14ac:dyDescent="0.35">
      <c r="A67" s="376" t="s">
        <v>161</v>
      </c>
      <c r="B67" s="376" t="s">
        <v>162</v>
      </c>
      <c r="C67" s="376" t="s">
        <v>250</v>
      </c>
      <c r="D67" s="376" t="s">
        <v>227</v>
      </c>
      <c r="E67" s="376" t="s">
        <v>416</v>
      </c>
      <c r="F67" s="382" t="s">
        <v>417</v>
      </c>
      <c r="G67" s="376" t="s">
        <v>167</v>
      </c>
      <c r="H67" s="378"/>
      <c r="I67" s="378"/>
      <c r="J67" s="376" t="s">
        <v>229</v>
      </c>
      <c r="K67" s="376" t="s">
        <v>230</v>
      </c>
      <c r="L67" s="376" t="s">
        <v>231</v>
      </c>
      <c r="M67" s="376" t="s">
        <v>171</v>
      </c>
      <c r="N67" s="376" t="s">
        <v>172</v>
      </c>
      <c r="O67" s="379">
        <v>1</v>
      </c>
      <c r="P67" s="460">
        <v>0.4</v>
      </c>
      <c r="Q67" s="460">
        <v>0.4</v>
      </c>
      <c r="R67" s="380">
        <v>80</v>
      </c>
      <c r="S67" s="460">
        <v>0.4</v>
      </c>
      <c r="T67" s="380">
        <v>15469.46</v>
      </c>
      <c r="U67" s="380">
        <v>0</v>
      </c>
      <c r="V67" s="380">
        <v>8303.9500000000007</v>
      </c>
      <c r="W67" s="380">
        <v>16407.04</v>
      </c>
      <c r="X67" s="380">
        <v>8564.3700000000008</v>
      </c>
      <c r="Y67" s="380">
        <v>16407.04</v>
      </c>
      <c r="Z67" s="380">
        <v>8611.9500000000007</v>
      </c>
      <c r="AA67" s="376" t="s">
        <v>251</v>
      </c>
      <c r="AB67" s="376" t="s">
        <v>252</v>
      </c>
      <c r="AC67" s="376" t="s">
        <v>253</v>
      </c>
      <c r="AD67" s="376" t="s">
        <v>170</v>
      </c>
      <c r="AE67" s="376" t="s">
        <v>230</v>
      </c>
      <c r="AF67" s="376" t="s">
        <v>236</v>
      </c>
      <c r="AG67" s="376" t="s">
        <v>178</v>
      </c>
      <c r="AH67" s="381">
        <v>19.72</v>
      </c>
      <c r="AI67" s="381">
        <v>18601.400000000001</v>
      </c>
      <c r="AJ67" s="376" t="s">
        <v>179</v>
      </c>
      <c r="AK67" s="376" t="s">
        <v>180</v>
      </c>
      <c r="AL67" s="376" t="s">
        <v>181</v>
      </c>
      <c r="AM67" s="376" t="s">
        <v>182</v>
      </c>
      <c r="AN67" s="376" t="s">
        <v>68</v>
      </c>
      <c r="AO67" s="379">
        <v>80</v>
      </c>
      <c r="AP67" s="460">
        <v>1</v>
      </c>
      <c r="AQ67" s="460">
        <v>0.4</v>
      </c>
      <c r="AR67" s="458" t="s">
        <v>183</v>
      </c>
      <c r="AS67" s="462">
        <f t="shared" ref="AS67:AS130" si="17">IF(((AO67/80)*AP67*P67)&gt;1,AQ67,((AO67/80)*AP67*P67))</f>
        <v>0.4</v>
      </c>
      <c r="AT67">
        <f t="shared" ref="AT67:AT130" si="18">IF(AND(M67="F",N67&lt;&gt;"NG",AS67&lt;&gt;0,AND(AR67&lt;&gt;6,AR67&lt;&gt;36,AR67&lt;&gt;56),AG67&lt;&gt;"A",OR(AG67="H",AJ67="FS")),1,IF(AND(M67="F",N67&lt;&gt;"NG",AS67&lt;&gt;0,AG67="A"),3,0))</f>
        <v>1</v>
      </c>
      <c r="AU67" s="462">
        <f>IF(AT67=0,"",IF(AND(AT67=1,M67="F",SUMIF(C2:C391,C67,AS2:AS391)&lt;=1),SUMIF(C2:C391,C67,AS2:AS391),IF(AND(AT67=1,M67="F",SUMIF(C2:C391,C67,AS2:AS391)&gt;1),1,"")))</f>
        <v>1</v>
      </c>
      <c r="AV67" s="462" t="str">
        <f>IF(AT67=0,"",IF(AND(AT67=3,M67="F",SUMIF(C2:C391,C67,AS2:AS391)&lt;=1),SUMIF(C2:C391,C67,AS2:AS391),IF(AND(AT67=3,M67="F",SUMIF(C2:C391,C67,AS2:AS391)&gt;1),1,"")))</f>
        <v/>
      </c>
      <c r="AW67" s="462">
        <f>SUMIF(C2:C391,C67,O2:O391)</f>
        <v>3</v>
      </c>
      <c r="AX67" s="462">
        <f>IF(AND(M67="F",AS67&lt;&gt;0),SUMIF(C2:C391,C67,W2:W391),0)</f>
        <v>41017.600000000006</v>
      </c>
      <c r="AY67" s="462">
        <f t="shared" ref="AY67:AY130" si="19">IF(AT67=1,W67,"")</f>
        <v>16407.04</v>
      </c>
      <c r="AZ67" s="462" t="str">
        <f t="shared" ref="AZ67:AZ130" si="20">IF(AT67=3,W67,"")</f>
        <v/>
      </c>
      <c r="BA67" s="462">
        <f t="shared" ref="BA67:BA130" si="21">IF(AT67=1,Y67-W67,0)</f>
        <v>0</v>
      </c>
      <c r="BB67" s="462">
        <f>IF(AND(AT67=1,AK67="E",AU67&gt;=0.75,AW67=1),Health,IF(AND(AT67=1,AK67="E",AU67&gt;=0.75),Health*P67,IF(AND(AT67=1,AK67="E",AU67&gt;=0.5,AW67=1),PTHealth,IF(AND(AT67=1,AK67="E",AU67&gt;=0.5),PTHealth*P67,0))))</f>
        <v>4660</v>
      </c>
      <c r="BC67" s="462">
        <f>IF(AND(AT67=3,AK67="E",AV67&gt;=0.75,AW67=1),Health,IF(AND(AT67=3,AK67="E",AV67&gt;=0.75),Health*P67,IF(AND(AT67=3,AK67="E",AV67&gt;=0.5,AW67=1),PTHealth,IF(AND(AT67=3,AK67="E",AV67&gt;=0.5),PTHealth*P67,0))))</f>
        <v>0</v>
      </c>
      <c r="BD67" s="462">
        <f>IF(AND(AT67&lt;&gt;0,AX67&gt;=MAXSSDI),SSDI*MAXSSDI*P67,IF(AT67&lt;&gt;0,SSDI*W67,0))</f>
        <v>1017.23648</v>
      </c>
      <c r="BE67" s="462">
        <f>IF(AT67&lt;&gt;0,SSHI*W67,0)</f>
        <v>237.90208000000001</v>
      </c>
      <c r="BF67" s="462">
        <f>IF(AND(AT67&lt;&gt;0,AN67&lt;&gt;"NE"),VLOOKUP(AN67,Retirement_Rates,3,FALSE)*W67,0)</f>
        <v>1959.0005760000001</v>
      </c>
      <c r="BG67" s="462">
        <f>IF(AND(AT67&lt;&gt;0,AJ67&lt;&gt;"PF"),Life*W67,0)</f>
        <v>118.29475840000001</v>
      </c>
      <c r="BH67" s="462">
        <f>IF(AND(AT67&lt;&gt;0,AM67="Y"),UI*W67,0)</f>
        <v>80.394496000000004</v>
      </c>
      <c r="BI67" s="462">
        <f>IF(AND(AT67&lt;&gt;0,N67&lt;&gt;"NR"),DHR*W67,0)</f>
        <v>50.205542399999999</v>
      </c>
      <c r="BJ67" s="462">
        <f>IF(AT67&lt;&gt;0,WC*W67,0)</f>
        <v>441.34937600000001</v>
      </c>
      <c r="BK67" s="462">
        <f>IF(OR(AND(AT67&lt;&gt;0,AJ67&lt;&gt;"PF",AN67&lt;&gt;"NE",AG67&lt;&gt;"A"),AND(AL67="E",OR(AT67=1,AT67=3))),Sick*W67,0)</f>
        <v>0</v>
      </c>
      <c r="BL67" s="462">
        <f t="shared" ref="BL67:BL130" si="22">IF(AT67=1,SUM(BD67:BK67),0)</f>
        <v>3904.3833088000001</v>
      </c>
      <c r="BM67" s="462">
        <f t="shared" ref="BM67:BM130" si="23">IF(AT67=3,SUM(BD67:BK67),0)</f>
        <v>0</v>
      </c>
      <c r="BN67" s="462">
        <f>IF(AND(AT67=1,AK67="E",AU67&gt;=0.75,AW67=1),HealthBY,IF(AND(AT67=1,AK67="E",AU67&gt;=0.75),HealthBY*P67,IF(AND(AT67=1,AK67="E",AU67&gt;=0.5,AW67=1),PTHealthBY,IF(AND(AT67=1,AK67="E",AU67&gt;=0.5),PTHealthBY*P67,0))))</f>
        <v>4660</v>
      </c>
      <c r="BO67" s="462">
        <f>IF(AND(AT67=3,AK67="E",AV67&gt;=0.75,AW67=1),HealthBY,IF(AND(AT67=3,AK67="E",AV67&gt;=0.75),HealthBY*P67,IF(AND(AT67=3,AK67="E",AV67&gt;=0.5,AW67=1),PTHealthBY,IF(AND(AT67=3,AK67="E",AV67&gt;=0.5),PTHealthBY*P67,0))))</f>
        <v>0</v>
      </c>
      <c r="BP67" s="462">
        <f>IF(AND(AT67&lt;&gt;0,(AX67+BA67)&gt;=MAXSSDIBY),SSDIBY*MAXSSDIBY*P67,IF(AT67&lt;&gt;0,SSDIBY*W67,0))</f>
        <v>1017.23648</v>
      </c>
      <c r="BQ67" s="462">
        <f>IF(AT67&lt;&gt;0,SSHIBY*W67,0)</f>
        <v>237.90208000000001</v>
      </c>
      <c r="BR67" s="462">
        <f>IF(AND(AT67&lt;&gt;0,AN67&lt;&gt;"NE"),VLOOKUP(AN67,Retirement_Rates,4,FALSE)*W67,0)</f>
        <v>1959.0005760000001</v>
      </c>
      <c r="BS67" s="462">
        <f>IF(AND(AT67&lt;&gt;0,AJ67&lt;&gt;"PF"),LifeBY*W67,0)</f>
        <v>118.29475840000001</v>
      </c>
      <c r="BT67" s="462">
        <f>IF(AND(AT67&lt;&gt;0,AM67="Y"),UIBY*W67,0)</f>
        <v>0</v>
      </c>
      <c r="BU67" s="462">
        <f>IF(AND(AT67&lt;&gt;0,N67&lt;&gt;"NR"),DHRBY*W67,0)</f>
        <v>50.205542399999999</v>
      </c>
      <c r="BV67" s="462">
        <f>IF(AT67&lt;&gt;0,WCBY*W67,0)</f>
        <v>569.32428800000002</v>
      </c>
      <c r="BW67" s="462">
        <f>IF(OR(AND(AT67&lt;&gt;0,AJ67&lt;&gt;"PF",AN67&lt;&gt;"NE",AG67&lt;&gt;"A"),AND(AL67="E",OR(AT67=1,AT67=3))),SickBY*W67,0)</f>
        <v>0</v>
      </c>
      <c r="BX67" s="462">
        <f t="shared" ref="BX67:BX130" si="24">IF(AT67=1,SUM(BP67:BW67),0)</f>
        <v>3951.9637247999999</v>
      </c>
      <c r="BY67" s="462">
        <f t="shared" ref="BY67:BY130" si="25">IF(AT67=3,SUM(BP67:BW67),0)</f>
        <v>0</v>
      </c>
      <c r="BZ67" s="462">
        <f t="shared" ref="BZ67:BZ130" si="26">IF(AT67=1,BN67-BB67,0)</f>
        <v>0</v>
      </c>
      <c r="CA67" s="462">
        <f t="shared" ref="CA67:CA130" si="27">IF(AT67=3,BO67-BC67,0)</f>
        <v>0</v>
      </c>
      <c r="CB67" s="462">
        <f t="shared" ref="CB67:CB130" si="28">BP67-BD67</f>
        <v>0</v>
      </c>
      <c r="CC67" s="462">
        <f>IF(AT67&lt;&gt;0,SSHICHG*Y67,0)</f>
        <v>0</v>
      </c>
      <c r="CD67" s="462">
        <f>IF(AND(AT67&lt;&gt;0,AN67&lt;&gt;"NE"),VLOOKUP(AN67,Retirement_Rates,5,FALSE)*Y67,0)</f>
        <v>0</v>
      </c>
      <c r="CE67" s="462">
        <f>IF(AND(AT67&lt;&gt;0,AJ67&lt;&gt;"PF"),LifeCHG*Y67,0)</f>
        <v>0</v>
      </c>
      <c r="CF67" s="462">
        <f>IF(AND(AT67&lt;&gt;0,AM67="Y"),UICHG*Y67,0)</f>
        <v>-80.394496000000004</v>
      </c>
      <c r="CG67" s="462">
        <f>IF(AND(AT67&lt;&gt;0,N67&lt;&gt;"NR"),DHRCHG*Y67,0)</f>
        <v>0</v>
      </c>
      <c r="CH67" s="462">
        <f>IF(AT67&lt;&gt;0,WCCHG*Y67,0)</f>
        <v>127.97491200000003</v>
      </c>
      <c r="CI67" s="462">
        <f>IF(OR(AND(AT67&lt;&gt;0,AJ67&lt;&gt;"PF",AN67&lt;&gt;"NE",AG67&lt;&gt;"A"),AND(AL67="E",OR(AT67=1,AT67=3))),SickCHG*Y67,0)</f>
        <v>0</v>
      </c>
      <c r="CJ67" s="462">
        <f t="shared" ref="CJ67:CJ130" si="29">IF(AT67=1,SUM(CB67:CI67),0)</f>
        <v>47.580416000000028</v>
      </c>
      <c r="CK67" s="462" t="str">
        <f t="shared" ref="CK67:CK130" si="30">IF(AT67=3,SUM(CB67:CI67),"")</f>
        <v/>
      </c>
      <c r="CL67" s="462" t="str">
        <f t="shared" ref="CL67:CL130" si="31">IF(OR(N67="NG",AG67="D"),(T67+U67),"")</f>
        <v/>
      </c>
      <c r="CM67" s="462" t="str">
        <f t="shared" ref="CM67:CM130" si="32">IF(OR(N67="NG",AG67="D"),V67,"")</f>
        <v/>
      </c>
      <c r="CN67" s="462" t="str">
        <f t="shared" ref="CN67:CN130" si="33">E67 &amp; "-" &amp; F67</f>
        <v>0247-06</v>
      </c>
    </row>
    <row r="68" spans="1:92" ht="15" thickBot="1" x14ac:dyDescent="0.35">
      <c r="A68" s="376" t="s">
        <v>161</v>
      </c>
      <c r="B68" s="376" t="s">
        <v>162</v>
      </c>
      <c r="C68" s="376" t="s">
        <v>258</v>
      </c>
      <c r="D68" s="376" t="s">
        <v>259</v>
      </c>
      <c r="E68" s="376" t="s">
        <v>416</v>
      </c>
      <c r="F68" s="382" t="s">
        <v>417</v>
      </c>
      <c r="G68" s="376" t="s">
        <v>167</v>
      </c>
      <c r="H68" s="378"/>
      <c r="I68" s="378"/>
      <c r="J68" s="376" t="s">
        <v>193</v>
      </c>
      <c r="K68" s="376" t="s">
        <v>260</v>
      </c>
      <c r="L68" s="376" t="s">
        <v>170</v>
      </c>
      <c r="M68" s="376" t="s">
        <v>171</v>
      </c>
      <c r="N68" s="376" t="s">
        <v>172</v>
      </c>
      <c r="O68" s="379">
        <v>1</v>
      </c>
      <c r="P68" s="460">
        <v>0.4</v>
      </c>
      <c r="Q68" s="460">
        <v>0.4</v>
      </c>
      <c r="R68" s="380">
        <v>80</v>
      </c>
      <c r="S68" s="460">
        <v>0.4</v>
      </c>
      <c r="T68" s="380">
        <v>24323.84</v>
      </c>
      <c r="U68" s="380">
        <v>0</v>
      </c>
      <c r="V68" s="380">
        <v>9606.89</v>
      </c>
      <c r="W68" s="380">
        <v>25176.32</v>
      </c>
      <c r="X68" s="380">
        <v>10651.19</v>
      </c>
      <c r="Y68" s="380">
        <v>25176.32</v>
      </c>
      <c r="Z68" s="380">
        <v>10724.2</v>
      </c>
      <c r="AA68" s="376" t="s">
        <v>261</v>
      </c>
      <c r="AB68" s="376" t="s">
        <v>262</v>
      </c>
      <c r="AC68" s="376" t="s">
        <v>263</v>
      </c>
      <c r="AD68" s="376" t="s">
        <v>264</v>
      </c>
      <c r="AE68" s="376" t="s">
        <v>260</v>
      </c>
      <c r="AF68" s="376" t="s">
        <v>177</v>
      </c>
      <c r="AG68" s="376" t="s">
        <v>178</v>
      </c>
      <c r="AH68" s="381">
        <v>30.26</v>
      </c>
      <c r="AI68" s="381">
        <v>43107.5</v>
      </c>
      <c r="AJ68" s="376" t="s">
        <v>179</v>
      </c>
      <c r="AK68" s="376" t="s">
        <v>180</v>
      </c>
      <c r="AL68" s="376" t="s">
        <v>181</v>
      </c>
      <c r="AM68" s="376" t="s">
        <v>182</v>
      </c>
      <c r="AN68" s="376" t="s">
        <v>68</v>
      </c>
      <c r="AO68" s="379">
        <v>80</v>
      </c>
      <c r="AP68" s="460">
        <v>1</v>
      </c>
      <c r="AQ68" s="460">
        <v>0.4</v>
      </c>
      <c r="AR68" s="458" t="s">
        <v>183</v>
      </c>
      <c r="AS68" s="462">
        <f t="shared" si="17"/>
        <v>0.4</v>
      </c>
      <c r="AT68">
        <f t="shared" si="18"/>
        <v>1</v>
      </c>
      <c r="AU68" s="462">
        <f>IF(AT68=0,"",IF(AND(AT68=1,M68="F",SUMIF(C2:C391,C68,AS2:AS391)&lt;=1),SUMIF(C2:C391,C68,AS2:AS391),IF(AND(AT68=1,M68="F",SUMIF(C2:C391,C68,AS2:AS391)&gt;1),1,"")))</f>
        <v>1</v>
      </c>
      <c r="AV68" s="462" t="str">
        <f>IF(AT68=0,"",IF(AND(AT68=3,M68="F",SUMIF(C2:C391,C68,AS2:AS391)&lt;=1),SUMIF(C2:C391,C68,AS2:AS391),IF(AND(AT68=3,M68="F",SUMIF(C2:C391,C68,AS2:AS391)&gt;1),1,"")))</f>
        <v/>
      </c>
      <c r="AW68" s="462">
        <f>SUMIF(C2:C391,C68,O2:O391)</f>
        <v>2</v>
      </c>
      <c r="AX68" s="462">
        <f>IF(AND(M68="F",AS68&lt;&gt;0),SUMIF(C2:C391,C68,W2:W391),0)</f>
        <v>62940.800000000003</v>
      </c>
      <c r="AY68" s="462">
        <f t="shared" si="19"/>
        <v>25176.32</v>
      </c>
      <c r="AZ68" s="462" t="str">
        <f t="shared" si="20"/>
        <v/>
      </c>
      <c r="BA68" s="462">
        <f t="shared" si="21"/>
        <v>0</v>
      </c>
      <c r="BB68" s="462">
        <f>IF(AND(AT68=1,AK68="E",AU68&gt;=0.75,AW68=1),Health,IF(AND(AT68=1,AK68="E",AU68&gt;=0.75),Health*P68,IF(AND(AT68=1,AK68="E",AU68&gt;=0.5,AW68=1),PTHealth,IF(AND(AT68=1,AK68="E",AU68&gt;=0.5),PTHealth*P68,0))))</f>
        <v>4660</v>
      </c>
      <c r="BC68" s="462">
        <f>IF(AND(AT68=3,AK68="E",AV68&gt;=0.75,AW68=1),Health,IF(AND(AT68=3,AK68="E",AV68&gt;=0.75),Health*P68,IF(AND(AT68=3,AK68="E",AV68&gt;=0.5,AW68=1),PTHealth,IF(AND(AT68=3,AK68="E",AV68&gt;=0.5),PTHealth*P68,0))))</f>
        <v>0</v>
      </c>
      <c r="BD68" s="462">
        <f>IF(AND(AT68&lt;&gt;0,AX68&gt;=MAXSSDI),SSDI*MAXSSDI*P68,IF(AT68&lt;&gt;0,SSDI*W68,0))</f>
        <v>1560.93184</v>
      </c>
      <c r="BE68" s="462">
        <f>IF(AT68&lt;&gt;0,SSHI*W68,0)</f>
        <v>365.05664000000002</v>
      </c>
      <c r="BF68" s="462">
        <f>IF(AND(AT68&lt;&gt;0,AN68&lt;&gt;"NE"),VLOOKUP(AN68,Retirement_Rates,3,FALSE)*W68,0)</f>
        <v>3006.052608</v>
      </c>
      <c r="BG68" s="462">
        <f>IF(AND(AT68&lt;&gt;0,AJ68&lt;&gt;"PF"),Life*W68,0)</f>
        <v>181.52126720000001</v>
      </c>
      <c r="BH68" s="462">
        <f>IF(AND(AT68&lt;&gt;0,AM68="Y"),UI*W68,0)</f>
        <v>123.363968</v>
      </c>
      <c r="BI68" s="462">
        <f>IF(AND(AT68&lt;&gt;0,N68&lt;&gt;"NR"),DHR*W68,0)</f>
        <v>77.039539199999993</v>
      </c>
      <c r="BJ68" s="462">
        <f>IF(AT68&lt;&gt;0,WC*W68,0)</f>
        <v>677.24300800000003</v>
      </c>
      <c r="BK68" s="462">
        <f>IF(OR(AND(AT68&lt;&gt;0,AJ68&lt;&gt;"PF",AN68&lt;&gt;"NE",AG68&lt;&gt;"A"),AND(AL68="E",OR(AT68=1,AT68=3))),Sick*W68,0)</f>
        <v>0</v>
      </c>
      <c r="BL68" s="462">
        <f t="shared" si="22"/>
        <v>5991.2088703999998</v>
      </c>
      <c r="BM68" s="462">
        <f t="shared" si="23"/>
        <v>0</v>
      </c>
      <c r="BN68" s="462">
        <f>IF(AND(AT68=1,AK68="E",AU68&gt;=0.75,AW68=1),HealthBY,IF(AND(AT68=1,AK68="E",AU68&gt;=0.75),HealthBY*P68,IF(AND(AT68=1,AK68="E",AU68&gt;=0.5,AW68=1),PTHealthBY,IF(AND(AT68=1,AK68="E",AU68&gt;=0.5),PTHealthBY*P68,0))))</f>
        <v>4660</v>
      </c>
      <c r="BO68" s="462">
        <f>IF(AND(AT68=3,AK68="E",AV68&gt;=0.75,AW68=1),HealthBY,IF(AND(AT68=3,AK68="E",AV68&gt;=0.75),HealthBY*P68,IF(AND(AT68=3,AK68="E",AV68&gt;=0.5,AW68=1),PTHealthBY,IF(AND(AT68=3,AK68="E",AV68&gt;=0.5),PTHealthBY*P68,0))))</f>
        <v>0</v>
      </c>
      <c r="BP68" s="462">
        <f>IF(AND(AT68&lt;&gt;0,(AX68+BA68)&gt;=MAXSSDIBY),SSDIBY*MAXSSDIBY*P68,IF(AT68&lt;&gt;0,SSDIBY*W68,0))</f>
        <v>1560.93184</v>
      </c>
      <c r="BQ68" s="462">
        <f>IF(AT68&lt;&gt;0,SSHIBY*W68,0)</f>
        <v>365.05664000000002</v>
      </c>
      <c r="BR68" s="462">
        <f>IF(AND(AT68&lt;&gt;0,AN68&lt;&gt;"NE"),VLOOKUP(AN68,Retirement_Rates,4,FALSE)*W68,0)</f>
        <v>3006.052608</v>
      </c>
      <c r="BS68" s="462">
        <f>IF(AND(AT68&lt;&gt;0,AJ68&lt;&gt;"PF"),LifeBY*W68,0)</f>
        <v>181.52126720000001</v>
      </c>
      <c r="BT68" s="462">
        <f>IF(AND(AT68&lt;&gt;0,AM68="Y"),UIBY*W68,0)</f>
        <v>0</v>
      </c>
      <c r="BU68" s="462">
        <f>IF(AND(AT68&lt;&gt;0,N68&lt;&gt;"NR"),DHRBY*W68,0)</f>
        <v>77.039539199999993</v>
      </c>
      <c r="BV68" s="462">
        <f>IF(AT68&lt;&gt;0,WCBY*W68,0)</f>
        <v>873.61830400000008</v>
      </c>
      <c r="BW68" s="462">
        <f>IF(OR(AND(AT68&lt;&gt;0,AJ68&lt;&gt;"PF",AN68&lt;&gt;"NE",AG68&lt;&gt;"A"),AND(AL68="E",OR(AT68=1,AT68=3))),SickBY*W68,0)</f>
        <v>0</v>
      </c>
      <c r="BX68" s="462">
        <f t="shared" si="24"/>
        <v>6064.2201984000003</v>
      </c>
      <c r="BY68" s="462">
        <f t="shared" si="25"/>
        <v>0</v>
      </c>
      <c r="BZ68" s="462">
        <f t="shared" si="26"/>
        <v>0</v>
      </c>
      <c r="CA68" s="462">
        <f t="shared" si="27"/>
        <v>0</v>
      </c>
      <c r="CB68" s="462">
        <f t="shared" si="28"/>
        <v>0</v>
      </c>
      <c r="CC68" s="462">
        <f>IF(AT68&lt;&gt;0,SSHICHG*Y68,0)</f>
        <v>0</v>
      </c>
      <c r="CD68" s="462">
        <f>IF(AND(AT68&lt;&gt;0,AN68&lt;&gt;"NE"),VLOOKUP(AN68,Retirement_Rates,5,FALSE)*Y68,0)</f>
        <v>0</v>
      </c>
      <c r="CE68" s="462">
        <f>IF(AND(AT68&lt;&gt;0,AJ68&lt;&gt;"PF"),LifeCHG*Y68,0)</f>
        <v>0</v>
      </c>
      <c r="CF68" s="462">
        <f>IF(AND(AT68&lt;&gt;0,AM68="Y"),UICHG*Y68,0)</f>
        <v>-123.363968</v>
      </c>
      <c r="CG68" s="462">
        <f>IF(AND(AT68&lt;&gt;0,N68&lt;&gt;"NR"),DHRCHG*Y68,0)</f>
        <v>0</v>
      </c>
      <c r="CH68" s="462">
        <f>IF(AT68&lt;&gt;0,WCCHG*Y68,0)</f>
        <v>196.37529600000002</v>
      </c>
      <c r="CI68" s="462">
        <f>IF(OR(AND(AT68&lt;&gt;0,AJ68&lt;&gt;"PF",AN68&lt;&gt;"NE",AG68&lt;&gt;"A"),AND(AL68="E",OR(AT68=1,AT68=3))),SickCHG*Y68,0)</f>
        <v>0</v>
      </c>
      <c r="CJ68" s="462">
        <f t="shared" si="29"/>
        <v>73.01132800000002</v>
      </c>
      <c r="CK68" s="462" t="str">
        <f t="shared" si="30"/>
        <v/>
      </c>
      <c r="CL68" s="462" t="str">
        <f t="shared" si="31"/>
        <v/>
      </c>
      <c r="CM68" s="462" t="str">
        <f t="shared" si="32"/>
        <v/>
      </c>
      <c r="CN68" s="462" t="str">
        <f t="shared" si="33"/>
        <v>0247-06</v>
      </c>
    </row>
    <row r="69" spans="1:92" ht="15" thickBot="1" x14ac:dyDescent="0.35">
      <c r="A69" s="376" t="s">
        <v>161</v>
      </c>
      <c r="B69" s="376" t="s">
        <v>162</v>
      </c>
      <c r="C69" s="376" t="s">
        <v>378</v>
      </c>
      <c r="D69" s="376" t="s">
        <v>314</v>
      </c>
      <c r="E69" s="376" t="s">
        <v>416</v>
      </c>
      <c r="F69" s="382" t="s">
        <v>417</v>
      </c>
      <c r="G69" s="376" t="s">
        <v>167</v>
      </c>
      <c r="H69" s="378"/>
      <c r="I69" s="378"/>
      <c r="J69" s="376" t="s">
        <v>229</v>
      </c>
      <c r="K69" s="376" t="s">
        <v>315</v>
      </c>
      <c r="L69" s="376" t="s">
        <v>316</v>
      </c>
      <c r="M69" s="376" t="s">
        <v>171</v>
      </c>
      <c r="N69" s="376" t="s">
        <v>172</v>
      </c>
      <c r="O69" s="379">
        <v>1</v>
      </c>
      <c r="P69" s="460">
        <v>0.3</v>
      </c>
      <c r="Q69" s="460">
        <v>0.3</v>
      </c>
      <c r="R69" s="380">
        <v>80</v>
      </c>
      <c r="S69" s="460">
        <v>0.3</v>
      </c>
      <c r="T69" s="380">
        <v>8713.92</v>
      </c>
      <c r="U69" s="380">
        <v>0</v>
      </c>
      <c r="V69" s="380">
        <v>5309.02</v>
      </c>
      <c r="W69" s="380">
        <v>8985.6</v>
      </c>
      <c r="X69" s="380">
        <v>5633.29</v>
      </c>
      <c r="Y69" s="380">
        <v>8985.6</v>
      </c>
      <c r="Z69" s="380">
        <v>5659.35</v>
      </c>
      <c r="AA69" s="376" t="s">
        <v>379</v>
      </c>
      <c r="AB69" s="376" t="s">
        <v>380</v>
      </c>
      <c r="AC69" s="376" t="s">
        <v>381</v>
      </c>
      <c r="AD69" s="376" t="s">
        <v>382</v>
      </c>
      <c r="AE69" s="376" t="s">
        <v>315</v>
      </c>
      <c r="AF69" s="376" t="s">
        <v>320</v>
      </c>
      <c r="AG69" s="376" t="s">
        <v>178</v>
      </c>
      <c r="AH69" s="381">
        <v>14.4</v>
      </c>
      <c r="AI69" s="381">
        <v>37582.199999999997</v>
      </c>
      <c r="AJ69" s="376" t="s">
        <v>179</v>
      </c>
      <c r="AK69" s="376" t="s">
        <v>180</v>
      </c>
      <c r="AL69" s="376" t="s">
        <v>181</v>
      </c>
      <c r="AM69" s="376" t="s">
        <v>182</v>
      </c>
      <c r="AN69" s="376" t="s">
        <v>68</v>
      </c>
      <c r="AO69" s="379">
        <v>80</v>
      </c>
      <c r="AP69" s="460">
        <v>1</v>
      </c>
      <c r="AQ69" s="460">
        <v>0.3</v>
      </c>
      <c r="AR69" s="458" t="s">
        <v>183</v>
      </c>
      <c r="AS69" s="462">
        <f t="shared" si="17"/>
        <v>0.3</v>
      </c>
      <c r="AT69">
        <f t="shared" si="18"/>
        <v>1</v>
      </c>
      <c r="AU69" s="462">
        <f>IF(AT69=0,"",IF(AND(AT69=1,M69="F",SUMIF(C2:C391,C69,AS2:AS391)&lt;=1),SUMIF(C2:C391,C69,AS2:AS391),IF(AND(AT69=1,M69="F",SUMIF(C2:C391,C69,AS2:AS391)&gt;1),1,"")))</f>
        <v>1</v>
      </c>
      <c r="AV69" s="462" t="str">
        <f>IF(AT69=0,"",IF(AND(AT69=3,M69="F",SUMIF(C2:C391,C69,AS2:AS391)&lt;=1),SUMIF(C2:C391,C69,AS2:AS391),IF(AND(AT69=3,M69="F",SUMIF(C2:C391,C69,AS2:AS391)&gt;1),1,"")))</f>
        <v/>
      </c>
      <c r="AW69" s="462">
        <f>SUMIF(C2:C391,C69,O2:O391)</f>
        <v>3</v>
      </c>
      <c r="AX69" s="462">
        <f>IF(AND(M69="F",AS69&lt;&gt;0),SUMIF(C2:C391,C69,W2:W391),0)</f>
        <v>29952</v>
      </c>
      <c r="AY69" s="462">
        <f t="shared" si="19"/>
        <v>8985.6</v>
      </c>
      <c r="AZ69" s="462" t="str">
        <f t="shared" si="20"/>
        <v/>
      </c>
      <c r="BA69" s="462">
        <f t="shared" si="21"/>
        <v>0</v>
      </c>
      <c r="BB69" s="462">
        <f>IF(AND(AT69=1,AK69="E",AU69&gt;=0.75,AW69=1),Health,IF(AND(AT69=1,AK69="E",AU69&gt;=0.75),Health*P69,IF(AND(AT69=1,AK69="E",AU69&gt;=0.5,AW69=1),PTHealth,IF(AND(AT69=1,AK69="E",AU69&gt;=0.5),PTHealth*P69,0))))</f>
        <v>3495</v>
      </c>
      <c r="BC69" s="462">
        <f>IF(AND(AT69=3,AK69="E",AV69&gt;=0.75,AW69=1),Health,IF(AND(AT69=3,AK69="E",AV69&gt;=0.75),Health*P69,IF(AND(AT69=3,AK69="E",AV69&gt;=0.5,AW69=1),PTHealth,IF(AND(AT69=3,AK69="E",AV69&gt;=0.5),PTHealth*P69,0))))</f>
        <v>0</v>
      </c>
      <c r="BD69" s="462">
        <f>IF(AND(AT69&lt;&gt;0,AX69&gt;=MAXSSDI),SSDI*MAXSSDI*P69,IF(AT69&lt;&gt;0,SSDI*W69,0))</f>
        <v>557.10720000000003</v>
      </c>
      <c r="BE69" s="462">
        <f>IF(AT69&lt;&gt;0,SSHI*W69,0)</f>
        <v>130.2912</v>
      </c>
      <c r="BF69" s="462">
        <f>IF(AND(AT69&lt;&gt;0,AN69&lt;&gt;"NE"),VLOOKUP(AN69,Retirement_Rates,3,FALSE)*W69,0)</f>
        <v>1072.8806400000001</v>
      </c>
      <c r="BG69" s="462">
        <f>IF(AND(AT69&lt;&gt;0,AJ69&lt;&gt;"PF"),Life*W69,0)</f>
        <v>64.786176000000012</v>
      </c>
      <c r="BH69" s="462">
        <f>IF(AND(AT69&lt;&gt;0,AM69="Y"),UI*W69,0)</f>
        <v>44.029440000000001</v>
      </c>
      <c r="BI69" s="462">
        <f>IF(AND(AT69&lt;&gt;0,N69&lt;&gt;"NR"),DHR*W69,0)</f>
        <v>27.495936</v>
      </c>
      <c r="BJ69" s="462">
        <f>IF(AT69&lt;&gt;0,WC*W69,0)</f>
        <v>241.71264000000002</v>
      </c>
      <c r="BK69" s="462">
        <f>IF(OR(AND(AT69&lt;&gt;0,AJ69&lt;&gt;"PF",AN69&lt;&gt;"NE",AG69&lt;&gt;"A"),AND(AL69="E",OR(AT69=1,AT69=3))),Sick*W69,0)</f>
        <v>0</v>
      </c>
      <c r="BL69" s="462">
        <f t="shared" si="22"/>
        <v>2138.3032320000002</v>
      </c>
      <c r="BM69" s="462">
        <f t="shared" si="23"/>
        <v>0</v>
      </c>
      <c r="BN69" s="462">
        <f>IF(AND(AT69=1,AK69="E",AU69&gt;=0.75,AW69=1),HealthBY,IF(AND(AT69=1,AK69="E",AU69&gt;=0.75),HealthBY*P69,IF(AND(AT69=1,AK69="E",AU69&gt;=0.5,AW69=1),PTHealthBY,IF(AND(AT69=1,AK69="E",AU69&gt;=0.5),PTHealthBY*P69,0))))</f>
        <v>3495</v>
      </c>
      <c r="BO69" s="462">
        <f>IF(AND(AT69=3,AK69="E",AV69&gt;=0.75,AW69=1),HealthBY,IF(AND(AT69=3,AK69="E",AV69&gt;=0.75),HealthBY*P69,IF(AND(AT69=3,AK69="E",AV69&gt;=0.5,AW69=1),PTHealthBY,IF(AND(AT69=3,AK69="E",AV69&gt;=0.5),PTHealthBY*P69,0))))</f>
        <v>0</v>
      </c>
      <c r="BP69" s="462">
        <f>IF(AND(AT69&lt;&gt;0,(AX69+BA69)&gt;=MAXSSDIBY),SSDIBY*MAXSSDIBY*P69,IF(AT69&lt;&gt;0,SSDIBY*W69,0))</f>
        <v>557.10720000000003</v>
      </c>
      <c r="BQ69" s="462">
        <f>IF(AT69&lt;&gt;0,SSHIBY*W69,0)</f>
        <v>130.2912</v>
      </c>
      <c r="BR69" s="462">
        <f>IF(AND(AT69&lt;&gt;0,AN69&lt;&gt;"NE"),VLOOKUP(AN69,Retirement_Rates,4,FALSE)*W69,0)</f>
        <v>1072.8806400000001</v>
      </c>
      <c r="BS69" s="462">
        <f>IF(AND(AT69&lt;&gt;0,AJ69&lt;&gt;"PF"),LifeBY*W69,0)</f>
        <v>64.786176000000012</v>
      </c>
      <c r="BT69" s="462">
        <f>IF(AND(AT69&lt;&gt;0,AM69="Y"),UIBY*W69,0)</f>
        <v>0</v>
      </c>
      <c r="BU69" s="462">
        <f>IF(AND(AT69&lt;&gt;0,N69&lt;&gt;"NR"),DHRBY*W69,0)</f>
        <v>27.495936</v>
      </c>
      <c r="BV69" s="462">
        <f>IF(AT69&lt;&gt;0,WCBY*W69,0)</f>
        <v>311.80032000000006</v>
      </c>
      <c r="BW69" s="462">
        <f>IF(OR(AND(AT69&lt;&gt;0,AJ69&lt;&gt;"PF",AN69&lt;&gt;"NE",AG69&lt;&gt;"A"),AND(AL69="E",OR(AT69=1,AT69=3))),SickBY*W69,0)</f>
        <v>0</v>
      </c>
      <c r="BX69" s="462">
        <f t="shared" si="24"/>
        <v>2164.3614720000005</v>
      </c>
      <c r="BY69" s="462">
        <f t="shared" si="25"/>
        <v>0</v>
      </c>
      <c r="BZ69" s="462">
        <f t="shared" si="26"/>
        <v>0</v>
      </c>
      <c r="CA69" s="462">
        <f t="shared" si="27"/>
        <v>0</v>
      </c>
      <c r="CB69" s="462">
        <f t="shared" si="28"/>
        <v>0</v>
      </c>
      <c r="CC69" s="462">
        <f>IF(AT69&lt;&gt;0,SSHICHG*Y69,0)</f>
        <v>0</v>
      </c>
      <c r="CD69" s="462">
        <f>IF(AND(AT69&lt;&gt;0,AN69&lt;&gt;"NE"),VLOOKUP(AN69,Retirement_Rates,5,FALSE)*Y69,0)</f>
        <v>0</v>
      </c>
      <c r="CE69" s="462">
        <f>IF(AND(AT69&lt;&gt;0,AJ69&lt;&gt;"PF"),LifeCHG*Y69,0)</f>
        <v>0</v>
      </c>
      <c r="CF69" s="462">
        <f>IF(AND(AT69&lt;&gt;0,AM69="Y"),UICHG*Y69,0)</f>
        <v>-44.029440000000001</v>
      </c>
      <c r="CG69" s="462">
        <f>IF(AND(AT69&lt;&gt;0,N69&lt;&gt;"NR"),DHRCHG*Y69,0)</f>
        <v>0</v>
      </c>
      <c r="CH69" s="462">
        <f>IF(AT69&lt;&gt;0,WCCHG*Y69,0)</f>
        <v>70.08768000000002</v>
      </c>
      <c r="CI69" s="462">
        <f>IF(OR(AND(AT69&lt;&gt;0,AJ69&lt;&gt;"PF",AN69&lt;&gt;"NE",AG69&lt;&gt;"A"),AND(AL69="E",OR(AT69=1,AT69=3))),SickCHG*Y69,0)</f>
        <v>0</v>
      </c>
      <c r="CJ69" s="462">
        <f t="shared" si="29"/>
        <v>26.058240000000019</v>
      </c>
      <c r="CK69" s="462" t="str">
        <f t="shared" si="30"/>
        <v/>
      </c>
      <c r="CL69" s="462" t="str">
        <f t="shared" si="31"/>
        <v/>
      </c>
      <c r="CM69" s="462" t="str">
        <f t="shared" si="32"/>
        <v/>
      </c>
      <c r="CN69" s="462" t="str">
        <f t="shared" si="33"/>
        <v>0247-06</v>
      </c>
    </row>
    <row r="70" spans="1:92" ht="15" thickBot="1" x14ac:dyDescent="0.35">
      <c r="A70" s="376" t="s">
        <v>161</v>
      </c>
      <c r="B70" s="376" t="s">
        <v>162</v>
      </c>
      <c r="C70" s="376" t="s">
        <v>331</v>
      </c>
      <c r="D70" s="376" t="s">
        <v>332</v>
      </c>
      <c r="E70" s="376" t="s">
        <v>416</v>
      </c>
      <c r="F70" s="382" t="s">
        <v>417</v>
      </c>
      <c r="G70" s="376" t="s">
        <v>167</v>
      </c>
      <c r="H70" s="378"/>
      <c r="I70" s="378"/>
      <c r="J70" s="376" t="s">
        <v>193</v>
      </c>
      <c r="K70" s="376" t="s">
        <v>333</v>
      </c>
      <c r="L70" s="376" t="s">
        <v>181</v>
      </c>
      <c r="M70" s="376" t="s">
        <v>324</v>
      </c>
      <c r="N70" s="376" t="s">
        <v>172</v>
      </c>
      <c r="O70" s="379">
        <v>0</v>
      </c>
      <c r="P70" s="460">
        <v>0</v>
      </c>
      <c r="Q70" s="460">
        <v>0</v>
      </c>
      <c r="R70" s="380">
        <v>80</v>
      </c>
      <c r="S70" s="460">
        <v>0</v>
      </c>
      <c r="T70" s="380">
        <v>0</v>
      </c>
      <c r="U70" s="380">
        <v>0</v>
      </c>
      <c r="V70" s="380">
        <v>-242.7</v>
      </c>
      <c r="W70" s="380">
        <v>0</v>
      </c>
      <c r="X70" s="380">
        <v>0</v>
      </c>
      <c r="Y70" s="380">
        <v>0</v>
      </c>
      <c r="Z70" s="380">
        <v>0</v>
      </c>
      <c r="AA70" s="378"/>
      <c r="AB70" s="376" t="s">
        <v>45</v>
      </c>
      <c r="AC70" s="376" t="s">
        <v>45</v>
      </c>
      <c r="AD70" s="378"/>
      <c r="AE70" s="378"/>
      <c r="AF70" s="378"/>
      <c r="AG70" s="378"/>
      <c r="AH70" s="379">
        <v>0</v>
      </c>
      <c r="AI70" s="379">
        <v>0</v>
      </c>
      <c r="AJ70" s="378"/>
      <c r="AK70" s="378"/>
      <c r="AL70" s="376" t="s">
        <v>181</v>
      </c>
      <c r="AM70" s="378"/>
      <c r="AN70" s="378"/>
      <c r="AO70" s="379">
        <v>0</v>
      </c>
      <c r="AP70" s="460">
        <v>0</v>
      </c>
      <c r="AQ70" s="460">
        <v>0</v>
      </c>
      <c r="AR70" s="459"/>
      <c r="AS70" s="462">
        <f t="shared" si="17"/>
        <v>0</v>
      </c>
      <c r="AT70">
        <f t="shared" si="18"/>
        <v>0</v>
      </c>
      <c r="AU70" s="462" t="str">
        <f>IF(AT70=0,"",IF(AND(AT70=1,M70="F",SUMIF(C2:C391,C70,AS2:AS391)&lt;=1),SUMIF(C2:C391,C70,AS2:AS391),IF(AND(AT70=1,M70="F",SUMIF(C2:C391,C70,AS2:AS391)&gt;1),1,"")))</f>
        <v/>
      </c>
      <c r="AV70" s="462" t="str">
        <f>IF(AT70=0,"",IF(AND(AT70=3,M70="F",SUMIF(C2:C391,C70,AS2:AS391)&lt;=1),SUMIF(C2:C391,C70,AS2:AS391),IF(AND(AT70=3,M70="F",SUMIF(C2:C391,C70,AS2:AS391)&gt;1),1,"")))</f>
        <v/>
      </c>
      <c r="AW70" s="462">
        <f>SUMIF(C2:C391,C70,O2:O391)</f>
        <v>0</v>
      </c>
      <c r="AX70" s="462">
        <f>IF(AND(M70="F",AS70&lt;&gt;0),SUMIF(C2:C391,C70,W2:W391),0)</f>
        <v>0</v>
      </c>
      <c r="AY70" s="462" t="str">
        <f t="shared" si="19"/>
        <v/>
      </c>
      <c r="AZ70" s="462" t="str">
        <f t="shared" si="20"/>
        <v/>
      </c>
      <c r="BA70" s="462">
        <f t="shared" si="21"/>
        <v>0</v>
      </c>
      <c r="BB70" s="462">
        <f>IF(AND(AT70=1,AK70="E",AU70&gt;=0.75,AW70=1),Health,IF(AND(AT70=1,AK70="E",AU70&gt;=0.75),Health*P70,IF(AND(AT70=1,AK70="E",AU70&gt;=0.5,AW70=1),PTHealth,IF(AND(AT70=1,AK70="E",AU70&gt;=0.5),PTHealth*P70,0))))</f>
        <v>0</v>
      </c>
      <c r="BC70" s="462">
        <f>IF(AND(AT70=3,AK70="E",AV70&gt;=0.75,AW70=1),Health,IF(AND(AT70=3,AK70="E",AV70&gt;=0.75),Health*P70,IF(AND(AT70=3,AK70="E",AV70&gt;=0.5,AW70=1),PTHealth,IF(AND(AT70=3,AK70="E",AV70&gt;=0.5),PTHealth*P70,0))))</f>
        <v>0</v>
      </c>
      <c r="BD70" s="462">
        <f>IF(AND(AT70&lt;&gt;0,AX70&gt;=MAXSSDI),SSDI*MAXSSDI*P70,IF(AT70&lt;&gt;0,SSDI*W70,0))</f>
        <v>0</v>
      </c>
      <c r="BE70" s="462">
        <f>IF(AT70&lt;&gt;0,SSHI*W70,0)</f>
        <v>0</v>
      </c>
      <c r="BF70" s="462">
        <f>IF(AND(AT70&lt;&gt;0,AN70&lt;&gt;"NE"),VLOOKUP(AN70,Retirement_Rates,3,FALSE)*W70,0)</f>
        <v>0</v>
      </c>
      <c r="BG70" s="462">
        <f>IF(AND(AT70&lt;&gt;0,AJ70&lt;&gt;"PF"),Life*W70,0)</f>
        <v>0</v>
      </c>
      <c r="BH70" s="462">
        <f>IF(AND(AT70&lt;&gt;0,AM70="Y"),UI*W70,0)</f>
        <v>0</v>
      </c>
      <c r="BI70" s="462">
        <f>IF(AND(AT70&lt;&gt;0,N70&lt;&gt;"NR"),DHR*W70,0)</f>
        <v>0</v>
      </c>
      <c r="BJ70" s="462">
        <f>IF(AT70&lt;&gt;0,WC*W70,0)</f>
        <v>0</v>
      </c>
      <c r="BK70" s="462">
        <f>IF(OR(AND(AT70&lt;&gt;0,AJ70&lt;&gt;"PF",AN70&lt;&gt;"NE",AG70&lt;&gt;"A"),AND(AL70="E",OR(AT70=1,AT70=3))),Sick*W70,0)</f>
        <v>0</v>
      </c>
      <c r="BL70" s="462">
        <f t="shared" si="22"/>
        <v>0</v>
      </c>
      <c r="BM70" s="462">
        <f t="shared" si="23"/>
        <v>0</v>
      </c>
      <c r="BN70" s="462">
        <f>IF(AND(AT70=1,AK70="E",AU70&gt;=0.75,AW70=1),HealthBY,IF(AND(AT70=1,AK70="E",AU70&gt;=0.75),HealthBY*P70,IF(AND(AT70=1,AK70="E",AU70&gt;=0.5,AW70=1),PTHealthBY,IF(AND(AT70=1,AK70="E",AU70&gt;=0.5),PTHealthBY*P70,0))))</f>
        <v>0</v>
      </c>
      <c r="BO70" s="462">
        <f>IF(AND(AT70=3,AK70="E",AV70&gt;=0.75,AW70=1),HealthBY,IF(AND(AT70=3,AK70="E",AV70&gt;=0.75),HealthBY*P70,IF(AND(AT70=3,AK70="E",AV70&gt;=0.5,AW70=1),PTHealthBY,IF(AND(AT70=3,AK70="E",AV70&gt;=0.5),PTHealthBY*P70,0))))</f>
        <v>0</v>
      </c>
      <c r="BP70" s="462">
        <f>IF(AND(AT70&lt;&gt;0,(AX70+BA70)&gt;=MAXSSDIBY),SSDIBY*MAXSSDIBY*P70,IF(AT70&lt;&gt;0,SSDIBY*W70,0))</f>
        <v>0</v>
      </c>
      <c r="BQ70" s="462">
        <f>IF(AT70&lt;&gt;0,SSHIBY*W70,0)</f>
        <v>0</v>
      </c>
      <c r="BR70" s="462">
        <f>IF(AND(AT70&lt;&gt;0,AN70&lt;&gt;"NE"),VLOOKUP(AN70,Retirement_Rates,4,FALSE)*W70,0)</f>
        <v>0</v>
      </c>
      <c r="BS70" s="462">
        <f>IF(AND(AT70&lt;&gt;0,AJ70&lt;&gt;"PF"),LifeBY*W70,0)</f>
        <v>0</v>
      </c>
      <c r="BT70" s="462">
        <f>IF(AND(AT70&lt;&gt;0,AM70="Y"),UIBY*W70,0)</f>
        <v>0</v>
      </c>
      <c r="BU70" s="462">
        <f>IF(AND(AT70&lt;&gt;0,N70&lt;&gt;"NR"),DHRBY*W70,0)</f>
        <v>0</v>
      </c>
      <c r="BV70" s="462">
        <f>IF(AT70&lt;&gt;0,WCBY*W70,0)</f>
        <v>0</v>
      </c>
      <c r="BW70" s="462">
        <f>IF(OR(AND(AT70&lt;&gt;0,AJ70&lt;&gt;"PF",AN70&lt;&gt;"NE",AG70&lt;&gt;"A"),AND(AL70="E",OR(AT70=1,AT70=3))),SickBY*W70,0)</f>
        <v>0</v>
      </c>
      <c r="BX70" s="462">
        <f t="shared" si="24"/>
        <v>0</v>
      </c>
      <c r="BY70" s="462">
        <f t="shared" si="25"/>
        <v>0</v>
      </c>
      <c r="BZ70" s="462">
        <f t="shared" si="26"/>
        <v>0</v>
      </c>
      <c r="CA70" s="462">
        <f t="shared" si="27"/>
        <v>0</v>
      </c>
      <c r="CB70" s="462">
        <f t="shared" si="28"/>
        <v>0</v>
      </c>
      <c r="CC70" s="462">
        <f>IF(AT70&lt;&gt;0,SSHICHG*Y70,0)</f>
        <v>0</v>
      </c>
      <c r="CD70" s="462">
        <f>IF(AND(AT70&lt;&gt;0,AN70&lt;&gt;"NE"),VLOOKUP(AN70,Retirement_Rates,5,FALSE)*Y70,0)</f>
        <v>0</v>
      </c>
      <c r="CE70" s="462">
        <f>IF(AND(AT70&lt;&gt;0,AJ70&lt;&gt;"PF"),LifeCHG*Y70,0)</f>
        <v>0</v>
      </c>
      <c r="CF70" s="462">
        <f>IF(AND(AT70&lt;&gt;0,AM70="Y"),UICHG*Y70,0)</f>
        <v>0</v>
      </c>
      <c r="CG70" s="462">
        <f>IF(AND(AT70&lt;&gt;0,N70&lt;&gt;"NR"),DHRCHG*Y70,0)</f>
        <v>0</v>
      </c>
      <c r="CH70" s="462">
        <f>IF(AT70&lt;&gt;0,WCCHG*Y70,0)</f>
        <v>0</v>
      </c>
      <c r="CI70" s="462">
        <f>IF(OR(AND(AT70&lt;&gt;0,AJ70&lt;&gt;"PF",AN70&lt;&gt;"NE",AG70&lt;&gt;"A"),AND(AL70="E",OR(AT70=1,AT70=3))),SickCHG*Y70,0)</f>
        <v>0</v>
      </c>
      <c r="CJ70" s="462">
        <f t="shared" si="29"/>
        <v>0</v>
      </c>
      <c r="CK70" s="462" t="str">
        <f t="shared" si="30"/>
        <v/>
      </c>
      <c r="CL70" s="462" t="str">
        <f t="shared" si="31"/>
        <v/>
      </c>
      <c r="CM70" s="462" t="str">
        <f t="shared" si="32"/>
        <v/>
      </c>
      <c r="CN70" s="462" t="str">
        <f t="shared" si="33"/>
        <v>0247-06</v>
      </c>
    </row>
    <row r="71" spans="1:92" ht="15" thickBot="1" x14ac:dyDescent="0.35">
      <c r="A71" s="376" t="s">
        <v>161</v>
      </c>
      <c r="B71" s="376" t="s">
        <v>162</v>
      </c>
      <c r="C71" s="376" t="s">
        <v>271</v>
      </c>
      <c r="D71" s="376" t="s">
        <v>272</v>
      </c>
      <c r="E71" s="376" t="s">
        <v>416</v>
      </c>
      <c r="F71" s="382" t="s">
        <v>417</v>
      </c>
      <c r="G71" s="376" t="s">
        <v>167</v>
      </c>
      <c r="H71" s="378"/>
      <c r="I71" s="378"/>
      <c r="J71" s="376" t="s">
        <v>229</v>
      </c>
      <c r="K71" s="376" t="s">
        <v>274</v>
      </c>
      <c r="L71" s="376" t="s">
        <v>231</v>
      </c>
      <c r="M71" s="376" t="s">
        <v>171</v>
      </c>
      <c r="N71" s="376" t="s">
        <v>172</v>
      </c>
      <c r="O71" s="379">
        <v>1</v>
      </c>
      <c r="P71" s="460">
        <v>0.3</v>
      </c>
      <c r="Q71" s="460">
        <v>0.3</v>
      </c>
      <c r="R71" s="380">
        <v>80</v>
      </c>
      <c r="S71" s="460">
        <v>0.3</v>
      </c>
      <c r="T71" s="380">
        <v>14456.65</v>
      </c>
      <c r="U71" s="380">
        <v>0</v>
      </c>
      <c r="V71" s="380">
        <v>6449.37</v>
      </c>
      <c r="W71" s="380">
        <v>14445.6</v>
      </c>
      <c r="X71" s="380">
        <v>6932.6</v>
      </c>
      <c r="Y71" s="380">
        <v>14445.6</v>
      </c>
      <c r="Z71" s="380">
        <v>6974.5</v>
      </c>
      <c r="AA71" s="376" t="s">
        <v>275</v>
      </c>
      <c r="AB71" s="376" t="s">
        <v>276</v>
      </c>
      <c r="AC71" s="376" t="s">
        <v>277</v>
      </c>
      <c r="AD71" s="376" t="s">
        <v>231</v>
      </c>
      <c r="AE71" s="376" t="s">
        <v>274</v>
      </c>
      <c r="AF71" s="376" t="s">
        <v>236</v>
      </c>
      <c r="AG71" s="376" t="s">
        <v>178</v>
      </c>
      <c r="AH71" s="381">
        <v>23.15</v>
      </c>
      <c r="AI71" s="379">
        <v>17084</v>
      </c>
      <c r="AJ71" s="376" t="s">
        <v>179</v>
      </c>
      <c r="AK71" s="376" t="s">
        <v>180</v>
      </c>
      <c r="AL71" s="376" t="s">
        <v>181</v>
      </c>
      <c r="AM71" s="376" t="s">
        <v>182</v>
      </c>
      <c r="AN71" s="376" t="s">
        <v>68</v>
      </c>
      <c r="AO71" s="379">
        <v>80</v>
      </c>
      <c r="AP71" s="460">
        <v>1</v>
      </c>
      <c r="AQ71" s="460">
        <v>0.3</v>
      </c>
      <c r="AR71" s="458" t="s">
        <v>183</v>
      </c>
      <c r="AS71" s="462">
        <f t="shared" si="17"/>
        <v>0.3</v>
      </c>
      <c r="AT71">
        <f t="shared" si="18"/>
        <v>1</v>
      </c>
      <c r="AU71" s="462">
        <f>IF(AT71=0,"",IF(AND(AT71=1,M71="F",SUMIF(C2:C391,C71,AS2:AS391)&lt;=1),SUMIF(C2:C391,C71,AS2:AS391),IF(AND(AT71=1,M71="F",SUMIF(C2:C391,C71,AS2:AS391)&gt;1),1,"")))</f>
        <v>0.99999999999999989</v>
      </c>
      <c r="AV71" s="462" t="str">
        <f>IF(AT71=0,"",IF(AND(AT71=3,M71="F",SUMIF(C2:C391,C71,AS2:AS391)&lt;=1),SUMIF(C2:C391,C71,AS2:AS391),IF(AND(AT71=3,M71="F",SUMIF(C2:C391,C71,AS2:AS391)&gt;1),1,"")))</f>
        <v/>
      </c>
      <c r="AW71" s="462">
        <f>SUMIF(C2:C391,C71,O2:O391)</f>
        <v>3</v>
      </c>
      <c r="AX71" s="462">
        <f>IF(AND(M71="F",AS71&lt;&gt;0),SUMIF(C2:C391,C71,W2:W391),0)</f>
        <v>48152</v>
      </c>
      <c r="AY71" s="462">
        <f t="shared" si="19"/>
        <v>14445.6</v>
      </c>
      <c r="AZ71" s="462" t="str">
        <f t="shared" si="20"/>
        <v/>
      </c>
      <c r="BA71" s="462">
        <f t="shared" si="21"/>
        <v>0</v>
      </c>
      <c r="BB71" s="462">
        <f>IF(AND(AT71=1,AK71="E",AU71&gt;=0.75,AW71=1),Health,IF(AND(AT71=1,AK71="E",AU71&gt;=0.75),Health*P71,IF(AND(AT71=1,AK71="E",AU71&gt;=0.5,AW71=1),PTHealth,IF(AND(AT71=1,AK71="E",AU71&gt;=0.5),PTHealth*P71,0))))</f>
        <v>3495</v>
      </c>
      <c r="BC71" s="462">
        <f>IF(AND(AT71=3,AK71="E",AV71&gt;=0.75,AW71=1),Health,IF(AND(AT71=3,AK71="E",AV71&gt;=0.75),Health*P71,IF(AND(AT71=3,AK71="E",AV71&gt;=0.5,AW71=1),PTHealth,IF(AND(AT71=3,AK71="E",AV71&gt;=0.5),PTHealth*P71,0))))</f>
        <v>0</v>
      </c>
      <c r="BD71" s="462">
        <f>IF(AND(AT71&lt;&gt;0,AX71&gt;=MAXSSDI),SSDI*MAXSSDI*P71,IF(AT71&lt;&gt;0,SSDI*W71,0))</f>
        <v>895.62720000000002</v>
      </c>
      <c r="BE71" s="462">
        <f>IF(AT71&lt;&gt;0,SSHI*W71,0)</f>
        <v>209.46120000000002</v>
      </c>
      <c r="BF71" s="462">
        <f>IF(AND(AT71&lt;&gt;0,AN71&lt;&gt;"NE"),VLOOKUP(AN71,Retirement_Rates,3,FALSE)*W71,0)</f>
        <v>1724.8046400000001</v>
      </c>
      <c r="BG71" s="462">
        <f>IF(AND(AT71&lt;&gt;0,AJ71&lt;&gt;"PF"),Life*W71,0)</f>
        <v>104.152776</v>
      </c>
      <c r="BH71" s="462">
        <f>IF(AND(AT71&lt;&gt;0,AM71="Y"),UI*W71,0)</f>
        <v>70.783439999999999</v>
      </c>
      <c r="BI71" s="462">
        <f>IF(AND(AT71&lt;&gt;0,N71&lt;&gt;"NR"),DHR*W71,0)</f>
        <v>44.203536</v>
      </c>
      <c r="BJ71" s="462">
        <f>IF(AT71&lt;&gt;0,WC*W71,0)</f>
        <v>388.58663999999999</v>
      </c>
      <c r="BK71" s="462">
        <f>IF(OR(AND(AT71&lt;&gt;0,AJ71&lt;&gt;"PF",AN71&lt;&gt;"NE",AG71&lt;&gt;"A"),AND(AL71="E",OR(AT71=1,AT71=3))),Sick*W71,0)</f>
        <v>0</v>
      </c>
      <c r="BL71" s="462">
        <f t="shared" si="22"/>
        <v>3437.619432</v>
      </c>
      <c r="BM71" s="462">
        <f t="shared" si="23"/>
        <v>0</v>
      </c>
      <c r="BN71" s="462">
        <f>IF(AND(AT71=1,AK71="E",AU71&gt;=0.75,AW71=1),HealthBY,IF(AND(AT71=1,AK71="E",AU71&gt;=0.75),HealthBY*P71,IF(AND(AT71=1,AK71="E",AU71&gt;=0.5,AW71=1),PTHealthBY,IF(AND(AT71=1,AK71="E",AU71&gt;=0.5),PTHealthBY*P71,0))))</f>
        <v>3495</v>
      </c>
      <c r="BO71" s="462">
        <f>IF(AND(AT71=3,AK71="E",AV71&gt;=0.75,AW71=1),HealthBY,IF(AND(AT71=3,AK71="E",AV71&gt;=0.75),HealthBY*P71,IF(AND(AT71=3,AK71="E",AV71&gt;=0.5,AW71=1),PTHealthBY,IF(AND(AT71=3,AK71="E",AV71&gt;=0.5),PTHealthBY*P71,0))))</f>
        <v>0</v>
      </c>
      <c r="BP71" s="462">
        <f>IF(AND(AT71&lt;&gt;0,(AX71+BA71)&gt;=MAXSSDIBY),SSDIBY*MAXSSDIBY*P71,IF(AT71&lt;&gt;0,SSDIBY*W71,0))</f>
        <v>895.62720000000002</v>
      </c>
      <c r="BQ71" s="462">
        <f>IF(AT71&lt;&gt;0,SSHIBY*W71,0)</f>
        <v>209.46120000000002</v>
      </c>
      <c r="BR71" s="462">
        <f>IF(AND(AT71&lt;&gt;0,AN71&lt;&gt;"NE"),VLOOKUP(AN71,Retirement_Rates,4,FALSE)*W71,0)</f>
        <v>1724.8046400000001</v>
      </c>
      <c r="BS71" s="462">
        <f>IF(AND(AT71&lt;&gt;0,AJ71&lt;&gt;"PF"),LifeBY*W71,0)</f>
        <v>104.152776</v>
      </c>
      <c r="BT71" s="462">
        <f>IF(AND(AT71&lt;&gt;0,AM71="Y"),UIBY*W71,0)</f>
        <v>0</v>
      </c>
      <c r="BU71" s="462">
        <f>IF(AND(AT71&lt;&gt;0,N71&lt;&gt;"NR"),DHRBY*W71,0)</f>
        <v>44.203536</v>
      </c>
      <c r="BV71" s="462">
        <f>IF(AT71&lt;&gt;0,WCBY*W71,0)</f>
        <v>501.26232000000005</v>
      </c>
      <c r="BW71" s="462">
        <f>IF(OR(AND(AT71&lt;&gt;0,AJ71&lt;&gt;"PF",AN71&lt;&gt;"NE",AG71&lt;&gt;"A"),AND(AL71="E",OR(AT71=1,AT71=3))),SickBY*W71,0)</f>
        <v>0</v>
      </c>
      <c r="BX71" s="462">
        <f t="shared" si="24"/>
        <v>3479.5116719999996</v>
      </c>
      <c r="BY71" s="462">
        <f t="shared" si="25"/>
        <v>0</v>
      </c>
      <c r="BZ71" s="462">
        <f t="shared" si="26"/>
        <v>0</v>
      </c>
      <c r="CA71" s="462">
        <f t="shared" si="27"/>
        <v>0</v>
      </c>
      <c r="CB71" s="462">
        <f t="shared" si="28"/>
        <v>0</v>
      </c>
      <c r="CC71" s="462">
        <f>IF(AT71&lt;&gt;0,SSHICHG*Y71,0)</f>
        <v>0</v>
      </c>
      <c r="CD71" s="462">
        <f>IF(AND(AT71&lt;&gt;0,AN71&lt;&gt;"NE"),VLOOKUP(AN71,Retirement_Rates,5,FALSE)*Y71,0)</f>
        <v>0</v>
      </c>
      <c r="CE71" s="462">
        <f>IF(AND(AT71&lt;&gt;0,AJ71&lt;&gt;"PF"),LifeCHG*Y71,0)</f>
        <v>0</v>
      </c>
      <c r="CF71" s="462">
        <f>IF(AND(AT71&lt;&gt;0,AM71="Y"),UICHG*Y71,0)</f>
        <v>-70.783439999999999</v>
      </c>
      <c r="CG71" s="462">
        <f>IF(AND(AT71&lt;&gt;0,N71&lt;&gt;"NR"),DHRCHG*Y71,0)</f>
        <v>0</v>
      </c>
      <c r="CH71" s="462">
        <f>IF(AT71&lt;&gt;0,WCCHG*Y71,0)</f>
        <v>112.67568000000003</v>
      </c>
      <c r="CI71" s="462">
        <f>IF(OR(AND(AT71&lt;&gt;0,AJ71&lt;&gt;"PF",AN71&lt;&gt;"NE",AG71&lt;&gt;"A"),AND(AL71="E",OR(AT71=1,AT71=3))),SickCHG*Y71,0)</f>
        <v>0</v>
      </c>
      <c r="CJ71" s="462">
        <f t="shared" si="29"/>
        <v>41.892240000000029</v>
      </c>
      <c r="CK71" s="462" t="str">
        <f t="shared" si="30"/>
        <v/>
      </c>
      <c r="CL71" s="462" t="str">
        <f t="shared" si="31"/>
        <v/>
      </c>
      <c r="CM71" s="462" t="str">
        <f t="shared" si="32"/>
        <v/>
      </c>
      <c r="CN71" s="462" t="str">
        <f t="shared" si="33"/>
        <v>0247-06</v>
      </c>
    </row>
    <row r="72" spans="1:92" ht="15" thickBot="1" x14ac:dyDescent="0.35">
      <c r="A72" s="376" t="s">
        <v>161</v>
      </c>
      <c r="B72" s="376" t="s">
        <v>162</v>
      </c>
      <c r="C72" s="376" t="s">
        <v>287</v>
      </c>
      <c r="D72" s="376" t="s">
        <v>288</v>
      </c>
      <c r="E72" s="376" t="s">
        <v>416</v>
      </c>
      <c r="F72" s="382" t="s">
        <v>417</v>
      </c>
      <c r="G72" s="376" t="s">
        <v>167</v>
      </c>
      <c r="H72" s="378"/>
      <c r="I72" s="378"/>
      <c r="J72" s="376" t="s">
        <v>229</v>
      </c>
      <c r="K72" s="376" t="s">
        <v>289</v>
      </c>
      <c r="L72" s="376" t="s">
        <v>215</v>
      </c>
      <c r="M72" s="376" t="s">
        <v>171</v>
      </c>
      <c r="N72" s="376" t="s">
        <v>172</v>
      </c>
      <c r="O72" s="379">
        <v>1</v>
      </c>
      <c r="P72" s="460">
        <v>0.4</v>
      </c>
      <c r="Q72" s="460">
        <v>0.4</v>
      </c>
      <c r="R72" s="380">
        <v>80</v>
      </c>
      <c r="S72" s="460">
        <v>0.4</v>
      </c>
      <c r="T72" s="380">
        <v>38822.74</v>
      </c>
      <c r="U72" s="380">
        <v>0</v>
      </c>
      <c r="V72" s="380">
        <v>12650.79</v>
      </c>
      <c r="W72" s="380">
        <v>38546.559999999998</v>
      </c>
      <c r="X72" s="380">
        <v>13832.91</v>
      </c>
      <c r="Y72" s="380">
        <v>38546.559999999998</v>
      </c>
      <c r="Z72" s="380">
        <v>13944.7</v>
      </c>
      <c r="AA72" s="376" t="s">
        <v>290</v>
      </c>
      <c r="AB72" s="376" t="s">
        <v>291</v>
      </c>
      <c r="AC72" s="376" t="s">
        <v>292</v>
      </c>
      <c r="AD72" s="376" t="s">
        <v>231</v>
      </c>
      <c r="AE72" s="376" t="s">
        <v>289</v>
      </c>
      <c r="AF72" s="376" t="s">
        <v>219</v>
      </c>
      <c r="AG72" s="376" t="s">
        <v>178</v>
      </c>
      <c r="AH72" s="381">
        <v>46.33</v>
      </c>
      <c r="AI72" s="379">
        <v>31960</v>
      </c>
      <c r="AJ72" s="376" t="s">
        <v>179</v>
      </c>
      <c r="AK72" s="376" t="s">
        <v>180</v>
      </c>
      <c r="AL72" s="376" t="s">
        <v>181</v>
      </c>
      <c r="AM72" s="376" t="s">
        <v>182</v>
      </c>
      <c r="AN72" s="376" t="s">
        <v>68</v>
      </c>
      <c r="AO72" s="379">
        <v>80</v>
      </c>
      <c r="AP72" s="460">
        <v>1</v>
      </c>
      <c r="AQ72" s="460">
        <v>0.4</v>
      </c>
      <c r="AR72" s="458" t="s">
        <v>183</v>
      </c>
      <c r="AS72" s="462">
        <f t="shared" si="17"/>
        <v>0.4</v>
      </c>
      <c r="AT72">
        <f t="shared" si="18"/>
        <v>1</v>
      </c>
      <c r="AU72" s="462">
        <f>IF(AT72=0,"",IF(AND(AT72=1,M72="F",SUMIF(C2:C391,C72,AS2:AS391)&lt;=1),SUMIF(C2:C391,C72,AS2:AS391),IF(AND(AT72=1,M72="F",SUMIF(C2:C391,C72,AS2:AS391)&gt;1),1,"")))</f>
        <v>1</v>
      </c>
      <c r="AV72" s="462" t="str">
        <f>IF(AT72=0,"",IF(AND(AT72=3,M72="F",SUMIF(C2:C391,C72,AS2:AS391)&lt;=1),SUMIF(C2:C391,C72,AS2:AS391),IF(AND(AT72=3,M72="F",SUMIF(C2:C391,C72,AS2:AS391)&gt;1),1,"")))</f>
        <v/>
      </c>
      <c r="AW72" s="462">
        <f>SUMIF(C2:C391,C72,O2:O391)</f>
        <v>3</v>
      </c>
      <c r="AX72" s="462">
        <f>IF(AND(M72="F",AS72&lt;&gt;0),SUMIF(C2:C391,C72,W2:W391),0)</f>
        <v>96366.399999999994</v>
      </c>
      <c r="AY72" s="462">
        <f t="shared" si="19"/>
        <v>38546.559999999998</v>
      </c>
      <c r="AZ72" s="462" t="str">
        <f t="shared" si="20"/>
        <v/>
      </c>
      <c r="BA72" s="462">
        <f t="shared" si="21"/>
        <v>0</v>
      </c>
      <c r="BB72" s="462">
        <f>IF(AND(AT72=1,AK72="E",AU72&gt;=0.75,AW72=1),Health,IF(AND(AT72=1,AK72="E",AU72&gt;=0.75),Health*P72,IF(AND(AT72=1,AK72="E",AU72&gt;=0.5,AW72=1),PTHealth,IF(AND(AT72=1,AK72="E",AU72&gt;=0.5),PTHealth*P72,0))))</f>
        <v>4660</v>
      </c>
      <c r="BC72" s="462">
        <f>IF(AND(AT72=3,AK72="E",AV72&gt;=0.75,AW72=1),Health,IF(AND(AT72=3,AK72="E",AV72&gt;=0.75),Health*P72,IF(AND(AT72=3,AK72="E",AV72&gt;=0.5,AW72=1),PTHealth,IF(AND(AT72=3,AK72="E",AV72&gt;=0.5),PTHealth*P72,0))))</f>
        <v>0</v>
      </c>
      <c r="BD72" s="462">
        <f>IF(AND(AT72&lt;&gt;0,AX72&gt;=MAXSSDI),SSDI*MAXSSDI*P72,IF(AT72&lt;&gt;0,SSDI*W72,0))</f>
        <v>2389.88672</v>
      </c>
      <c r="BE72" s="462">
        <f>IF(AT72&lt;&gt;0,SSHI*W72,0)</f>
        <v>558.92511999999999</v>
      </c>
      <c r="BF72" s="462">
        <f>IF(AND(AT72&lt;&gt;0,AN72&lt;&gt;"NE"),VLOOKUP(AN72,Retirement_Rates,3,FALSE)*W72,0)</f>
        <v>4602.4592640000001</v>
      </c>
      <c r="BG72" s="462">
        <f>IF(AND(AT72&lt;&gt;0,AJ72&lt;&gt;"PF"),Life*W72,0)</f>
        <v>277.92069759999998</v>
      </c>
      <c r="BH72" s="462">
        <f>IF(AND(AT72&lt;&gt;0,AM72="Y"),UI*W72,0)</f>
        <v>188.87814399999999</v>
      </c>
      <c r="BI72" s="462">
        <f>IF(AND(AT72&lt;&gt;0,N72&lt;&gt;"NR"),DHR*W72,0)</f>
        <v>117.95247359999999</v>
      </c>
      <c r="BJ72" s="462">
        <f>IF(AT72&lt;&gt;0,WC*W72,0)</f>
        <v>1036.902464</v>
      </c>
      <c r="BK72" s="462">
        <f>IF(OR(AND(AT72&lt;&gt;0,AJ72&lt;&gt;"PF",AN72&lt;&gt;"NE",AG72&lt;&gt;"A"),AND(AL72="E",OR(AT72=1,AT72=3))),Sick*W72,0)</f>
        <v>0</v>
      </c>
      <c r="BL72" s="462">
        <f t="shared" si="22"/>
        <v>9172.9248831999994</v>
      </c>
      <c r="BM72" s="462">
        <f t="shared" si="23"/>
        <v>0</v>
      </c>
      <c r="BN72" s="462">
        <f>IF(AND(AT72=1,AK72="E",AU72&gt;=0.75,AW72=1),HealthBY,IF(AND(AT72=1,AK72="E",AU72&gt;=0.75),HealthBY*P72,IF(AND(AT72=1,AK72="E",AU72&gt;=0.5,AW72=1),PTHealthBY,IF(AND(AT72=1,AK72="E",AU72&gt;=0.5),PTHealthBY*P72,0))))</f>
        <v>4660</v>
      </c>
      <c r="BO72" s="462">
        <f>IF(AND(AT72=3,AK72="E",AV72&gt;=0.75,AW72=1),HealthBY,IF(AND(AT72=3,AK72="E",AV72&gt;=0.75),HealthBY*P72,IF(AND(AT72=3,AK72="E",AV72&gt;=0.5,AW72=1),PTHealthBY,IF(AND(AT72=3,AK72="E",AV72&gt;=0.5),PTHealthBY*P72,0))))</f>
        <v>0</v>
      </c>
      <c r="BP72" s="462">
        <f>IF(AND(AT72&lt;&gt;0,(AX72+BA72)&gt;=MAXSSDIBY),SSDIBY*MAXSSDIBY*P72,IF(AT72&lt;&gt;0,SSDIBY*W72,0))</f>
        <v>2389.88672</v>
      </c>
      <c r="BQ72" s="462">
        <f>IF(AT72&lt;&gt;0,SSHIBY*W72,0)</f>
        <v>558.92511999999999</v>
      </c>
      <c r="BR72" s="462">
        <f>IF(AND(AT72&lt;&gt;0,AN72&lt;&gt;"NE"),VLOOKUP(AN72,Retirement_Rates,4,FALSE)*W72,0)</f>
        <v>4602.4592640000001</v>
      </c>
      <c r="BS72" s="462">
        <f>IF(AND(AT72&lt;&gt;0,AJ72&lt;&gt;"PF"),LifeBY*W72,0)</f>
        <v>277.92069759999998</v>
      </c>
      <c r="BT72" s="462">
        <f>IF(AND(AT72&lt;&gt;0,AM72="Y"),UIBY*W72,0)</f>
        <v>0</v>
      </c>
      <c r="BU72" s="462">
        <f>IF(AND(AT72&lt;&gt;0,N72&lt;&gt;"NR"),DHRBY*W72,0)</f>
        <v>117.95247359999999</v>
      </c>
      <c r="BV72" s="462">
        <f>IF(AT72&lt;&gt;0,WCBY*W72,0)</f>
        <v>1337.5656320000001</v>
      </c>
      <c r="BW72" s="462">
        <f>IF(OR(AND(AT72&lt;&gt;0,AJ72&lt;&gt;"PF",AN72&lt;&gt;"NE",AG72&lt;&gt;"A"),AND(AL72="E",OR(AT72=1,AT72=3))),SickBY*W72,0)</f>
        <v>0</v>
      </c>
      <c r="BX72" s="462">
        <f t="shared" si="24"/>
        <v>9284.7099072000001</v>
      </c>
      <c r="BY72" s="462">
        <f t="shared" si="25"/>
        <v>0</v>
      </c>
      <c r="BZ72" s="462">
        <f t="shared" si="26"/>
        <v>0</v>
      </c>
      <c r="CA72" s="462">
        <f t="shared" si="27"/>
        <v>0</v>
      </c>
      <c r="CB72" s="462">
        <f t="shared" si="28"/>
        <v>0</v>
      </c>
      <c r="CC72" s="462">
        <f>IF(AT72&lt;&gt;0,SSHICHG*Y72,0)</f>
        <v>0</v>
      </c>
      <c r="CD72" s="462">
        <f>IF(AND(AT72&lt;&gt;0,AN72&lt;&gt;"NE"),VLOOKUP(AN72,Retirement_Rates,5,FALSE)*Y72,0)</f>
        <v>0</v>
      </c>
      <c r="CE72" s="462">
        <f>IF(AND(AT72&lt;&gt;0,AJ72&lt;&gt;"PF"),LifeCHG*Y72,0)</f>
        <v>0</v>
      </c>
      <c r="CF72" s="462">
        <f>IF(AND(AT72&lt;&gt;0,AM72="Y"),UICHG*Y72,0)</f>
        <v>-188.87814399999999</v>
      </c>
      <c r="CG72" s="462">
        <f>IF(AND(AT72&lt;&gt;0,N72&lt;&gt;"NR"),DHRCHG*Y72,0)</f>
        <v>0</v>
      </c>
      <c r="CH72" s="462">
        <f>IF(AT72&lt;&gt;0,WCCHG*Y72,0)</f>
        <v>300.66316800000004</v>
      </c>
      <c r="CI72" s="462">
        <f>IF(OR(AND(AT72&lt;&gt;0,AJ72&lt;&gt;"PF",AN72&lt;&gt;"NE",AG72&lt;&gt;"A"),AND(AL72="E",OR(AT72=1,AT72=3))),SickCHG*Y72,0)</f>
        <v>0</v>
      </c>
      <c r="CJ72" s="462">
        <f t="shared" si="29"/>
        <v>111.78502400000005</v>
      </c>
      <c r="CK72" s="462" t="str">
        <f t="shared" si="30"/>
        <v/>
      </c>
      <c r="CL72" s="462" t="str">
        <f t="shared" si="31"/>
        <v/>
      </c>
      <c r="CM72" s="462" t="str">
        <f t="shared" si="32"/>
        <v/>
      </c>
      <c r="CN72" s="462" t="str">
        <f t="shared" si="33"/>
        <v>0247-06</v>
      </c>
    </row>
    <row r="73" spans="1:92" ht="15" thickBot="1" x14ac:dyDescent="0.35">
      <c r="A73" s="376" t="s">
        <v>161</v>
      </c>
      <c r="B73" s="376" t="s">
        <v>162</v>
      </c>
      <c r="C73" s="376" t="s">
        <v>293</v>
      </c>
      <c r="D73" s="376" t="s">
        <v>294</v>
      </c>
      <c r="E73" s="376" t="s">
        <v>416</v>
      </c>
      <c r="F73" s="382" t="s">
        <v>417</v>
      </c>
      <c r="G73" s="376" t="s">
        <v>167</v>
      </c>
      <c r="H73" s="378"/>
      <c r="I73" s="378"/>
      <c r="J73" s="376" t="s">
        <v>229</v>
      </c>
      <c r="K73" s="376" t="s">
        <v>295</v>
      </c>
      <c r="L73" s="376" t="s">
        <v>166</v>
      </c>
      <c r="M73" s="376" t="s">
        <v>171</v>
      </c>
      <c r="N73" s="376" t="s">
        <v>296</v>
      </c>
      <c r="O73" s="379">
        <v>1</v>
      </c>
      <c r="P73" s="460">
        <v>0.3</v>
      </c>
      <c r="Q73" s="460">
        <v>0.3</v>
      </c>
      <c r="R73" s="380">
        <v>80</v>
      </c>
      <c r="S73" s="460">
        <v>0.3</v>
      </c>
      <c r="T73" s="380">
        <v>28649.82</v>
      </c>
      <c r="U73" s="380">
        <v>0</v>
      </c>
      <c r="V73" s="380">
        <v>7885.79</v>
      </c>
      <c r="W73" s="380">
        <v>42843.839999999997</v>
      </c>
      <c r="X73" s="380">
        <v>13559.2</v>
      </c>
      <c r="Y73" s="380">
        <v>42843.839999999997</v>
      </c>
      <c r="Z73" s="380">
        <v>13683.45</v>
      </c>
      <c r="AA73" s="376" t="s">
        <v>297</v>
      </c>
      <c r="AB73" s="376" t="s">
        <v>298</v>
      </c>
      <c r="AC73" s="376" t="s">
        <v>299</v>
      </c>
      <c r="AD73" s="376" t="s">
        <v>180</v>
      </c>
      <c r="AE73" s="376" t="s">
        <v>295</v>
      </c>
      <c r="AF73" s="376" t="s">
        <v>300</v>
      </c>
      <c r="AG73" s="376" t="s">
        <v>178</v>
      </c>
      <c r="AH73" s="381">
        <v>68.66</v>
      </c>
      <c r="AI73" s="381">
        <v>12037.4</v>
      </c>
      <c r="AJ73" s="376" t="s">
        <v>179</v>
      </c>
      <c r="AK73" s="376" t="s">
        <v>180</v>
      </c>
      <c r="AL73" s="376" t="s">
        <v>181</v>
      </c>
      <c r="AM73" s="376" t="s">
        <v>182</v>
      </c>
      <c r="AN73" s="376" t="s">
        <v>68</v>
      </c>
      <c r="AO73" s="379">
        <v>80</v>
      </c>
      <c r="AP73" s="460">
        <v>1</v>
      </c>
      <c r="AQ73" s="460">
        <v>0.3</v>
      </c>
      <c r="AR73" s="458" t="s">
        <v>183</v>
      </c>
      <c r="AS73" s="462">
        <f t="shared" si="17"/>
        <v>0.3</v>
      </c>
      <c r="AT73">
        <f t="shared" si="18"/>
        <v>1</v>
      </c>
      <c r="AU73" s="462">
        <f>IF(AT73=0,"",IF(AND(AT73=1,M73="F",SUMIF(C2:C391,C73,AS2:AS391)&lt;=1),SUMIF(C2:C391,C73,AS2:AS391),IF(AND(AT73=1,M73="F",SUMIF(C2:C391,C73,AS2:AS391)&gt;1),1,"")))</f>
        <v>0.99999999999999989</v>
      </c>
      <c r="AV73" s="462" t="str">
        <f>IF(AT73=0,"",IF(AND(AT73=3,M73="F",SUMIF(C2:C391,C73,AS2:AS391)&lt;=1),SUMIF(C2:C391,C73,AS2:AS391),IF(AND(AT73=3,M73="F",SUMIF(C2:C391,C73,AS2:AS391)&gt;1),1,"")))</f>
        <v/>
      </c>
      <c r="AW73" s="462">
        <f>SUMIF(C2:C391,C73,O2:O391)</f>
        <v>3</v>
      </c>
      <c r="AX73" s="462">
        <f>IF(AND(M73="F",AS73&lt;&gt;0),SUMIF(C2:C391,C73,W2:W391),0)</f>
        <v>142812.79999999999</v>
      </c>
      <c r="AY73" s="462">
        <f t="shared" si="19"/>
        <v>42843.839999999997</v>
      </c>
      <c r="AZ73" s="462" t="str">
        <f t="shared" si="20"/>
        <v/>
      </c>
      <c r="BA73" s="462">
        <f t="shared" si="21"/>
        <v>0</v>
      </c>
      <c r="BB73" s="462">
        <f>IF(AND(AT73=1,AK73="E",AU73&gt;=0.75,AW73=1),Health,IF(AND(AT73=1,AK73="E",AU73&gt;=0.75),Health*P73,IF(AND(AT73=1,AK73="E",AU73&gt;=0.5,AW73=1),PTHealth,IF(AND(AT73=1,AK73="E",AU73&gt;=0.5),PTHealth*P73,0))))</f>
        <v>3495</v>
      </c>
      <c r="BC73" s="462">
        <f>IF(AND(AT73=3,AK73="E",AV73&gt;=0.75,AW73=1),Health,IF(AND(AT73=3,AK73="E",AV73&gt;=0.75),Health*P73,IF(AND(AT73=3,AK73="E",AV73&gt;=0.5,AW73=1),PTHealth,IF(AND(AT73=3,AK73="E",AV73&gt;=0.5),PTHealth*P73,0))))</f>
        <v>0</v>
      </c>
      <c r="BD73" s="462">
        <f>IF(AND(AT73&lt;&gt;0,AX73&gt;=MAXSSDI),SSDI*MAXSSDI*P73,IF(AT73&lt;&gt;0,SSDI*W73,0))</f>
        <v>2561.2199999999998</v>
      </c>
      <c r="BE73" s="462">
        <f>IF(AT73&lt;&gt;0,SSHI*W73,0)</f>
        <v>621.23568</v>
      </c>
      <c r="BF73" s="462">
        <f>IF(AND(AT73&lt;&gt;0,AN73&lt;&gt;"NE"),VLOOKUP(AN73,Retirement_Rates,3,FALSE)*W73,0)</f>
        <v>5115.5544959999997</v>
      </c>
      <c r="BG73" s="462">
        <f>IF(AND(AT73&lt;&gt;0,AJ73&lt;&gt;"PF"),Life*W73,0)</f>
        <v>308.90408639999998</v>
      </c>
      <c r="BH73" s="462">
        <f>IF(AND(AT73&lt;&gt;0,AM73="Y"),UI*W73,0)</f>
        <v>209.93481599999998</v>
      </c>
      <c r="BI73" s="462">
        <f>IF(AND(AT73&lt;&gt;0,N73&lt;&gt;"NR"),DHR*W73,0)</f>
        <v>0</v>
      </c>
      <c r="BJ73" s="462">
        <f>IF(AT73&lt;&gt;0,WC*W73,0)</f>
        <v>1152.499296</v>
      </c>
      <c r="BK73" s="462">
        <f>IF(OR(AND(AT73&lt;&gt;0,AJ73&lt;&gt;"PF",AN73&lt;&gt;"NE",AG73&lt;&gt;"A"),AND(AL73="E",OR(AT73=1,AT73=3))),Sick*W73,0)</f>
        <v>0</v>
      </c>
      <c r="BL73" s="462">
        <f t="shared" si="22"/>
        <v>9969.3483744000005</v>
      </c>
      <c r="BM73" s="462">
        <f t="shared" si="23"/>
        <v>0</v>
      </c>
      <c r="BN73" s="462">
        <f>IF(AND(AT73=1,AK73="E",AU73&gt;=0.75,AW73=1),HealthBY,IF(AND(AT73=1,AK73="E",AU73&gt;=0.75),HealthBY*P73,IF(AND(AT73=1,AK73="E",AU73&gt;=0.5,AW73=1),PTHealthBY,IF(AND(AT73=1,AK73="E",AU73&gt;=0.5),PTHealthBY*P73,0))))</f>
        <v>3495</v>
      </c>
      <c r="BO73" s="462">
        <f>IF(AND(AT73=3,AK73="E",AV73&gt;=0.75,AW73=1),HealthBY,IF(AND(AT73=3,AK73="E",AV73&gt;=0.75),HealthBY*P73,IF(AND(AT73=3,AK73="E",AV73&gt;=0.5,AW73=1),PTHealthBY,IF(AND(AT73=3,AK73="E",AV73&gt;=0.5),PTHealthBY*P73,0))))</f>
        <v>0</v>
      </c>
      <c r="BP73" s="462">
        <f>IF(AND(AT73&lt;&gt;0,(AX73+BA73)&gt;=MAXSSDIBY),SSDIBY*MAXSSDIBY*P73,IF(AT73&lt;&gt;0,SSDIBY*W73,0))</f>
        <v>2656.08</v>
      </c>
      <c r="BQ73" s="462">
        <f>IF(AT73&lt;&gt;0,SSHIBY*W73,0)</f>
        <v>621.23568</v>
      </c>
      <c r="BR73" s="462">
        <f>IF(AND(AT73&lt;&gt;0,AN73&lt;&gt;"NE"),VLOOKUP(AN73,Retirement_Rates,4,FALSE)*W73,0)</f>
        <v>5115.5544959999997</v>
      </c>
      <c r="BS73" s="462">
        <f>IF(AND(AT73&lt;&gt;0,AJ73&lt;&gt;"PF"),LifeBY*W73,0)</f>
        <v>308.90408639999998</v>
      </c>
      <c r="BT73" s="462">
        <f>IF(AND(AT73&lt;&gt;0,AM73="Y"),UIBY*W73,0)</f>
        <v>0</v>
      </c>
      <c r="BU73" s="462">
        <f>IF(AND(AT73&lt;&gt;0,N73&lt;&gt;"NR"),DHRBY*W73,0)</f>
        <v>0</v>
      </c>
      <c r="BV73" s="462">
        <f>IF(AT73&lt;&gt;0,WCBY*W73,0)</f>
        <v>1486.6812479999999</v>
      </c>
      <c r="BW73" s="462">
        <f>IF(OR(AND(AT73&lt;&gt;0,AJ73&lt;&gt;"PF",AN73&lt;&gt;"NE",AG73&lt;&gt;"A"),AND(AL73="E",OR(AT73=1,AT73=3))),SickBY*W73,0)</f>
        <v>0</v>
      </c>
      <c r="BX73" s="462">
        <f t="shared" si="24"/>
        <v>10188.455510399999</v>
      </c>
      <c r="BY73" s="462">
        <f t="shared" si="25"/>
        <v>0</v>
      </c>
      <c r="BZ73" s="462">
        <f t="shared" si="26"/>
        <v>0</v>
      </c>
      <c r="CA73" s="462">
        <f t="shared" si="27"/>
        <v>0</v>
      </c>
      <c r="CB73" s="462">
        <f t="shared" si="28"/>
        <v>94.860000000000127</v>
      </c>
      <c r="CC73" s="462">
        <f>IF(AT73&lt;&gt;0,SSHICHG*Y73,0)</f>
        <v>0</v>
      </c>
      <c r="CD73" s="462">
        <f>IF(AND(AT73&lt;&gt;0,AN73&lt;&gt;"NE"),VLOOKUP(AN73,Retirement_Rates,5,FALSE)*Y73,0)</f>
        <v>0</v>
      </c>
      <c r="CE73" s="462">
        <f>IF(AND(AT73&lt;&gt;0,AJ73&lt;&gt;"PF"),LifeCHG*Y73,0)</f>
        <v>0</v>
      </c>
      <c r="CF73" s="462">
        <f>IF(AND(AT73&lt;&gt;0,AM73="Y"),UICHG*Y73,0)</f>
        <v>-209.93481599999998</v>
      </c>
      <c r="CG73" s="462">
        <f>IF(AND(AT73&lt;&gt;0,N73&lt;&gt;"NR"),DHRCHG*Y73,0)</f>
        <v>0</v>
      </c>
      <c r="CH73" s="462">
        <f>IF(AT73&lt;&gt;0,WCCHG*Y73,0)</f>
        <v>334.18195200000002</v>
      </c>
      <c r="CI73" s="462">
        <f>IF(OR(AND(AT73&lt;&gt;0,AJ73&lt;&gt;"PF",AN73&lt;&gt;"NE",AG73&lt;&gt;"A"),AND(AL73="E",OR(AT73=1,AT73=3))),SickCHG*Y73,0)</f>
        <v>0</v>
      </c>
      <c r="CJ73" s="462">
        <f t="shared" si="29"/>
        <v>219.10713600000017</v>
      </c>
      <c r="CK73" s="462" t="str">
        <f t="shared" si="30"/>
        <v/>
      </c>
      <c r="CL73" s="462" t="str">
        <f t="shared" si="31"/>
        <v/>
      </c>
      <c r="CM73" s="462" t="str">
        <f t="shared" si="32"/>
        <v/>
      </c>
      <c r="CN73" s="462" t="str">
        <f t="shared" si="33"/>
        <v>0247-06</v>
      </c>
    </row>
    <row r="74" spans="1:92" ht="15" thickBot="1" x14ac:dyDescent="0.35">
      <c r="A74" s="376" t="s">
        <v>161</v>
      </c>
      <c r="B74" s="376" t="s">
        <v>162</v>
      </c>
      <c r="C74" s="376" t="s">
        <v>335</v>
      </c>
      <c r="D74" s="376" t="s">
        <v>238</v>
      </c>
      <c r="E74" s="376" t="s">
        <v>416</v>
      </c>
      <c r="F74" s="382" t="s">
        <v>417</v>
      </c>
      <c r="G74" s="376" t="s">
        <v>167</v>
      </c>
      <c r="H74" s="378"/>
      <c r="I74" s="378"/>
      <c r="J74" s="376" t="s">
        <v>229</v>
      </c>
      <c r="K74" s="376" t="s">
        <v>336</v>
      </c>
      <c r="L74" s="376" t="s">
        <v>195</v>
      </c>
      <c r="M74" s="376" t="s">
        <v>225</v>
      </c>
      <c r="N74" s="376" t="s">
        <v>172</v>
      </c>
      <c r="O74" s="379">
        <v>0</v>
      </c>
      <c r="P74" s="460">
        <v>0.3</v>
      </c>
      <c r="Q74" s="460">
        <v>0.3</v>
      </c>
      <c r="R74" s="380">
        <v>80</v>
      </c>
      <c r="S74" s="460">
        <v>0.3</v>
      </c>
      <c r="T74" s="380">
        <v>17080.11</v>
      </c>
      <c r="U74" s="380">
        <v>0</v>
      </c>
      <c r="V74" s="380">
        <v>6607.14</v>
      </c>
      <c r="W74" s="380">
        <v>16043.04</v>
      </c>
      <c r="X74" s="380">
        <v>7026.84</v>
      </c>
      <c r="Y74" s="380">
        <v>16043.04</v>
      </c>
      <c r="Z74" s="380">
        <v>6946.63</v>
      </c>
      <c r="AA74" s="378"/>
      <c r="AB74" s="376" t="s">
        <v>45</v>
      </c>
      <c r="AC74" s="376" t="s">
        <v>45</v>
      </c>
      <c r="AD74" s="378"/>
      <c r="AE74" s="378"/>
      <c r="AF74" s="378"/>
      <c r="AG74" s="378"/>
      <c r="AH74" s="379">
        <v>0</v>
      </c>
      <c r="AI74" s="379">
        <v>0</v>
      </c>
      <c r="AJ74" s="378"/>
      <c r="AK74" s="378"/>
      <c r="AL74" s="376" t="s">
        <v>181</v>
      </c>
      <c r="AM74" s="378"/>
      <c r="AN74" s="378"/>
      <c r="AO74" s="379">
        <v>0</v>
      </c>
      <c r="AP74" s="460">
        <v>0</v>
      </c>
      <c r="AQ74" s="460">
        <v>0</v>
      </c>
      <c r="AR74" s="459"/>
      <c r="AS74" s="462">
        <f t="shared" si="17"/>
        <v>0</v>
      </c>
      <c r="AT74">
        <f t="shared" si="18"/>
        <v>0</v>
      </c>
      <c r="AU74" s="462" t="str">
        <f>IF(AT74=0,"",IF(AND(AT74=1,M74="F",SUMIF(C2:C391,C74,AS2:AS391)&lt;=1),SUMIF(C2:C391,C74,AS2:AS391),IF(AND(AT74=1,M74="F",SUMIF(C2:C391,C74,AS2:AS391)&gt;1),1,"")))</f>
        <v/>
      </c>
      <c r="AV74" s="462" t="str">
        <f>IF(AT74=0,"",IF(AND(AT74=3,M74="F",SUMIF(C2:C391,C74,AS2:AS391)&lt;=1),SUMIF(C2:C391,C74,AS2:AS391),IF(AND(AT74=3,M74="F",SUMIF(C2:C391,C74,AS2:AS391)&gt;1),1,"")))</f>
        <v/>
      </c>
      <c r="AW74" s="462">
        <f>SUMIF(C2:C391,C74,O2:O391)</f>
        <v>0</v>
      </c>
      <c r="AX74" s="462">
        <f>IF(AND(M74="F",AS74&lt;&gt;0),SUMIF(C2:C391,C74,W2:W391),0)</f>
        <v>0</v>
      </c>
      <c r="AY74" s="462" t="str">
        <f t="shared" si="19"/>
        <v/>
      </c>
      <c r="AZ74" s="462" t="str">
        <f t="shared" si="20"/>
        <v/>
      </c>
      <c r="BA74" s="462">
        <f t="shared" si="21"/>
        <v>0</v>
      </c>
      <c r="BB74" s="462">
        <f>IF(AND(AT74=1,AK74="E",AU74&gt;=0.75,AW74=1),Health,IF(AND(AT74=1,AK74="E",AU74&gt;=0.75),Health*P74,IF(AND(AT74=1,AK74="E",AU74&gt;=0.5,AW74=1),PTHealth,IF(AND(AT74=1,AK74="E",AU74&gt;=0.5),PTHealth*P74,0))))</f>
        <v>0</v>
      </c>
      <c r="BC74" s="462">
        <f>IF(AND(AT74=3,AK74="E",AV74&gt;=0.75,AW74=1),Health,IF(AND(AT74=3,AK74="E",AV74&gt;=0.75),Health*P74,IF(AND(AT74=3,AK74="E",AV74&gt;=0.5,AW74=1),PTHealth,IF(AND(AT74=3,AK74="E",AV74&gt;=0.5),PTHealth*P74,0))))</f>
        <v>0</v>
      </c>
      <c r="BD74" s="462">
        <f>IF(AND(AT74&lt;&gt;0,AX74&gt;=MAXSSDI),SSDI*MAXSSDI*P74,IF(AT74&lt;&gt;0,SSDI*W74,0))</f>
        <v>0</v>
      </c>
      <c r="BE74" s="462">
        <f>IF(AT74&lt;&gt;0,SSHI*W74,0)</f>
        <v>0</v>
      </c>
      <c r="BF74" s="462">
        <f>IF(AND(AT74&lt;&gt;0,AN74&lt;&gt;"NE"),VLOOKUP(AN74,Retirement_Rates,3,FALSE)*W74,0)</f>
        <v>0</v>
      </c>
      <c r="BG74" s="462">
        <f>IF(AND(AT74&lt;&gt;0,AJ74&lt;&gt;"PF"),Life*W74,0)</f>
        <v>0</v>
      </c>
      <c r="BH74" s="462">
        <f>IF(AND(AT74&lt;&gt;0,AM74="Y"),UI*W74,0)</f>
        <v>0</v>
      </c>
      <c r="BI74" s="462">
        <f>IF(AND(AT74&lt;&gt;0,N74&lt;&gt;"NR"),DHR*W74,0)</f>
        <v>0</v>
      </c>
      <c r="BJ74" s="462">
        <f>IF(AT74&lt;&gt;0,WC*W74,0)</f>
        <v>0</v>
      </c>
      <c r="BK74" s="462">
        <f>IF(OR(AND(AT74&lt;&gt;0,AJ74&lt;&gt;"PF",AN74&lt;&gt;"NE",AG74&lt;&gt;"A"),AND(AL74="E",OR(AT74=1,AT74=3))),Sick*W74,0)</f>
        <v>0</v>
      </c>
      <c r="BL74" s="462">
        <f t="shared" si="22"/>
        <v>0</v>
      </c>
      <c r="BM74" s="462">
        <f t="shared" si="23"/>
        <v>0</v>
      </c>
      <c r="BN74" s="462">
        <f>IF(AND(AT74=1,AK74="E",AU74&gt;=0.75,AW74=1),HealthBY,IF(AND(AT74=1,AK74="E",AU74&gt;=0.75),HealthBY*P74,IF(AND(AT74=1,AK74="E",AU74&gt;=0.5,AW74=1),PTHealthBY,IF(AND(AT74=1,AK74="E",AU74&gt;=0.5),PTHealthBY*P74,0))))</f>
        <v>0</v>
      </c>
      <c r="BO74" s="462">
        <f>IF(AND(AT74=3,AK74="E",AV74&gt;=0.75,AW74=1),HealthBY,IF(AND(AT74=3,AK74="E",AV74&gt;=0.75),HealthBY*P74,IF(AND(AT74=3,AK74="E",AV74&gt;=0.5,AW74=1),PTHealthBY,IF(AND(AT74=3,AK74="E",AV74&gt;=0.5),PTHealthBY*P74,0))))</f>
        <v>0</v>
      </c>
      <c r="BP74" s="462">
        <f>IF(AND(AT74&lt;&gt;0,(AX74+BA74)&gt;=MAXSSDIBY),SSDIBY*MAXSSDIBY*P74,IF(AT74&lt;&gt;0,SSDIBY*W74,0))</f>
        <v>0</v>
      </c>
      <c r="BQ74" s="462">
        <f>IF(AT74&lt;&gt;0,SSHIBY*W74,0)</f>
        <v>0</v>
      </c>
      <c r="BR74" s="462">
        <f>IF(AND(AT74&lt;&gt;0,AN74&lt;&gt;"NE"),VLOOKUP(AN74,Retirement_Rates,4,FALSE)*W74,0)</f>
        <v>0</v>
      </c>
      <c r="BS74" s="462">
        <f>IF(AND(AT74&lt;&gt;0,AJ74&lt;&gt;"PF"),LifeBY*W74,0)</f>
        <v>0</v>
      </c>
      <c r="BT74" s="462">
        <f>IF(AND(AT74&lt;&gt;0,AM74="Y"),UIBY*W74,0)</f>
        <v>0</v>
      </c>
      <c r="BU74" s="462">
        <f>IF(AND(AT74&lt;&gt;0,N74&lt;&gt;"NR"),DHRBY*W74,0)</f>
        <v>0</v>
      </c>
      <c r="BV74" s="462">
        <f>IF(AT74&lt;&gt;0,WCBY*W74,0)</f>
        <v>0</v>
      </c>
      <c r="BW74" s="462">
        <f>IF(OR(AND(AT74&lt;&gt;0,AJ74&lt;&gt;"PF",AN74&lt;&gt;"NE",AG74&lt;&gt;"A"),AND(AL74="E",OR(AT74=1,AT74=3))),SickBY*W74,0)</f>
        <v>0</v>
      </c>
      <c r="BX74" s="462">
        <f t="shared" si="24"/>
        <v>0</v>
      </c>
      <c r="BY74" s="462">
        <f t="shared" si="25"/>
        <v>0</v>
      </c>
      <c r="BZ74" s="462">
        <f t="shared" si="26"/>
        <v>0</v>
      </c>
      <c r="CA74" s="462">
        <f t="shared" si="27"/>
        <v>0</v>
      </c>
      <c r="CB74" s="462">
        <f t="shared" si="28"/>
        <v>0</v>
      </c>
      <c r="CC74" s="462">
        <f>IF(AT74&lt;&gt;0,SSHICHG*Y74,0)</f>
        <v>0</v>
      </c>
      <c r="CD74" s="462">
        <f>IF(AND(AT74&lt;&gt;0,AN74&lt;&gt;"NE"),VLOOKUP(AN74,Retirement_Rates,5,FALSE)*Y74,0)</f>
        <v>0</v>
      </c>
      <c r="CE74" s="462">
        <f>IF(AND(AT74&lt;&gt;0,AJ74&lt;&gt;"PF"),LifeCHG*Y74,0)</f>
        <v>0</v>
      </c>
      <c r="CF74" s="462">
        <f>IF(AND(AT74&lt;&gt;0,AM74="Y"),UICHG*Y74,0)</f>
        <v>0</v>
      </c>
      <c r="CG74" s="462">
        <f>IF(AND(AT74&lt;&gt;0,N74&lt;&gt;"NR"),DHRCHG*Y74,0)</f>
        <v>0</v>
      </c>
      <c r="CH74" s="462">
        <f>IF(AT74&lt;&gt;0,WCCHG*Y74,0)</f>
        <v>0</v>
      </c>
      <c r="CI74" s="462">
        <f>IF(OR(AND(AT74&lt;&gt;0,AJ74&lt;&gt;"PF",AN74&lt;&gt;"NE",AG74&lt;&gt;"A"),AND(AL74="E",OR(AT74=1,AT74=3))),SickCHG*Y74,0)</f>
        <v>0</v>
      </c>
      <c r="CJ74" s="462">
        <f t="shared" si="29"/>
        <v>0</v>
      </c>
      <c r="CK74" s="462" t="str">
        <f t="shared" si="30"/>
        <v/>
      </c>
      <c r="CL74" s="462" t="str">
        <f t="shared" si="31"/>
        <v/>
      </c>
      <c r="CM74" s="462" t="str">
        <f t="shared" si="32"/>
        <v/>
      </c>
      <c r="CN74" s="462" t="str">
        <f t="shared" si="33"/>
        <v>0247-06</v>
      </c>
    </row>
    <row r="75" spans="1:92" ht="15" thickBot="1" x14ac:dyDescent="0.35">
      <c r="A75" s="376" t="s">
        <v>161</v>
      </c>
      <c r="B75" s="376" t="s">
        <v>162</v>
      </c>
      <c r="C75" s="376" t="s">
        <v>313</v>
      </c>
      <c r="D75" s="376" t="s">
        <v>314</v>
      </c>
      <c r="E75" s="376" t="s">
        <v>416</v>
      </c>
      <c r="F75" s="382" t="s">
        <v>417</v>
      </c>
      <c r="G75" s="376" t="s">
        <v>167</v>
      </c>
      <c r="H75" s="378"/>
      <c r="I75" s="378"/>
      <c r="J75" s="376" t="s">
        <v>229</v>
      </c>
      <c r="K75" s="376" t="s">
        <v>315</v>
      </c>
      <c r="L75" s="376" t="s">
        <v>316</v>
      </c>
      <c r="M75" s="376" t="s">
        <v>171</v>
      </c>
      <c r="N75" s="376" t="s">
        <v>172</v>
      </c>
      <c r="O75" s="379">
        <v>1</v>
      </c>
      <c r="P75" s="460">
        <v>0.3</v>
      </c>
      <c r="Q75" s="460">
        <v>0.3</v>
      </c>
      <c r="R75" s="380">
        <v>80</v>
      </c>
      <c r="S75" s="460">
        <v>0.3</v>
      </c>
      <c r="T75" s="380">
        <v>2407.19</v>
      </c>
      <c r="U75" s="380">
        <v>0</v>
      </c>
      <c r="V75" s="380">
        <v>1657.5</v>
      </c>
      <c r="W75" s="380">
        <v>8324.16</v>
      </c>
      <c r="X75" s="380">
        <v>5475.88</v>
      </c>
      <c r="Y75" s="380">
        <v>8324.16</v>
      </c>
      <c r="Z75" s="380">
        <v>5500.02</v>
      </c>
      <c r="AA75" s="376" t="s">
        <v>317</v>
      </c>
      <c r="AB75" s="376" t="s">
        <v>318</v>
      </c>
      <c r="AC75" s="376" t="s">
        <v>319</v>
      </c>
      <c r="AD75" s="376" t="s">
        <v>176</v>
      </c>
      <c r="AE75" s="376" t="s">
        <v>315</v>
      </c>
      <c r="AF75" s="376" t="s">
        <v>320</v>
      </c>
      <c r="AG75" s="376" t="s">
        <v>178</v>
      </c>
      <c r="AH75" s="381">
        <v>13.34</v>
      </c>
      <c r="AI75" s="379">
        <v>360</v>
      </c>
      <c r="AJ75" s="376" t="s">
        <v>179</v>
      </c>
      <c r="AK75" s="376" t="s">
        <v>180</v>
      </c>
      <c r="AL75" s="376" t="s">
        <v>181</v>
      </c>
      <c r="AM75" s="376" t="s">
        <v>182</v>
      </c>
      <c r="AN75" s="376" t="s">
        <v>68</v>
      </c>
      <c r="AO75" s="379">
        <v>80</v>
      </c>
      <c r="AP75" s="460">
        <v>1</v>
      </c>
      <c r="AQ75" s="460">
        <v>0.3</v>
      </c>
      <c r="AR75" s="458" t="s">
        <v>183</v>
      </c>
      <c r="AS75" s="462">
        <f t="shared" si="17"/>
        <v>0.3</v>
      </c>
      <c r="AT75">
        <f t="shared" si="18"/>
        <v>1</v>
      </c>
      <c r="AU75" s="462">
        <f>IF(AT75=0,"",IF(AND(AT75=1,M75="F",SUMIF(C2:C391,C75,AS2:AS391)&lt;=1),SUMIF(C2:C391,C75,AS2:AS391),IF(AND(AT75=1,M75="F",SUMIF(C2:C391,C75,AS2:AS391)&gt;1),1,"")))</f>
        <v>1</v>
      </c>
      <c r="AV75" s="462" t="str">
        <f>IF(AT75=0,"",IF(AND(AT75=3,M75="F",SUMIF(C2:C391,C75,AS2:AS391)&lt;=1),SUMIF(C2:C391,C75,AS2:AS391),IF(AND(AT75=3,M75="F",SUMIF(C2:C391,C75,AS2:AS391)&gt;1),1,"")))</f>
        <v/>
      </c>
      <c r="AW75" s="462">
        <f>SUMIF(C2:C391,C75,O2:O391)</f>
        <v>3</v>
      </c>
      <c r="AX75" s="462">
        <f>IF(AND(M75="F",AS75&lt;&gt;0),SUMIF(C2:C391,C75,W2:W391),0)</f>
        <v>27747.200000000001</v>
      </c>
      <c r="AY75" s="462">
        <f t="shared" si="19"/>
        <v>8324.16</v>
      </c>
      <c r="AZ75" s="462" t="str">
        <f t="shared" si="20"/>
        <v/>
      </c>
      <c r="BA75" s="462">
        <f t="shared" si="21"/>
        <v>0</v>
      </c>
      <c r="BB75" s="462">
        <f>IF(AND(AT75=1,AK75="E",AU75&gt;=0.75,AW75=1),Health,IF(AND(AT75=1,AK75="E",AU75&gt;=0.75),Health*P75,IF(AND(AT75=1,AK75="E",AU75&gt;=0.5,AW75=1),PTHealth,IF(AND(AT75=1,AK75="E",AU75&gt;=0.5),PTHealth*P75,0))))</f>
        <v>3495</v>
      </c>
      <c r="BC75" s="462">
        <f>IF(AND(AT75=3,AK75="E",AV75&gt;=0.75,AW75=1),Health,IF(AND(AT75=3,AK75="E",AV75&gt;=0.75),Health*P75,IF(AND(AT75=3,AK75="E",AV75&gt;=0.5,AW75=1),PTHealth,IF(AND(AT75=3,AK75="E",AV75&gt;=0.5),PTHealth*P75,0))))</f>
        <v>0</v>
      </c>
      <c r="BD75" s="462">
        <f>IF(AND(AT75&lt;&gt;0,AX75&gt;=MAXSSDI),SSDI*MAXSSDI*P75,IF(AT75&lt;&gt;0,SSDI*W75,0))</f>
        <v>516.09791999999993</v>
      </c>
      <c r="BE75" s="462">
        <f>IF(AT75&lt;&gt;0,SSHI*W75,0)</f>
        <v>120.70032</v>
      </c>
      <c r="BF75" s="462">
        <f>IF(AND(AT75&lt;&gt;0,AN75&lt;&gt;"NE"),VLOOKUP(AN75,Retirement_Rates,3,FALSE)*W75,0)</f>
        <v>993.90470400000004</v>
      </c>
      <c r="BG75" s="462">
        <f>IF(AND(AT75&lt;&gt;0,AJ75&lt;&gt;"PF"),Life*W75,0)</f>
        <v>60.017193599999999</v>
      </c>
      <c r="BH75" s="462">
        <f>IF(AND(AT75&lt;&gt;0,AM75="Y"),UI*W75,0)</f>
        <v>40.788384000000001</v>
      </c>
      <c r="BI75" s="462">
        <f>IF(AND(AT75&lt;&gt;0,N75&lt;&gt;"NR"),DHR*W75,0)</f>
        <v>25.471929599999999</v>
      </c>
      <c r="BJ75" s="462">
        <f>IF(AT75&lt;&gt;0,WC*W75,0)</f>
        <v>223.919904</v>
      </c>
      <c r="BK75" s="462">
        <f>IF(OR(AND(AT75&lt;&gt;0,AJ75&lt;&gt;"PF",AN75&lt;&gt;"NE",AG75&lt;&gt;"A"),AND(AL75="E",OR(AT75=1,AT75=3))),Sick*W75,0)</f>
        <v>0</v>
      </c>
      <c r="BL75" s="462">
        <f t="shared" si="22"/>
        <v>1980.9003552000001</v>
      </c>
      <c r="BM75" s="462">
        <f t="shared" si="23"/>
        <v>0</v>
      </c>
      <c r="BN75" s="462">
        <f>IF(AND(AT75=1,AK75="E",AU75&gt;=0.75,AW75=1),HealthBY,IF(AND(AT75=1,AK75="E",AU75&gt;=0.75),HealthBY*P75,IF(AND(AT75=1,AK75="E",AU75&gt;=0.5,AW75=1),PTHealthBY,IF(AND(AT75=1,AK75="E",AU75&gt;=0.5),PTHealthBY*P75,0))))</f>
        <v>3495</v>
      </c>
      <c r="BO75" s="462">
        <f>IF(AND(AT75=3,AK75="E",AV75&gt;=0.75,AW75=1),HealthBY,IF(AND(AT75=3,AK75="E",AV75&gt;=0.75),HealthBY*P75,IF(AND(AT75=3,AK75="E",AV75&gt;=0.5,AW75=1),PTHealthBY,IF(AND(AT75=3,AK75="E",AV75&gt;=0.5),PTHealthBY*P75,0))))</f>
        <v>0</v>
      </c>
      <c r="BP75" s="462">
        <f>IF(AND(AT75&lt;&gt;0,(AX75+BA75)&gt;=MAXSSDIBY),SSDIBY*MAXSSDIBY*P75,IF(AT75&lt;&gt;0,SSDIBY*W75,0))</f>
        <v>516.09791999999993</v>
      </c>
      <c r="BQ75" s="462">
        <f>IF(AT75&lt;&gt;0,SSHIBY*W75,0)</f>
        <v>120.70032</v>
      </c>
      <c r="BR75" s="462">
        <f>IF(AND(AT75&lt;&gt;0,AN75&lt;&gt;"NE"),VLOOKUP(AN75,Retirement_Rates,4,FALSE)*W75,0)</f>
        <v>993.90470400000004</v>
      </c>
      <c r="BS75" s="462">
        <f>IF(AND(AT75&lt;&gt;0,AJ75&lt;&gt;"PF"),LifeBY*W75,0)</f>
        <v>60.017193599999999</v>
      </c>
      <c r="BT75" s="462">
        <f>IF(AND(AT75&lt;&gt;0,AM75="Y"),UIBY*W75,0)</f>
        <v>0</v>
      </c>
      <c r="BU75" s="462">
        <f>IF(AND(AT75&lt;&gt;0,N75&lt;&gt;"NR"),DHRBY*W75,0)</f>
        <v>25.471929599999999</v>
      </c>
      <c r="BV75" s="462">
        <f>IF(AT75&lt;&gt;0,WCBY*W75,0)</f>
        <v>288.84835200000003</v>
      </c>
      <c r="BW75" s="462">
        <f>IF(OR(AND(AT75&lt;&gt;0,AJ75&lt;&gt;"PF",AN75&lt;&gt;"NE",AG75&lt;&gt;"A"),AND(AL75="E",OR(AT75=1,AT75=3))),SickBY*W75,0)</f>
        <v>0</v>
      </c>
      <c r="BX75" s="462">
        <f t="shared" si="24"/>
        <v>2005.0404192000001</v>
      </c>
      <c r="BY75" s="462">
        <f t="shared" si="25"/>
        <v>0</v>
      </c>
      <c r="BZ75" s="462">
        <f t="shared" si="26"/>
        <v>0</v>
      </c>
      <c r="CA75" s="462">
        <f t="shared" si="27"/>
        <v>0</v>
      </c>
      <c r="CB75" s="462">
        <f t="shared" si="28"/>
        <v>0</v>
      </c>
      <c r="CC75" s="462">
        <f>IF(AT75&lt;&gt;0,SSHICHG*Y75,0)</f>
        <v>0</v>
      </c>
      <c r="CD75" s="462">
        <f>IF(AND(AT75&lt;&gt;0,AN75&lt;&gt;"NE"),VLOOKUP(AN75,Retirement_Rates,5,FALSE)*Y75,0)</f>
        <v>0</v>
      </c>
      <c r="CE75" s="462">
        <f>IF(AND(AT75&lt;&gt;0,AJ75&lt;&gt;"PF"),LifeCHG*Y75,0)</f>
        <v>0</v>
      </c>
      <c r="CF75" s="462">
        <f>IF(AND(AT75&lt;&gt;0,AM75="Y"),UICHG*Y75,0)</f>
        <v>-40.788384000000001</v>
      </c>
      <c r="CG75" s="462">
        <f>IF(AND(AT75&lt;&gt;0,N75&lt;&gt;"NR"),DHRCHG*Y75,0)</f>
        <v>0</v>
      </c>
      <c r="CH75" s="462">
        <f>IF(AT75&lt;&gt;0,WCCHG*Y75,0)</f>
        <v>64.928448000000017</v>
      </c>
      <c r="CI75" s="462">
        <f>IF(OR(AND(AT75&lt;&gt;0,AJ75&lt;&gt;"PF",AN75&lt;&gt;"NE",AG75&lt;&gt;"A"),AND(AL75="E",OR(AT75=1,AT75=3))),SickCHG*Y75,0)</f>
        <v>0</v>
      </c>
      <c r="CJ75" s="462">
        <f t="shared" si="29"/>
        <v>24.140064000000017</v>
      </c>
      <c r="CK75" s="462" t="str">
        <f t="shared" si="30"/>
        <v/>
      </c>
      <c r="CL75" s="462" t="str">
        <f t="shared" si="31"/>
        <v/>
      </c>
      <c r="CM75" s="462" t="str">
        <f t="shared" si="32"/>
        <v/>
      </c>
      <c r="CN75" s="462" t="str">
        <f t="shared" si="33"/>
        <v>0247-06</v>
      </c>
    </row>
    <row r="76" spans="1:92" ht="15" thickBot="1" x14ac:dyDescent="0.35">
      <c r="A76" s="376" t="s">
        <v>161</v>
      </c>
      <c r="B76" s="376" t="s">
        <v>162</v>
      </c>
      <c r="C76" s="376" t="s">
        <v>418</v>
      </c>
      <c r="D76" s="376" t="s">
        <v>221</v>
      </c>
      <c r="E76" s="376" t="s">
        <v>416</v>
      </c>
      <c r="F76" s="382" t="s">
        <v>417</v>
      </c>
      <c r="G76" s="376" t="s">
        <v>167</v>
      </c>
      <c r="H76" s="378"/>
      <c r="I76" s="378"/>
      <c r="J76" s="376" t="s">
        <v>168</v>
      </c>
      <c r="K76" s="376" t="s">
        <v>222</v>
      </c>
      <c r="L76" s="376" t="s">
        <v>166</v>
      </c>
      <c r="M76" s="376" t="s">
        <v>225</v>
      </c>
      <c r="N76" s="376" t="s">
        <v>223</v>
      </c>
      <c r="O76" s="379">
        <v>0</v>
      </c>
      <c r="P76" s="460">
        <v>1</v>
      </c>
      <c r="Q76" s="460">
        <v>0</v>
      </c>
      <c r="R76" s="380">
        <v>0</v>
      </c>
      <c r="S76" s="460">
        <v>0</v>
      </c>
      <c r="T76" s="380">
        <v>0</v>
      </c>
      <c r="U76" s="380">
        <v>0</v>
      </c>
      <c r="V76" s="380">
        <v>0</v>
      </c>
      <c r="W76" s="380">
        <v>0</v>
      </c>
      <c r="X76" s="380">
        <v>0</v>
      </c>
      <c r="Y76" s="380">
        <v>0</v>
      </c>
      <c r="Z76" s="380">
        <v>0</v>
      </c>
      <c r="AA76" s="378"/>
      <c r="AB76" s="376" t="s">
        <v>45</v>
      </c>
      <c r="AC76" s="376" t="s">
        <v>45</v>
      </c>
      <c r="AD76" s="378"/>
      <c r="AE76" s="378"/>
      <c r="AF76" s="378"/>
      <c r="AG76" s="378"/>
      <c r="AH76" s="379">
        <v>0</v>
      </c>
      <c r="AI76" s="379">
        <v>0</v>
      </c>
      <c r="AJ76" s="378"/>
      <c r="AK76" s="378"/>
      <c r="AL76" s="376" t="s">
        <v>181</v>
      </c>
      <c r="AM76" s="378"/>
      <c r="AN76" s="378"/>
      <c r="AO76" s="379">
        <v>0</v>
      </c>
      <c r="AP76" s="460">
        <v>0</v>
      </c>
      <c r="AQ76" s="460">
        <v>0</v>
      </c>
      <c r="AR76" s="459"/>
      <c r="AS76" s="462">
        <f t="shared" si="17"/>
        <v>0</v>
      </c>
      <c r="AT76">
        <f t="shared" si="18"/>
        <v>0</v>
      </c>
      <c r="AU76" s="462" t="str">
        <f>IF(AT76=0,"",IF(AND(AT76=1,M76="F",SUMIF(C2:C391,C76,AS2:AS391)&lt;=1),SUMIF(C2:C391,C76,AS2:AS391),IF(AND(AT76=1,M76="F",SUMIF(C2:C391,C76,AS2:AS391)&gt;1),1,"")))</f>
        <v/>
      </c>
      <c r="AV76" s="462" t="str">
        <f>IF(AT76=0,"",IF(AND(AT76=3,M76="F",SUMIF(C2:C391,C76,AS2:AS391)&lt;=1),SUMIF(C2:C391,C76,AS2:AS391),IF(AND(AT76=3,M76="F",SUMIF(C2:C391,C76,AS2:AS391)&gt;1),1,"")))</f>
        <v/>
      </c>
      <c r="AW76" s="462">
        <f>SUMIF(C2:C391,C76,O2:O391)</f>
        <v>0</v>
      </c>
      <c r="AX76" s="462">
        <f>IF(AND(M76="F",AS76&lt;&gt;0),SUMIF(C2:C391,C76,W2:W391),0)</f>
        <v>0</v>
      </c>
      <c r="AY76" s="462" t="str">
        <f t="shared" si="19"/>
        <v/>
      </c>
      <c r="AZ76" s="462" t="str">
        <f t="shared" si="20"/>
        <v/>
      </c>
      <c r="BA76" s="462">
        <f t="shared" si="21"/>
        <v>0</v>
      </c>
      <c r="BB76" s="462">
        <f>IF(AND(AT76=1,AK76="E",AU76&gt;=0.75,AW76=1),Health,IF(AND(AT76=1,AK76="E",AU76&gt;=0.75),Health*P76,IF(AND(AT76=1,AK76="E",AU76&gt;=0.5,AW76=1),PTHealth,IF(AND(AT76=1,AK76="E",AU76&gt;=0.5),PTHealth*P76,0))))</f>
        <v>0</v>
      </c>
      <c r="BC76" s="462">
        <f>IF(AND(AT76=3,AK76="E",AV76&gt;=0.75,AW76=1),Health,IF(AND(AT76=3,AK76="E",AV76&gt;=0.75),Health*P76,IF(AND(AT76=3,AK76="E",AV76&gt;=0.5,AW76=1),PTHealth,IF(AND(AT76=3,AK76="E",AV76&gt;=0.5),PTHealth*P76,0))))</f>
        <v>0</v>
      </c>
      <c r="BD76" s="462">
        <f>IF(AND(AT76&lt;&gt;0,AX76&gt;=MAXSSDI),SSDI*MAXSSDI*P76,IF(AT76&lt;&gt;0,SSDI*W76,0))</f>
        <v>0</v>
      </c>
      <c r="BE76" s="462">
        <f>IF(AT76&lt;&gt;0,SSHI*W76,0)</f>
        <v>0</v>
      </c>
      <c r="BF76" s="462">
        <f>IF(AND(AT76&lt;&gt;0,AN76&lt;&gt;"NE"),VLOOKUP(AN76,Retirement_Rates,3,FALSE)*W76,0)</f>
        <v>0</v>
      </c>
      <c r="BG76" s="462">
        <f>IF(AND(AT76&lt;&gt;0,AJ76&lt;&gt;"PF"),Life*W76,0)</f>
        <v>0</v>
      </c>
      <c r="BH76" s="462">
        <f>IF(AND(AT76&lt;&gt;0,AM76="Y"),UI*W76,0)</f>
        <v>0</v>
      </c>
      <c r="BI76" s="462">
        <f>IF(AND(AT76&lt;&gt;0,N76&lt;&gt;"NR"),DHR*W76,0)</f>
        <v>0</v>
      </c>
      <c r="BJ76" s="462">
        <f>IF(AT76&lt;&gt;0,WC*W76,0)</f>
        <v>0</v>
      </c>
      <c r="BK76" s="462">
        <f>IF(OR(AND(AT76&lt;&gt;0,AJ76&lt;&gt;"PF",AN76&lt;&gt;"NE",AG76&lt;&gt;"A"),AND(AL76="E",OR(AT76=1,AT76=3))),Sick*W76,0)</f>
        <v>0</v>
      </c>
      <c r="BL76" s="462">
        <f t="shared" si="22"/>
        <v>0</v>
      </c>
      <c r="BM76" s="462">
        <f t="shared" si="23"/>
        <v>0</v>
      </c>
      <c r="BN76" s="462">
        <f>IF(AND(AT76=1,AK76="E",AU76&gt;=0.75,AW76=1),HealthBY,IF(AND(AT76=1,AK76="E",AU76&gt;=0.75),HealthBY*P76,IF(AND(AT76=1,AK76="E",AU76&gt;=0.5,AW76=1),PTHealthBY,IF(AND(AT76=1,AK76="E",AU76&gt;=0.5),PTHealthBY*P76,0))))</f>
        <v>0</v>
      </c>
      <c r="BO76" s="462">
        <f>IF(AND(AT76=3,AK76="E",AV76&gt;=0.75,AW76=1),HealthBY,IF(AND(AT76=3,AK76="E",AV76&gt;=0.75),HealthBY*P76,IF(AND(AT76=3,AK76="E",AV76&gt;=0.5,AW76=1),PTHealthBY,IF(AND(AT76=3,AK76="E",AV76&gt;=0.5),PTHealthBY*P76,0))))</f>
        <v>0</v>
      </c>
      <c r="BP76" s="462">
        <f>IF(AND(AT76&lt;&gt;0,(AX76+BA76)&gt;=MAXSSDIBY),SSDIBY*MAXSSDIBY*P76,IF(AT76&lt;&gt;0,SSDIBY*W76,0))</f>
        <v>0</v>
      </c>
      <c r="BQ76" s="462">
        <f>IF(AT76&lt;&gt;0,SSHIBY*W76,0)</f>
        <v>0</v>
      </c>
      <c r="BR76" s="462">
        <f>IF(AND(AT76&lt;&gt;0,AN76&lt;&gt;"NE"),VLOOKUP(AN76,Retirement_Rates,4,FALSE)*W76,0)</f>
        <v>0</v>
      </c>
      <c r="BS76" s="462">
        <f>IF(AND(AT76&lt;&gt;0,AJ76&lt;&gt;"PF"),LifeBY*W76,0)</f>
        <v>0</v>
      </c>
      <c r="BT76" s="462">
        <f>IF(AND(AT76&lt;&gt;0,AM76="Y"),UIBY*W76,0)</f>
        <v>0</v>
      </c>
      <c r="BU76" s="462">
        <f>IF(AND(AT76&lt;&gt;0,N76&lt;&gt;"NR"),DHRBY*W76,0)</f>
        <v>0</v>
      </c>
      <c r="BV76" s="462">
        <f>IF(AT76&lt;&gt;0,WCBY*W76,0)</f>
        <v>0</v>
      </c>
      <c r="BW76" s="462">
        <f>IF(OR(AND(AT76&lt;&gt;0,AJ76&lt;&gt;"PF",AN76&lt;&gt;"NE",AG76&lt;&gt;"A"),AND(AL76="E",OR(AT76=1,AT76=3))),SickBY*W76,0)</f>
        <v>0</v>
      </c>
      <c r="BX76" s="462">
        <f t="shared" si="24"/>
        <v>0</v>
      </c>
      <c r="BY76" s="462">
        <f t="shared" si="25"/>
        <v>0</v>
      </c>
      <c r="BZ76" s="462">
        <f t="shared" si="26"/>
        <v>0</v>
      </c>
      <c r="CA76" s="462">
        <f t="shared" si="27"/>
        <v>0</v>
      </c>
      <c r="CB76" s="462">
        <f t="shared" si="28"/>
        <v>0</v>
      </c>
      <c r="CC76" s="462">
        <f>IF(AT76&lt;&gt;0,SSHICHG*Y76,0)</f>
        <v>0</v>
      </c>
      <c r="CD76" s="462">
        <f>IF(AND(AT76&lt;&gt;0,AN76&lt;&gt;"NE"),VLOOKUP(AN76,Retirement_Rates,5,FALSE)*Y76,0)</f>
        <v>0</v>
      </c>
      <c r="CE76" s="462">
        <f>IF(AND(AT76&lt;&gt;0,AJ76&lt;&gt;"PF"),LifeCHG*Y76,0)</f>
        <v>0</v>
      </c>
      <c r="CF76" s="462">
        <f>IF(AND(AT76&lt;&gt;0,AM76="Y"),UICHG*Y76,0)</f>
        <v>0</v>
      </c>
      <c r="CG76" s="462">
        <f>IF(AND(AT76&lt;&gt;0,N76&lt;&gt;"NR"),DHRCHG*Y76,0)</f>
        <v>0</v>
      </c>
      <c r="CH76" s="462">
        <f>IF(AT76&lt;&gt;0,WCCHG*Y76,0)</f>
        <v>0</v>
      </c>
      <c r="CI76" s="462">
        <f>IF(OR(AND(AT76&lt;&gt;0,AJ76&lt;&gt;"PF",AN76&lt;&gt;"NE",AG76&lt;&gt;"A"),AND(AL76="E",OR(AT76=1,AT76=3))),SickCHG*Y76,0)</f>
        <v>0</v>
      </c>
      <c r="CJ76" s="462">
        <f t="shared" si="29"/>
        <v>0</v>
      </c>
      <c r="CK76" s="462" t="str">
        <f t="shared" si="30"/>
        <v/>
      </c>
      <c r="CL76" s="462">
        <f t="shared" si="31"/>
        <v>0</v>
      </c>
      <c r="CM76" s="462">
        <f t="shared" si="32"/>
        <v>0</v>
      </c>
      <c r="CN76" s="462" t="str">
        <f t="shared" si="33"/>
        <v>0247-06</v>
      </c>
    </row>
    <row r="77" spans="1:92" ht="15" thickBot="1" x14ac:dyDescent="0.35">
      <c r="A77" s="376" t="s">
        <v>161</v>
      </c>
      <c r="B77" s="376" t="s">
        <v>162</v>
      </c>
      <c r="C77" s="376" t="s">
        <v>419</v>
      </c>
      <c r="D77" s="376" t="s">
        <v>221</v>
      </c>
      <c r="E77" s="376" t="s">
        <v>416</v>
      </c>
      <c r="F77" s="382" t="s">
        <v>417</v>
      </c>
      <c r="G77" s="376" t="s">
        <v>167</v>
      </c>
      <c r="H77" s="378"/>
      <c r="I77" s="378"/>
      <c r="J77" s="376" t="s">
        <v>168</v>
      </c>
      <c r="K77" s="376" t="s">
        <v>222</v>
      </c>
      <c r="L77" s="376" t="s">
        <v>166</v>
      </c>
      <c r="M77" s="376" t="s">
        <v>225</v>
      </c>
      <c r="N77" s="376" t="s">
        <v>223</v>
      </c>
      <c r="O77" s="379">
        <v>0</v>
      </c>
      <c r="P77" s="460">
        <v>1</v>
      </c>
      <c r="Q77" s="460">
        <v>0</v>
      </c>
      <c r="R77" s="380">
        <v>0</v>
      </c>
      <c r="S77" s="460">
        <v>0</v>
      </c>
      <c r="T77" s="380">
        <v>0</v>
      </c>
      <c r="U77" s="380">
        <v>0</v>
      </c>
      <c r="V77" s="380">
        <v>0</v>
      </c>
      <c r="W77" s="380">
        <v>0</v>
      </c>
      <c r="X77" s="380">
        <v>0</v>
      </c>
      <c r="Y77" s="380">
        <v>0</v>
      </c>
      <c r="Z77" s="380">
        <v>0</v>
      </c>
      <c r="AA77" s="378"/>
      <c r="AB77" s="376" t="s">
        <v>45</v>
      </c>
      <c r="AC77" s="376" t="s">
        <v>45</v>
      </c>
      <c r="AD77" s="378"/>
      <c r="AE77" s="378"/>
      <c r="AF77" s="378"/>
      <c r="AG77" s="378"/>
      <c r="AH77" s="379">
        <v>0</v>
      </c>
      <c r="AI77" s="379">
        <v>0</v>
      </c>
      <c r="AJ77" s="378"/>
      <c r="AK77" s="378"/>
      <c r="AL77" s="376" t="s">
        <v>181</v>
      </c>
      <c r="AM77" s="378"/>
      <c r="AN77" s="378"/>
      <c r="AO77" s="379">
        <v>0</v>
      </c>
      <c r="AP77" s="460">
        <v>0</v>
      </c>
      <c r="AQ77" s="460">
        <v>0</v>
      </c>
      <c r="AR77" s="459"/>
      <c r="AS77" s="462">
        <f t="shared" si="17"/>
        <v>0</v>
      </c>
      <c r="AT77">
        <f t="shared" si="18"/>
        <v>0</v>
      </c>
      <c r="AU77" s="462" t="str">
        <f>IF(AT77=0,"",IF(AND(AT77=1,M77="F",SUMIF(C2:C391,C77,AS2:AS391)&lt;=1),SUMIF(C2:C391,C77,AS2:AS391),IF(AND(AT77=1,M77="F",SUMIF(C2:C391,C77,AS2:AS391)&gt;1),1,"")))</f>
        <v/>
      </c>
      <c r="AV77" s="462" t="str">
        <f>IF(AT77=0,"",IF(AND(AT77=3,M77="F",SUMIF(C2:C391,C77,AS2:AS391)&lt;=1),SUMIF(C2:C391,C77,AS2:AS391),IF(AND(AT77=3,M77="F",SUMIF(C2:C391,C77,AS2:AS391)&gt;1),1,"")))</f>
        <v/>
      </c>
      <c r="AW77" s="462">
        <f>SUMIF(C2:C391,C77,O2:O391)</f>
        <v>0</v>
      </c>
      <c r="AX77" s="462">
        <f>IF(AND(M77="F",AS77&lt;&gt;0),SUMIF(C2:C391,C77,W2:W391),0)</f>
        <v>0</v>
      </c>
      <c r="AY77" s="462" t="str">
        <f t="shared" si="19"/>
        <v/>
      </c>
      <c r="AZ77" s="462" t="str">
        <f t="shared" si="20"/>
        <v/>
      </c>
      <c r="BA77" s="462">
        <f t="shared" si="21"/>
        <v>0</v>
      </c>
      <c r="BB77" s="462">
        <f>IF(AND(AT77=1,AK77="E",AU77&gt;=0.75,AW77=1),Health,IF(AND(AT77=1,AK77="E",AU77&gt;=0.75),Health*P77,IF(AND(AT77=1,AK77="E",AU77&gt;=0.5,AW77=1),PTHealth,IF(AND(AT77=1,AK77="E",AU77&gt;=0.5),PTHealth*P77,0))))</f>
        <v>0</v>
      </c>
      <c r="BC77" s="462">
        <f>IF(AND(AT77=3,AK77="E",AV77&gt;=0.75,AW77=1),Health,IF(AND(AT77=3,AK77="E",AV77&gt;=0.75),Health*P77,IF(AND(AT77=3,AK77="E",AV77&gt;=0.5,AW77=1),PTHealth,IF(AND(AT77=3,AK77="E",AV77&gt;=0.5),PTHealth*P77,0))))</f>
        <v>0</v>
      </c>
      <c r="BD77" s="462">
        <f>IF(AND(AT77&lt;&gt;0,AX77&gt;=MAXSSDI),SSDI*MAXSSDI*P77,IF(AT77&lt;&gt;0,SSDI*W77,0))</f>
        <v>0</v>
      </c>
      <c r="BE77" s="462">
        <f>IF(AT77&lt;&gt;0,SSHI*W77,0)</f>
        <v>0</v>
      </c>
      <c r="BF77" s="462">
        <f>IF(AND(AT77&lt;&gt;0,AN77&lt;&gt;"NE"),VLOOKUP(AN77,Retirement_Rates,3,FALSE)*W77,0)</f>
        <v>0</v>
      </c>
      <c r="BG77" s="462">
        <f>IF(AND(AT77&lt;&gt;0,AJ77&lt;&gt;"PF"),Life*W77,0)</f>
        <v>0</v>
      </c>
      <c r="BH77" s="462">
        <f>IF(AND(AT77&lt;&gt;0,AM77="Y"),UI*W77,0)</f>
        <v>0</v>
      </c>
      <c r="BI77" s="462">
        <f>IF(AND(AT77&lt;&gt;0,N77&lt;&gt;"NR"),DHR*W77,0)</f>
        <v>0</v>
      </c>
      <c r="BJ77" s="462">
        <f>IF(AT77&lt;&gt;0,WC*W77,0)</f>
        <v>0</v>
      </c>
      <c r="BK77" s="462">
        <f>IF(OR(AND(AT77&lt;&gt;0,AJ77&lt;&gt;"PF",AN77&lt;&gt;"NE",AG77&lt;&gt;"A"),AND(AL77="E",OR(AT77=1,AT77=3))),Sick*W77,0)</f>
        <v>0</v>
      </c>
      <c r="BL77" s="462">
        <f t="shared" si="22"/>
        <v>0</v>
      </c>
      <c r="BM77" s="462">
        <f t="shared" si="23"/>
        <v>0</v>
      </c>
      <c r="BN77" s="462">
        <f>IF(AND(AT77=1,AK77="E",AU77&gt;=0.75,AW77=1),HealthBY,IF(AND(AT77=1,AK77="E",AU77&gt;=0.75),HealthBY*P77,IF(AND(AT77=1,AK77="E",AU77&gt;=0.5,AW77=1),PTHealthBY,IF(AND(AT77=1,AK77="E",AU77&gt;=0.5),PTHealthBY*P77,0))))</f>
        <v>0</v>
      </c>
      <c r="BO77" s="462">
        <f>IF(AND(AT77=3,AK77="E",AV77&gt;=0.75,AW77=1),HealthBY,IF(AND(AT77=3,AK77="E",AV77&gt;=0.75),HealthBY*P77,IF(AND(AT77=3,AK77="E",AV77&gt;=0.5,AW77=1),PTHealthBY,IF(AND(AT77=3,AK77="E",AV77&gt;=0.5),PTHealthBY*P77,0))))</f>
        <v>0</v>
      </c>
      <c r="BP77" s="462">
        <f>IF(AND(AT77&lt;&gt;0,(AX77+BA77)&gt;=MAXSSDIBY),SSDIBY*MAXSSDIBY*P77,IF(AT77&lt;&gt;0,SSDIBY*W77,0))</f>
        <v>0</v>
      </c>
      <c r="BQ77" s="462">
        <f>IF(AT77&lt;&gt;0,SSHIBY*W77,0)</f>
        <v>0</v>
      </c>
      <c r="BR77" s="462">
        <f>IF(AND(AT77&lt;&gt;0,AN77&lt;&gt;"NE"),VLOOKUP(AN77,Retirement_Rates,4,FALSE)*W77,0)</f>
        <v>0</v>
      </c>
      <c r="BS77" s="462">
        <f>IF(AND(AT77&lt;&gt;0,AJ77&lt;&gt;"PF"),LifeBY*W77,0)</f>
        <v>0</v>
      </c>
      <c r="BT77" s="462">
        <f>IF(AND(AT77&lt;&gt;0,AM77="Y"),UIBY*W77,0)</f>
        <v>0</v>
      </c>
      <c r="BU77" s="462">
        <f>IF(AND(AT77&lt;&gt;0,N77&lt;&gt;"NR"),DHRBY*W77,0)</f>
        <v>0</v>
      </c>
      <c r="BV77" s="462">
        <f>IF(AT77&lt;&gt;0,WCBY*W77,0)</f>
        <v>0</v>
      </c>
      <c r="BW77" s="462">
        <f>IF(OR(AND(AT77&lt;&gt;0,AJ77&lt;&gt;"PF",AN77&lt;&gt;"NE",AG77&lt;&gt;"A"),AND(AL77="E",OR(AT77=1,AT77=3))),SickBY*W77,0)</f>
        <v>0</v>
      </c>
      <c r="BX77" s="462">
        <f t="shared" si="24"/>
        <v>0</v>
      </c>
      <c r="BY77" s="462">
        <f t="shared" si="25"/>
        <v>0</v>
      </c>
      <c r="BZ77" s="462">
        <f t="shared" si="26"/>
        <v>0</v>
      </c>
      <c r="CA77" s="462">
        <f t="shared" si="27"/>
        <v>0</v>
      </c>
      <c r="CB77" s="462">
        <f t="shared" si="28"/>
        <v>0</v>
      </c>
      <c r="CC77" s="462">
        <f>IF(AT77&lt;&gt;0,SSHICHG*Y77,0)</f>
        <v>0</v>
      </c>
      <c r="CD77" s="462">
        <f>IF(AND(AT77&lt;&gt;0,AN77&lt;&gt;"NE"),VLOOKUP(AN77,Retirement_Rates,5,FALSE)*Y77,0)</f>
        <v>0</v>
      </c>
      <c r="CE77" s="462">
        <f>IF(AND(AT77&lt;&gt;0,AJ77&lt;&gt;"PF"),LifeCHG*Y77,0)</f>
        <v>0</v>
      </c>
      <c r="CF77" s="462">
        <f>IF(AND(AT77&lt;&gt;0,AM77="Y"),UICHG*Y77,0)</f>
        <v>0</v>
      </c>
      <c r="CG77" s="462">
        <f>IF(AND(AT77&lt;&gt;0,N77&lt;&gt;"NR"),DHRCHG*Y77,0)</f>
        <v>0</v>
      </c>
      <c r="CH77" s="462">
        <f>IF(AT77&lt;&gt;0,WCCHG*Y77,0)</f>
        <v>0</v>
      </c>
      <c r="CI77" s="462">
        <f>IF(OR(AND(AT77&lt;&gt;0,AJ77&lt;&gt;"PF",AN77&lt;&gt;"NE",AG77&lt;&gt;"A"),AND(AL77="E",OR(AT77=1,AT77=3))),SickCHG*Y77,0)</f>
        <v>0</v>
      </c>
      <c r="CJ77" s="462">
        <f t="shared" si="29"/>
        <v>0</v>
      </c>
      <c r="CK77" s="462" t="str">
        <f t="shared" si="30"/>
        <v/>
      </c>
      <c r="CL77" s="462">
        <f t="shared" si="31"/>
        <v>0</v>
      </c>
      <c r="CM77" s="462">
        <f t="shared" si="32"/>
        <v>0</v>
      </c>
      <c r="CN77" s="462" t="str">
        <f t="shared" si="33"/>
        <v>0247-06</v>
      </c>
    </row>
    <row r="78" spans="1:92" ht="15" thickBot="1" x14ac:dyDescent="0.35">
      <c r="A78" s="376" t="s">
        <v>161</v>
      </c>
      <c r="B78" s="376" t="s">
        <v>162</v>
      </c>
      <c r="C78" s="376" t="s">
        <v>420</v>
      </c>
      <c r="D78" s="376" t="s">
        <v>221</v>
      </c>
      <c r="E78" s="376" t="s">
        <v>421</v>
      </c>
      <c r="F78" s="382" t="s">
        <v>422</v>
      </c>
      <c r="G78" s="376" t="s">
        <v>423</v>
      </c>
      <c r="H78" s="378"/>
      <c r="I78" s="378"/>
      <c r="J78" s="376" t="s">
        <v>168</v>
      </c>
      <c r="K78" s="376" t="s">
        <v>222</v>
      </c>
      <c r="L78" s="376" t="s">
        <v>166</v>
      </c>
      <c r="M78" s="376" t="s">
        <v>225</v>
      </c>
      <c r="N78" s="376" t="s">
        <v>223</v>
      </c>
      <c r="O78" s="379">
        <v>0</v>
      </c>
      <c r="P78" s="460">
        <v>1</v>
      </c>
      <c r="Q78" s="460">
        <v>0</v>
      </c>
      <c r="R78" s="380">
        <v>0</v>
      </c>
      <c r="S78" s="460">
        <v>0</v>
      </c>
      <c r="T78" s="380">
        <v>0</v>
      </c>
      <c r="U78" s="380">
        <v>0</v>
      </c>
      <c r="V78" s="380">
        <v>0</v>
      </c>
      <c r="W78" s="380">
        <v>0</v>
      </c>
      <c r="X78" s="380">
        <v>0</v>
      </c>
      <c r="Y78" s="380">
        <v>0</v>
      </c>
      <c r="Z78" s="380">
        <v>0</v>
      </c>
      <c r="AA78" s="378"/>
      <c r="AB78" s="376" t="s">
        <v>45</v>
      </c>
      <c r="AC78" s="376" t="s">
        <v>45</v>
      </c>
      <c r="AD78" s="378"/>
      <c r="AE78" s="378"/>
      <c r="AF78" s="378"/>
      <c r="AG78" s="378"/>
      <c r="AH78" s="379">
        <v>0</v>
      </c>
      <c r="AI78" s="379">
        <v>0</v>
      </c>
      <c r="AJ78" s="378"/>
      <c r="AK78" s="378"/>
      <c r="AL78" s="376" t="s">
        <v>181</v>
      </c>
      <c r="AM78" s="378"/>
      <c r="AN78" s="378"/>
      <c r="AO78" s="379">
        <v>0</v>
      </c>
      <c r="AP78" s="460">
        <v>0</v>
      </c>
      <c r="AQ78" s="460">
        <v>0</v>
      </c>
      <c r="AR78" s="459"/>
      <c r="AS78" s="462">
        <f t="shared" si="17"/>
        <v>0</v>
      </c>
      <c r="AT78">
        <f t="shared" si="18"/>
        <v>0</v>
      </c>
      <c r="AU78" s="462" t="str">
        <f>IF(AT78=0,"",IF(AND(AT78=1,M78="F",SUMIF(C2:C391,C78,AS2:AS391)&lt;=1),SUMIF(C2:C391,C78,AS2:AS391),IF(AND(AT78=1,M78="F",SUMIF(C2:C391,C78,AS2:AS391)&gt;1),1,"")))</f>
        <v/>
      </c>
      <c r="AV78" s="462" t="str">
        <f>IF(AT78=0,"",IF(AND(AT78=3,M78="F",SUMIF(C2:C391,C78,AS2:AS391)&lt;=1),SUMIF(C2:C391,C78,AS2:AS391),IF(AND(AT78=3,M78="F",SUMIF(C2:C391,C78,AS2:AS391)&gt;1),1,"")))</f>
        <v/>
      </c>
      <c r="AW78" s="462">
        <f>SUMIF(C2:C391,C78,O2:O391)</f>
        <v>0</v>
      </c>
      <c r="AX78" s="462">
        <f>IF(AND(M78="F",AS78&lt;&gt;0),SUMIF(C2:C391,C78,W2:W391),0)</f>
        <v>0</v>
      </c>
      <c r="AY78" s="462" t="str">
        <f t="shared" si="19"/>
        <v/>
      </c>
      <c r="AZ78" s="462" t="str">
        <f t="shared" si="20"/>
        <v/>
      </c>
      <c r="BA78" s="462">
        <f t="shared" si="21"/>
        <v>0</v>
      </c>
      <c r="BB78" s="462">
        <f>IF(AND(AT78=1,AK78="E",AU78&gt;=0.75,AW78=1),Health,IF(AND(AT78=1,AK78="E",AU78&gt;=0.75),Health*P78,IF(AND(AT78=1,AK78="E",AU78&gt;=0.5,AW78=1),PTHealth,IF(AND(AT78=1,AK78="E",AU78&gt;=0.5),PTHealth*P78,0))))</f>
        <v>0</v>
      </c>
      <c r="BC78" s="462">
        <f>IF(AND(AT78=3,AK78="E",AV78&gt;=0.75,AW78=1),Health,IF(AND(AT78=3,AK78="E",AV78&gt;=0.75),Health*P78,IF(AND(AT78=3,AK78="E",AV78&gt;=0.5,AW78=1),PTHealth,IF(AND(AT78=3,AK78="E",AV78&gt;=0.5),PTHealth*P78,0))))</f>
        <v>0</v>
      </c>
      <c r="BD78" s="462">
        <f>IF(AND(AT78&lt;&gt;0,AX78&gt;=MAXSSDI),SSDI*MAXSSDI*P78,IF(AT78&lt;&gt;0,SSDI*W78,0))</f>
        <v>0</v>
      </c>
      <c r="BE78" s="462">
        <f>IF(AT78&lt;&gt;0,SSHI*W78,0)</f>
        <v>0</v>
      </c>
      <c r="BF78" s="462">
        <f>IF(AND(AT78&lt;&gt;0,AN78&lt;&gt;"NE"),VLOOKUP(AN78,Retirement_Rates,3,FALSE)*W78,0)</f>
        <v>0</v>
      </c>
      <c r="BG78" s="462">
        <f>IF(AND(AT78&lt;&gt;0,AJ78&lt;&gt;"PF"),Life*W78,0)</f>
        <v>0</v>
      </c>
      <c r="BH78" s="462">
        <f>IF(AND(AT78&lt;&gt;0,AM78="Y"),UI*W78,0)</f>
        <v>0</v>
      </c>
      <c r="BI78" s="462">
        <f>IF(AND(AT78&lt;&gt;0,N78&lt;&gt;"NR"),DHR*W78,0)</f>
        <v>0</v>
      </c>
      <c r="BJ78" s="462">
        <f>IF(AT78&lt;&gt;0,WC*W78,0)</f>
        <v>0</v>
      </c>
      <c r="BK78" s="462">
        <f>IF(OR(AND(AT78&lt;&gt;0,AJ78&lt;&gt;"PF",AN78&lt;&gt;"NE",AG78&lt;&gt;"A"),AND(AL78="E",OR(AT78=1,AT78=3))),Sick*W78,0)</f>
        <v>0</v>
      </c>
      <c r="BL78" s="462">
        <f t="shared" si="22"/>
        <v>0</v>
      </c>
      <c r="BM78" s="462">
        <f t="shared" si="23"/>
        <v>0</v>
      </c>
      <c r="BN78" s="462">
        <f>IF(AND(AT78=1,AK78="E",AU78&gt;=0.75,AW78=1),HealthBY,IF(AND(AT78=1,AK78="E",AU78&gt;=0.75),HealthBY*P78,IF(AND(AT78=1,AK78="E",AU78&gt;=0.5,AW78=1),PTHealthBY,IF(AND(AT78=1,AK78="E",AU78&gt;=0.5),PTHealthBY*P78,0))))</f>
        <v>0</v>
      </c>
      <c r="BO78" s="462">
        <f>IF(AND(AT78=3,AK78="E",AV78&gt;=0.75,AW78=1),HealthBY,IF(AND(AT78=3,AK78="E",AV78&gt;=0.75),HealthBY*P78,IF(AND(AT78=3,AK78="E",AV78&gt;=0.5,AW78=1),PTHealthBY,IF(AND(AT78=3,AK78="E",AV78&gt;=0.5),PTHealthBY*P78,0))))</f>
        <v>0</v>
      </c>
      <c r="BP78" s="462">
        <f>IF(AND(AT78&lt;&gt;0,(AX78+BA78)&gt;=MAXSSDIBY),SSDIBY*MAXSSDIBY*P78,IF(AT78&lt;&gt;0,SSDIBY*W78,0))</f>
        <v>0</v>
      </c>
      <c r="BQ78" s="462">
        <f>IF(AT78&lt;&gt;0,SSHIBY*W78,0)</f>
        <v>0</v>
      </c>
      <c r="BR78" s="462">
        <f>IF(AND(AT78&lt;&gt;0,AN78&lt;&gt;"NE"),VLOOKUP(AN78,Retirement_Rates,4,FALSE)*W78,0)</f>
        <v>0</v>
      </c>
      <c r="BS78" s="462">
        <f>IF(AND(AT78&lt;&gt;0,AJ78&lt;&gt;"PF"),LifeBY*W78,0)</f>
        <v>0</v>
      </c>
      <c r="BT78" s="462">
        <f>IF(AND(AT78&lt;&gt;0,AM78="Y"),UIBY*W78,0)</f>
        <v>0</v>
      </c>
      <c r="BU78" s="462">
        <f>IF(AND(AT78&lt;&gt;0,N78&lt;&gt;"NR"),DHRBY*W78,0)</f>
        <v>0</v>
      </c>
      <c r="BV78" s="462">
        <f>IF(AT78&lt;&gt;0,WCBY*W78,0)</f>
        <v>0</v>
      </c>
      <c r="BW78" s="462">
        <f>IF(OR(AND(AT78&lt;&gt;0,AJ78&lt;&gt;"PF",AN78&lt;&gt;"NE",AG78&lt;&gt;"A"),AND(AL78="E",OR(AT78=1,AT78=3))),SickBY*W78,0)</f>
        <v>0</v>
      </c>
      <c r="BX78" s="462">
        <f t="shared" si="24"/>
        <v>0</v>
      </c>
      <c r="BY78" s="462">
        <f t="shared" si="25"/>
        <v>0</v>
      </c>
      <c r="BZ78" s="462">
        <f t="shared" si="26"/>
        <v>0</v>
      </c>
      <c r="CA78" s="462">
        <f t="shared" si="27"/>
        <v>0</v>
      </c>
      <c r="CB78" s="462">
        <f t="shared" si="28"/>
        <v>0</v>
      </c>
      <c r="CC78" s="462">
        <f>IF(AT78&lt;&gt;0,SSHICHG*Y78,0)</f>
        <v>0</v>
      </c>
      <c r="CD78" s="462">
        <f>IF(AND(AT78&lt;&gt;0,AN78&lt;&gt;"NE"),VLOOKUP(AN78,Retirement_Rates,5,FALSE)*Y78,0)</f>
        <v>0</v>
      </c>
      <c r="CE78" s="462">
        <f>IF(AND(AT78&lt;&gt;0,AJ78&lt;&gt;"PF"),LifeCHG*Y78,0)</f>
        <v>0</v>
      </c>
      <c r="CF78" s="462">
        <f>IF(AND(AT78&lt;&gt;0,AM78="Y"),UICHG*Y78,0)</f>
        <v>0</v>
      </c>
      <c r="CG78" s="462">
        <f>IF(AND(AT78&lt;&gt;0,N78&lt;&gt;"NR"),DHRCHG*Y78,0)</f>
        <v>0</v>
      </c>
      <c r="CH78" s="462">
        <f>IF(AT78&lt;&gt;0,WCCHG*Y78,0)</f>
        <v>0</v>
      </c>
      <c r="CI78" s="462">
        <f>IF(OR(AND(AT78&lt;&gt;0,AJ78&lt;&gt;"PF",AN78&lt;&gt;"NE",AG78&lt;&gt;"A"),AND(AL78="E",OR(AT78=1,AT78=3))),SickCHG*Y78,0)</f>
        <v>0</v>
      </c>
      <c r="CJ78" s="462">
        <f t="shared" si="29"/>
        <v>0</v>
      </c>
      <c r="CK78" s="462" t="str">
        <f t="shared" si="30"/>
        <v/>
      </c>
      <c r="CL78" s="462">
        <f t="shared" si="31"/>
        <v>0</v>
      </c>
      <c r="CM78" s="462">
        <f t="shared" si="32"/>
        <v>0</v>
      </c>
      <c r="CN78" s="462" t="str">
        <f t="shared" si="33"/>
        <v>0250-04</v>
      </c>
    </row>
    <row r="79" spans="1:92" ht="15" thickBot="1" x14ac:dyDescent="0.35">
      <c r="A79" s="376" t="s">
        <v>161</v>
      </c>
      <c r="B79" s="376" t="s">
        <v>162</v>
      </c>
      <c r="C79" s="376" t="s">
        <v>226</v>
      </c>
      <c r="D79" s="376" t="s">
        <v>227</v>
      </c>
      <c r="E79" s="376" t="s">
        <v>421</v>
      </c>
      <c r="F79" s="382" t="s">
        <v>424</v>
      </c>
      <c r="G79" s="376" t="s">
        <v>423</v>
      </c>
      <c r="H79" s="378"/>
      <c r="I79" s="378"/>
      <c r="J79" s="376" t="s">
        <v>229</v>
      </c>
      <c r="K79" s="376" t="s">
        <v>230</v>
      </c>
      <c r="L79" s="376" t="s">
        <v>231</v>
      </c>
      <c r="M79" s="376" t="s">
        <v>225</v>
      </c>
      <c r="N79" s="376" t="s">
        <v>223</v>
      </c>
      <c r="O79" s="379">
        <v>0</v>
      </c>
      <c r="P79" s="460">
        <v>0.33</v>
      </c>
      <c r="Q79" s="460">
        <v>0</v>
      </c>
      <c r="R79" s="380">
        <v>0</v>
      </c>
      <c r="S79" s="460">
        <v>0</v>
      </c>
      <c r="T79" s="380">
        <v>0</v>
      </c>
      <c r="U79" s="380">
        <v>0</v>
      </c>
      <c r="V79" s="380">
        <v>0</v>
      </c>
      <c r="W79" s="380">
        <v>0</v>
      </c>
      <c r="X79" s="380">
        <v>0</v>
      </c>
      <c r="Y79" s="380">
        <v>0</v>
      </c>
      <c r="Z79" s="380">
        <v>0</v>
      </c>
      <c r="AA79" s="378"/>
      <c r="AB79" s="376" t="s">
        <v>45</v>
      </c>
      <c r="AC79" s="376" t="s">
        <v>45</v>
      </c>
      <c r="AD79" s="378"/>
      <c r="AE79" s="378"/>
      <c r="AF79" s="378"/>
      <c r="AG79" s="378"/>
      <c r="AH79" s="379">
        <v>0</v>
      </c>
      <c r="AI79" s="379">
        <v>0</v>
      </c>
      <c r="AJ79" s="378"/>
      <c r="AK79" s="378"/>
      <c r="AL79" s="376" t="s">
        <v>181</v>
      </c>
      <c r="AM79" s="378"/>
      <c r="AN79" s="378"/>
      <c r="AO79" s="379">
        <v>0</v>
      </c>
      <c r="AP79" s="460">
        <v>0</v>
      </c>
      <c r="AQ79" s="460">
        <v>0</v>
      </c>
      <c r="AR79" s="459"/>
      <c r="AS79" s="462">
        <f t="shared" si="17"/>
        <v>0</v>
      </c>
      <c r="AT79">
        <f t="shared" si="18"/>
        <v>0</v>
      </c>
      <c r="AU79" s="462" t="str">
        <f>IF(AT79=0,"",IF(AND(AT79=1,M79="F",SUMIF(C2:C391,C79,AS2:AS391)&lt;=1),SUMIF(C2:C391,C79,AS2:AS391),IF(AND(AT79=1,M79="F",SUMIF(C2:C391,C79,AS2:AS391)&gt;1),1,"")))</f>
        <v/>
      </c>
      <c r="AV79" s="462" t="str">
        <f>IF(AT79=0,"",IF(AND(AT79=3,M79="F",SUMIF(C2:C391,C79,AS2:AS391)&lt;=1),SUMIF(C2:C391,C79,AS2:AS391),IF(AND(AT79=3,M79="F",SUMIF(C2:C391,C79,AS2:AS391)&gt;1),1,"")))</f>
        <v/>
      </c>
      <c r="AW79" s="462">
        <f>SUMIF(C2:C391,C79,O2:O391)</f>
        <v>0</v>
      </c>
      <c r="AX79" s="462">
        <f>IF(AND(M79="F",AS79&lt;&gt;0),SUMIF(C2:C391,C79,W2:W391),0)</f>
        <v>0</v>
      </c>
      <c r="AY79" s="462" t="str">
        <f t="shared" si="19"/>
        <v/>
      </c>
      <c r="AZ79" s="462" t="str">
        <f t="shared" si="20"/>
        <v/>
      </c>
      <c r="BA79" s="462">
        <f t="shared" si="21"/>
        <v>0</v>
      </c>
      <c r="BB79" s="462">
        <f>IF(AND(AT79=1,AK79="E",AU79&gt;=0.75,AW79=1),Health,IF(AND(AT79=1,AK79="E",AU79&gt;=0.75),Health*P79,IF(AND(AT79=1,AK79="E",AU79&gt;=0.5,AW79=1),PTHealth,IF(AND(AT79=1,AK79="E",AU79&gt;=0.5),PTHealth*P79,0))))</f>
        <v>0</v>
      </c>
      <c r="BC79" s="462">
        <f>IF(AND(AT79=3,AK79="E",AV79&gt;=0.75,AW79=1),Health,IF(AND(AT79=3,AK79="E",AV79&gt;=0.75),Health*P79,IF(AND(AT79=3,AK79="E",AV79&gt;=0.5,AW79=1),PTHealth,IF(AND(AT79=3,AK79="E",AV79&gt;=0.5),PTHealth*P79,0))))</f>
        <v>0</v>
      </c>
      <c r="BD79" s="462">
        <f>IF(AND(AT79&lt;&gt;0,AX79&gt;=MAXSSDI),SSDI*MAXSSDI*P79,IF(AT79&lt;&gt;0,SSDI*W79,0))</f>
        <v>0</v>
      </c>
      <c r="BE79" s="462">
        <f>IF(AT79&lt;&gt;0,SSHI*W79,0)</f>
        <v>0</v>
      </c>
      <c r="BF79" s="462">
        <f>IF(AND(AT79&lt;&gt;0,AN79&lt;&gt;"NE"),VLOOKUP(AN79,Retirement_Rates,3,FALSE)*W79,0)</f>
        <v>0</v>
      </c>
      <c r="BG79" s="462">
        <f>IF(AND(AT79&lt;&gt;0,AJ79&lt;&gt;"PF"),Life*W79,0)</f>
        <v>0</v>
      </c>
      <c r="BH79" s="462">
        <f>IF(AND(AT79&lt;&gt;0,AM79="Y"),UI*W79,0)</f>
        <v>0</v>
      </c>
      <c r="BI79" s="462">
        <f>IF(AND(AT79&lt;&gt;0,N79&lt;&gt;"NR"),DHR*W79,0)</f>
        <v>0</v>
      </c>
      <c r="BJ79" s="462">
        <f>IF(AT79&lt;&gt;0,WC*W79,0)</f>
        <v>0</v>
      </c>
      <c r="BK79" s="462">
        <f>IF(OR(AND(AT79&lt;&gt;0,AJ79&lt;&gt;"PF",AN79&lt;&gt;"NE",AG79&lt;&gt;"A"),AND(AL79="E",OR(AT79=1,AT79=3))),Sick*W79,0)</f>
        <v>0</v>
      </c>
      <c r="BL79" s="462">
        <f t="shared" si="22"/>
        <v>0</v>
      </c>
      <c r="BM79" s="462">
        <f t="shared" si="23"/>
        <v>0</v>
      </c>
      <c r="BN79" s="462">
        <f>IF(AND(AT79=1,AK79="E",AU79&gt;=0.75,AW79=1),HealthBY,IF(AND(AT79=1,AK79="E",AU79&gt;=0.75),HealthBY*P79,IF(AND(AT79=1,AK79="E",AU79&gt;=0.5,AW79=1),PTHealthBY,IF(AND(AT79=1,AK79="E",AU79&gt;=0.5),PTHealthBY*P79,0))))</f>
        <v>0</v>
      </c>
      <c r="BO79" s="462">
        <f>IF(AND(AT79=3,AK79="E",AV79&gt;=0.75,AW79=1),HealthBY,IF(AND(AT79=3,AK79="E",AV79&gt;=0.75),HealthBY*P79,IF(AND(AT79=3,AK79="E",AV79&gt;=0.5,AW79=1),PTHealthBY,IF(AND(AT79=3,AK79="E",AV79&gt;=0.5),PTHealthBY*P79,0))))</f>
        <v>0</v>
      </c>
      <c r="BP79" s="462">
        <f>IF(AND(AT79&lt;&gt;0,(AX79+BA79)&gt;=MAXSSDIBY),SSDIBY*MAXSSDIBY*P79,IF(AT79&lt;&gt;0,SSDIBY*W79,0))</f>
        <v>0</v>
      </c>
      <c r="BQ79" s="462">
        <f>IF(AT79&lt;&gt;0,SSHIBY*W79,0)</f>
        <v>0</v>
      </c>
      <c r="BR79" s="462">
        <f>IF(AND(AT79&lt;&gt;0,AN79&lt;&gt;"NE"),VLOOKUP(AN79,Retirement_Rates,4,FALSE)*W79,0)</f>
        <v>0</v>
      </c>
      <c r="BS79" s="462">
        <f>IF(AND(AT79&lt;&gt;0,AJ79&lt;&gt;"PF"),LifeBY*W79,0)</f>
        <v>0</v>
      </c>
      <c r="BT79" s="462">
        <f>IF(AND(AT79&lt;&gt;0,AM79="Y"),UIBY*W79,0)</f>
        <v>0</v>
      </c>
      <c r="BU79" s="462">
        <f>IF(AND(AT79&lt;&gt;0,N79&lt;&gt;"NR"),DHRBY*W79,0)</f>
        <v>0</v>
      </c>
      <c r="BV79" s="462">
        <f>IF(AT79&lt;&gt;0,WCBY*W79,0)</f>
        <v>0</v>
      </c>
      <c r="BW79" s="462">
        <f>IF(OR(AND(AT79&lt;&gt;0,AJ79&lt;&gt;"PF",AN79&lt;&gt;"NE",AG79&lt;&gt;"A"),AND(AL79="E",OR(AT79=1,AT79=3))),SickBY*W79,0)</f>
        <v>0</v>
      </c>
      <c r="BX79" s="462">
        <f t="shared" si="24"/>
        <v>0</v>
      </c>
      <c r="BY79" s="462">
        <f t="shared" si="25"/>
        <v>0</v>
      </c>
      <c r="BZ79" s="462">
        <f t="shared" si="26"/>
        <v>0</v>
      </c>
      <c r="CA79" s="462">
        <f t="shared" si="27"/>
        <v>0</v>
      </c>
      <c r="CB79" s="462">
        <f t="shared" si="28"/>
        <v>0</v>
      </c>
      <c r="CC79" s="462">
        <f>IF(AT79&lt;&gt;0,SSHICHG*Y79,0)</f>
        <v>0</v>
      </c>
      <c r="CD79" s="462">
        <f>IF(AND(AT79&lt;&gt;0,AN79&lt;&gt;"NE"),VLOOKUP(AN79,Retirement_Rates,5,FALSE)*Y79,0)</f>
        <v>0</v>
      </c>
      <c r="CE79" s="462">
        <f>IF(AND(AT79&lt;&gt;0,AJ79&lt;&gt;"PF"),LifeCHG*Y79,0)</f>
        <v>0</v>
      </c>
      <c r="CF79" s="462">
        <f>IF(AND(AT79&lt;&gt;0,AM79="Y"),UICHG*Y79,0)</f>
        <v>0</v>
      </c>
      <c r="CG79" s="462">
        <f>IF(AND(AT79&lt;&gt;0,N79&lt;&gt;"NR"),DHRCHG*Y79,0)</f>
        <v>0</v>
      </c>
      <c r="CH79" s="462">
        <f>IF(AT79&lt;&gt;0,WCCHG*Y79,0)</f>
        <v>0</v>
      </c>
      <c r="CI79" s="462">
        <f>IF(OR(AND(AT79&lt;&gt;0,AJ79&lt;&gt;"PF",AN79&lt;&gt;"NE",AG79&lt;&gt;"A"),AND(AL79="E",OR(AT79=1,AT79=3))),SickCHG*Y79,0)</f>
        <v>0</v>
      </c>
      <c r="CJ79" s="462">
        <f t="shared" si="29"/>
        <v>0</v>
      </c>
      <c r="CK79" s="462" t="str">
        <f t="shared" si="30"/>
        <v/>
      </c>
      <c r="CL79" s="462">
        <f t="shared" si="31"/>
        <v>0</v>
      </c>
      <c r="CM79" s="462">
        <f t="shared" si="32"/>
        <v>0</v>
      </c>
      <c r="CN79" s="462" t="str">
        <f t="shared" si="33"/>
        <v>0250-05</v>
      </c>
    </row>
    <row r="80" spans="1:92" ht="15" thickBot="1" x14ac:dyDescent="0.35">
      <c r="A80" s="376" t="s">
        <v>161</v>
      </c>
      <c r="B80" s="376" t="s">
        <v>162</v>
      </c>
      <c r="C80" s="376" t="s">
        <v>278</v>
      </c>
      <c r="D80" s="376" t="s">
        <v>279</v>
      </c>
      <c r="E80" s="376" t="s">
        <v>421</v>
      </c>
      <c r="F80" s="382" t="s">
        <v>424</v>
      </c>
      <c r="G80" s="376" t="s">
        <v>423</v>
      </c>
      <c r="H80" s="378"/>
      <c r="I80" s="378"/>
      <c r="J80" s="376" t="s">
        <v>193</v>
      </c>
      <c r="K80" s="376" t="s">
        <v>280</v>
      </c>
      <c r="L80" s="376" t="s">
        <v>215</v>
      </c>
      <c r="M80" s="376" t="s">
        <v>171</v>
      </c>
      <c r="N80" s="376" t="s">
        <v>172</v>
      </c>
      <c r="O80" s="379">
        <v>1</v>
      </c>
      <c r="P80" s="460">
        <v>0.3</v>
      </c>
      <c r="Q80" s="460">
        <v>0.3</v>
      </c>
      <c r="R80" s="380">
        <v>80</v>
      </c>
      <c r="S80" s="460">
        <v>0.3</v>
      </c>
      <c r="T80" s="380">
        <v>23672.57</v>
      </c>
      <c r="U80" s="380">
        <v>0</v>
      </c>
      <c r="V80" s="380">
        <v>8293.16</v>
      </c>
      <c r="W80" s="380">
        <v>23749.439999999999</v>
      </c>
      <c r="X80" s="380">
        <v>9146.64</v>
      </c>
      <c r="Y80" s="380">
        <v>23749.439999999999</v>
      </c>
      <c r="Z80" s="380">
        <v>9215.51</v>
      </c>
      <c r="AA80" s="376" t="s">
        <v>281</v>
      </c>
      <c r="AB80" s="376" t="s">
        <v>282</v>
      </c>
      <c r="AC80" s="376" t="s">
        <v>283</v>
      </c>
      <c r="AD80" s="376" t="s">
        <v>240</v>
      </c>
      <c r="AE80" s="376" t="s">
        <v>280</v>
      </c>
      <c r="AF80" s="376" t="s">
        <v>219</v>
      </c>
      <c r="AG80" s="376" t="s">
        <v>178</v>
      </c>
      <c r="AH80" s="381">
        <v>38.06</v>
      </c>
      <c r="AI80" s="381">
        <v>21093.5</v>
      </c>
      <c r="AJ80" s="376" t="s">
        <v>179</v>
      </c>
      <c r="AK80" s="376" t="s">
        <v>180</v>
      </c>
      <c r="AL80" s="376" t="s">
        <v>181</v>
      </c>
      <c r="AM80" s="376" t="s">
        <v>182</v>
      </c>
      <c r="AN80" s="376" t="s">
        <v>68</v>
      </c>
      <c r="AO80" s="379">
        <v>80</v>
      </c>
      <c r="AP80" s="460">
        <v>1</v>
      </c>
      <c r="AQ80" s="460">
        <v>0.3</v>
      </c>
      <c r="AR80" s="458" t="s">
        <v>183</v>
      </c>
      <c r="AS80" s="462">
        <f t="shared" si="17"/>
        <v>0.3</v>
      </c>
      <c r="AT80">
        <f t="shared" si="18"/>
        <v>1</v>
      </c>
      <c r="AU80" s="462">
        <f>IF(AT80=0,"",IF(AND(AT80=1,M80="F",SUMIF(C2:C391,C80,AS2:AS391)&lt;=1),SUMIF(C2:C391,C80,AS2:AS391),IF(AND(AT80=1,M80="F",SUMIF(C2:C391,C80,AS2:AS391)&gt;1),1,"")))</f>
        <v>1</v>
      </c>
      <c r="AV80" s="462" t="str">
        <f>IF(AT80=0,"",IF(AND(AT80=3,M80="F",SUMIF(C2:C391,C80,AS2:AS391)&lt;=1),SUMIF(C2:C391,C80,AS2:AS391),IF(AND(AT80=3,M80="F",SUMIF(C2:C391,C80,AS2:AS391)&gt;1),1,"")))</f>
        <v/>
      </c>
      <c r="AW80" s="462">
        <f>SUMIF(C2:C391,C80,O2:O391)</f>
        <v>2</v>
      </c>
      <c r="AX80" s="462">
        <f>IF(AND(M80="F",AS80&lt;&gt;0),SUMIF(C2:C391,C80,W2:W391),0)</f>
        <v>79164.800000000003</v>
      </c>
      <c r="AY80" s="462">
        <f t="shared" si="19"/>
        <v>23749.439999999999</v>
      </c>
      <c r="AZ80" s="462" t="str">
        <f t="shared" si="20"/>
        <v/>
      </c>
      <c r="BA80" s="462">
        <f t="shared" si="21"/>
        <v>0</v>
      </c>
      <c r="BB80" s="462">
        <f>IF(AND(AT80=1,AK80="E",AU80&gt;=0.75,AW80=1),Health,IF(AND(AT80=1,AK80="E",AU80&gt;=0.75),Health*P80,IF(AND(AT80=1,AK80="E",AU80&gt;=0.5,AW80=1),PTHealth,IF(AND(AT80=1,AK80="E",AU80&gt;=0.5),PTHealth*P80,0))))</f>
        <v>3495</v>
      </c>
      <c r="BC80" s="462">
        <f>IF(AND(AT80=3,AK80="E",AV80&gt;=0.75,AW80=1),Health,IF(AND(AT80=3,AK80="E",AV80&gt;=0.75),Health*P80,IF(AND(AT80=3,AK80="E",AV80&gt;=0.5,AW80=1),PTHealth,IF(AND(AT80=3,AK80="E",AV80&gt;=0.5),PTHealth*P80,0))))</f>
        <v>0</v>
      </c>
      <c r="BD80" s="462">
        <f>IF(AND(AT80&lt;&gt;0,AX80&gt;=MAXSSDI),SSDI*MAXSSDI*P80,IF(AT80&lt;&gt;0,SSDI*W80,0))</f>
        <v>1472.4652799999999</v>
      </c>
      <c r="BE80" s="462">
        <f>IF(AT80&lt;&gt;0,SSHI*W80,0)</f>
        <v>344.36687999999998</v>
      </c>
      <c r="BF80" s="462">
        <f>IF(AND(AT80&lt;&gt;0,AN80&lt;&gt;"NE"),VLOOKUP(AN80,Retirement_Rates,3,FALSE)*W80,0)</f>
        <v>2835.6831360000001</v>
      </c>
      <c r="BG80" s="462">
        <f>IF(AND(AT80&lt;&gt;0,AJ80&lt;&gt;"PF"),Life*W80,0)</f>
        <v>171.23346240000001</v>
      </c>
      <c r="BH80" s="462">
        <f>IF(AND(AT80&lt;&gt;0,AM80="Y"),UI*W80,0)</f>
        <v>116.37225599999999</v>
      </c>
      <c r="BI80" s="462">
        <f>IF(AND(AT80&lt;&gt;0,N80&lt;&gt;"NR"),DHR*W80,0)</f>
        <v>72.673286399999995</v>
      </c>
      <c r="BJ80" s="462">
        <f>IF(AT80&lt;&gt;0,WC*W80,0)</f>
        <v>638.85993599999995</v>
      </c>
      <c r="BK80" s="462">
        <f>IF(OR(AND(AT80&lt;&gt;0,AJ80&lt;&gt;"PF",AN80&lt;&gt;"NE",AG80&lt;&gt;"A"),AND(AL80="E",OR(AT80=1,AT80=3))),Sick*W80,0)</f>
        <v>0</v>
      </c>
      <c r="BL80" s="462">
        <f t="shared" si="22"/>
        <v>5651.6542367999982</v>
      </c>
      <c r="BM80" s="462">
        <f t="shared" si="23"/>
        <v>0</v>
      </c>
      <c r="BN80" s="462">
        <f>IF(AND(AT80=1,AK80="E",AU80&gt;=0.75,AW80=1),HealthBY,IF(AND(AT80=1,AK80="E",AU80&gt;=0.75),HealthBY*P80,IF(AND(AT80=1,AK80="E",AU80&gt;=0.5,AW80=1),PTHealthBY,IF(AND(AT80=1,AK80="E",AU80&gt;=0.5),PTHealthBY*P80,0))))</f>
        <v>3495</v>
      </c>
      <c r="BO80" s="462">
        <f>IF(AND(AT80=3,AK80="E",AV80&gt;=0.75,AW80=1),HealthBY,IF(AND(AT80=3,AK80="E",AV80&gt;=0.75),HealthBY*P80,IF(AND(AT80=3,AK80="E",AV80&gt;=0.5,AW80=1),PTHealthBY,IF(AND(AT80=3,AK80="E",AV80&gt;=0.5),PTHealthBY*P80,0))))</f>
        <v>0</v>
      </c>
      <c r="BP80" s="462">
        <f>IF(AND(AT80&lt;&gt;0,(AX80+BA80)&gt;=MAXSSDIBY),SSDIBY*MAXSSDIBY*P80,IF(AT80&lt;&gt;0,SSDIBY*W80,0))</f>
        <v>1472.4652799999999</v>
      </c>
      <c r="BQ80" s="462">
        <f>IF(AT80&lt;&gt;0,SSHIBY*W80,0)</f>
        <v>344.36687999999998</v>
      </c>
      <c r="BR80" s="462">
        <f>IF(AND(AT80&lt;&gt;0,AN80&lt;&gt;"NE"),VLOOKUP(AN80,Retirement_Rates,4,FALSE)*W80,0)</f>
        <v>2835.6831360000001</v>
      </c>
      <c r="BS80" s="462">
        <f>IF(AND(AT80&lt;&gt;0,AJ80&lt;&gt;"PF"),LifeBY*W80,0)</f>
        <v>171.23346240000001</v>
      </c>
      <c r="BT80" s="462">
        <f>IF(AND(AT80&lt;&gt;0,AM80="Y"),UIBY*W80,0)</f>
        <v>0</v>
      </c>
      <c r="BU80" s="462">
        <f>IF(AND(AT80&lt;&gt;0,N80&lt;&gt;"NR"),DHRBY*W80,0)</f>
        <v>72.673286399999995</v>
      </c>
      <c r="BV80" s="462">
        <f>IF(AT80&lt;&gt;0,WCBY*W80,0)</f>
        <v>824.10556799999995</v>
      </c>
      <c r="BW80" s="462">
        <f>IF(OR(AND(AT80&lt;&gt;0,AJ80&lt;&gt;"PF",AN80&lt;&gt;"NE",AG80&lt;&gt;"A"),AND(AL80="E",OR(AT80=1,AT80=3))),SickBY*W80,0)</f>
        <v>0</v>
      </c>
      <c r="BX80" s="462">
        <f t="shared" si="24"/>
        <v>5720.5276127999987</v>
      </c>
      <c r="BY80" s="462">
        <f t="shared" si="25"/>
        <v>0</v>
      </c>
      <c r="BZ80" s="462">
        <f t="shared" si="26"/>
        <v>0</v>
      </c>
      <c r="CA80" s="462">
        <f t="shared" si="27"/>
        <v>0</v>
      </c>
      <c r="CB80" s="462">
        <f t="shared" si="28"/>
        <v>0</v>
      </c>
      <c r="CC80" s="462">
        <f>IF(AT80&lt;&gt;0,SSHICHG*Y80,0)</f>
        <v>0</v>
      </c>
      <c r="CD80" s="462">
        <f>IF(AND(AT80&lt;&gt;0,AN80&lt;&gt;"NE"),VLOOKUP(AN80,Retirement_Rates,5,FALSE)*Y80,0)</f>
        <v>0</v>
      </c>
      <c r="CE80" s="462">
        <f>IF(AND(AT80&lt;&gt;0,AJ80&lt;&gt;"PF"),LifeCHG*Y80,0)</f>
        <v>0</v>
      </c>
      <c r="CF80" s="462">
        <f>IF(AND(AT80&lt;&gt;0,AM80="Y"),UICHG*Y80,0)</f>
        <v>-116.37225599999999</v>
      </c>
      <c r="CG80" s="462">
        <f>IF(AND(AT80&lt;&gt;0,N80&lt;&gt;"NR"),DHRCHG*Y80,0)</f>
        <v>0</v>
      </c>
      <c r="CH80" s="462">
        <f>IF(AT80&lt;&gt;0,WCCHG*Y80,0)</f>
        <v>185.24563200000003</v>
      </c>
      <c r="CI80" s="462">
        <f>IF(OR(AND(AT80&lt;&gt;0,AJ80&lt;&gt;"PF",AN80&lt;&gt;"NE",AG80&lt;&gt;"A"),AND(AL80="E",OR(AT80=1,AT80=3))),SickCHG*Y80,0)</f>
        <v>0</v>
      </c>
      <c r="CJ80" s="462">
        <f t="shared" si="29"/>
        <v>68.873376000000036</v>
      </c>
      <c r="CK80" s="462" t="str">
        <f t="shared" si="30"/>
        <v/>
      </c>
      <c r="CL80" s="462" t="str">
        <f t="shared" si="31"/>
        <v/>
      </c>
      <c r="CM80" s="462" t="str">
        <f t="shared" si="32"/>
        <v/>
      </c>
      <c r="CN80" s="462" t="str">
        <f t="shared" si="33"/>
        <v>0250-05</v>
      </c>
    </row>
    <row r="81" spans="1:92" ht="15" thickBot="1" x14ac:dyDescent="0.35">
      <c r="A81" s="376" t="s">
        <v>161</v>
      </c>
      <c r="B81" s="376" t="s">
        <v>162</v>
      </c>
      <c r="C81" s="376" t="s">
        <v>287</v>
      </c>
      <c r="D81" s="376" t="s">
        <v>288</v>
      </c>
      <c r="E81" s="376" t="s">
        <v>421</v>
      </c>
      <c r="F81" s="382" t="s">
        <v>424</v>
      </c>
      <c r="G81" s="376" t="s">
        <v>423</v>
      </c>
      <c r="H81" s="378"/>
      <c r="I81" s="378"/>
      <c r="J81" s="376" t="s">
        <v>229</v>
      </c>
      <c r="K81" s="376" t="s">
        <v>289</v>
      </c>
      <c r="L81" s="376" t="s">
        <v>215</v>
      </c>
      <c r="M81" s="376" t="s">
        <v>171</v>
      </c>
      <c r="N81" s="376" t="s">
        <v>172</v>
      </c>
      <c r="O81" s="379">
        <v>1</v>
      </c>
      <c r="P81" s="460">
        <v>0.3</v>
      </c>
      <c r="Q81" s="460">
        <v>0.3</v>
      </c>
      <c r="R81" s="380">
        <v>80</v>
      </c>
      <c r="S81" s="460">
        <v>0.3</v>
      </c>
      <c r="T81" s="380">
        <v>29117.01</v>
      </c>
      <c r="U81" s="380">
        <v>0</v>
      </c>
      <c r="V81" s="380">
        <v>9488.07</v>
      </c>
      <c r="W81" s="380">
        <v>28909.919999999998</v>
      </c>
      <c r="X81" s="380">
        <v>10374.68</v>
      </c>
      <c r="Y81" s="380">
        <v>28909.919999999998</v>
      </c>
      <c r="Z81" s="380">
        <v>10458.52</v>
      </c>
      <c r="AA81" s="376" t="s">
        <v>290</v>
      </c>
      <c r="AB81" s="376" t="s">
        <v>291</v>
      </c>
      <c r="AC81" s="376" t="s">
        <v>292</v>
      </c>
      <c r="AD81" s="376" t="s">
        <v>231</v>
      </c>
      <c r="AE81" s="376" t="s">
        <v>289</v>
      </c>
      <c r="AF81" s="376" t="s">
        <v>219</v>
      </c>
      <c r="AG81" s="376" t="s">
        <v>178</v>
      </c>
      <c r="AH81" s="381">
        <v>46.33</v>
      </c>
      <c r="AI81" s="379">
        <v>31960</v>
      </c>
      <c r="AJ81" s="376" t="s">
        <v>179</v>
      </c>
      <c r="AK81" s="376" t="s">
        <v>180</v>
      </c>
      <c r="AL81" s="376" t="s">
        <v>181</v>
      </c>
      <c r="AM81" s="376" t="s">
        <v>182</v>
      </c>
      <c r="AN81" s="376" t="s">
        <v>68</v>
      </c>
      <c r="AO81" s="379">
        <v>80</v>
      </c>
      <c r="AP81" s="460">
        <v>1</v>
      </c>
      <c r="AQ81" s="460">
        <v>0.3</v>
      </c>
      <c r="AR81" s="458" t="s">
        <v>183</v>
      </c>
      <c r="AS81" s="462">
        <f t="shared" si="17"/>
        <v>0.3</v>
      </c>
      <c r="AT81">
        <f t="shared" si="18"/>
        <v>1</v>
      </c>
      <c r="AU81" s="462">
        <f>IF(AT81=0,"",IF(AND(AT81=1,M81="F",SUMIF(C2:C391,C81,AS2:AS391)&lt;=1),SUMIF(C2:C391,C81,AS2:AS391),IF(AND(AT81=1,M81="F",SUMIF(C2:C391,C81,AS2:AS391)&gt;1),1,"")))</f>
        <v>1</v>
      </c>
      <c r="AV81" s="462" t="str">
        <f>IF(AT81=0,"",IF(AND(AT81=3,M81="F",SUMIF(C2:C391,C81,AS2:AS391)&lt;=1),SUMIF(C2:C391,C81,AS2:AS391),IF(AND(AT81=3,M81="F",SUMIF(C2:C391,C81,AS2:AS391)&gt;1),1,"")))</f>
        <v/>
      </c>
      <c r="AW81" s="462">
        <f>SUMIF(C2:C391,C81,O2:O391)</f>
        <v>3</v>
      </c>
      <c r="AX81" s="462">
        <f>IF(AND(M81="F",AS81&lt;&gt;0),SUMIF(C2:C391,C81,W2:W391),0)</f>
        <v>96366.399999999994</v>
      </c>
      <c r="AY81" s="462">
        <f t="shared" si="19"/>
        <v>28909.919999999998</v>
      </c>
      <c r="AZ81" s="462" t="str">
        <f t="shared" si="20"/>
        <v/>
      </c>
      <c r="BA81" s="462">
        <f t="shared" si="21"/>
        <v>0</v>
      </c>
      <c r="BB81" s="462">
        <f>IF(AND(AT81=1,AK81="E",AU81&gt;=0.75,AW81=1),Health,IF(AND(AT81=1,AK81="E",AU81&gt;=0.75),Health*P81,IF(AND(AT81=1,AK81="E",AU81&gt;=0.5,AW81=1),PTHealth,IF(AND(AT81=1,AK81="E",AU81&gt;=0.5),PTHealth*P81,0))))</f>
        <v>3495</v>
      </c>
      <c r="BC81" s="462">
        <f>IF(AND(AT81=3,AK81="E",AV81&gt;=0.75,AW81=1),Health,IF(AND(AT81=3,AK81="E",AV81&gt;=0.75),Health*P81,IF(AND(AT81=3,AK81="E",AV81&gt;=0.5,AW81=1),PTHealth,IF(AND(AT81=3,AK81="E",AV81&gt;=0.5),PTHealth*P81,0))))</f>
        <v>0</v>
      </c>
      <c r="BD81" s="462">
        <f>IF(AND(AT81&lt;&gt;0,AX81&gt;=MAXSSDI),SSDI*MAXSSDI*P81,IF(AT81&lt;&gt;0,SSDI*W81,0))</f>
        <v>1792.4150399999999</v>
      </c>
      <c r="BE81" s="462">
        <f>IF(AT81&lt;&gt;0,SSHI*W81,0)</f>
        <v>419.19384000000002</v>
      </c>
      <c r="BF81" s="462">
        <f>IF(AND(AT81&lt;&gt;0,AN81&lt;&gt;"NE"),VLOOKUP(AN81,Retirement_Rates,3,FALSE)*W81,0)</f>
        <v>3451.8444479999998</v>
      </c>
      <c r="BG81" s="462">
        <f>IF(AND(AT81&lt;&gt;0,AJ81&lt;&gt;"PF"),Life*W81,0)</f>
        <v>208.4405232</v>
      </c>
      <c r="BH81" s="462">
        <f>IF(AND(AT81&lt;&gt;0,AM81="Y"),UI*W81,0)</f>
        <v>141.65860799999999</v>
      </c>
      <c r="BI81" s="462">
        <f>IF(AND(AT81&lt;&gt;0,N81&lt;&gt;"NR"),DHR*W81,0)</f>
        <v>88.464355199999986</v>
      </c>
      <c r="BJ81" s="462">
        <f>IF(AT81&lt;&gt;0,WC*W81,0)</f>
        <v>777.67684799999995</v>
      </c>
      <c r="BK81" s="462">
        <f>IF(OR(AND(AT81&lt;&gt;0,AJ81&lt;&gt;"PF",AN81&lt;&gt;"NE",AG81&lt;&gt;"A"),AND(AL81="E",OR(AT81=1,AT81=3))),Sick*W81,0)</f>
        <v>0</v>
      </c>
      <c r="BL81" s="462">
        <f t="shared" si="22"/>
        <v>6879.6936623999991</v>
      </c>
      <c r="BM81" s="462">
        <f t="shared" si="23"/>
        <v>0</v>
      </c>
      <c r="BN81" s="462">
        <f>IF(AND(AT81=1,AK81="E",AU81&gt;=0.75,AW81=1),HealthBY,IF(AND(AT81=1,AK81="E",AU81&gt;=0.75),HealthBY*P81,IF(AND(AT81=1,AK81="E",AU81&gt;=0.5,AW81=1),PTHealthBY,IF(AND(AT81=1,AK81="E",AU81&gt;=0.5),PTHealthBY*P81,0))))</f>
        <v>3495</v>
      </c>
      <c r="BO81" s="462">
        <f>IF(AND(AT81=3,AK81="E",AV81&gt;=0.75,AW81=1),HealthBY,IF(AND(AT81=3,AK81="E",AV81&gt;=0.75),HealthBY*P81,IF(AND(AT81=3,AK81="E",AV81&gt;=0.5,AW81=1),PTHealthBY,IF(AND(AT81=3,AK81="E",AV81&gt;=0.5),PTHealthBY*P81,0))))</f>
        <v>0</v>
      </c>
      <c r="BP81" s="462">
        <f>IF(AND(AT81&lt;&gt;0,(AX81+BA81)&gt;=MAXSSDIBY),SSDIBY*MAXSSDIBY*P81,IF(AT81&lt;&gt;0,SSDIBY*W81,0))</f>
        <v>1792.4150399999999</v>
      </c>
      <c r="BQ81" s="462">
        <f>IF(AT81&lt;&gt;0,SSHIBY*W81,0)</f>
        <v>419.19384000000002</v>
      </c>
      <c r="BR81" s="462">
        <f>IF(AND(AT81&lt;&gt;0,AN81&lt;&gt;"NE"),VLOOKUP(AN81,Retirement_Rates,4,FALSE)*W81,0)</f>
        <v>3451.8444479999998</v>
      </c>
      <c r="BS81" s="462">
        <f>IF(AND(AT81&lt;&gt;0,AJ81&lt;&gt;"PF"),LifeBY*W81,0)</f>
        <v>208.4405232</v>
      </c>
      <c r="BT81" s="462">
        <f>IF(AND(AT81&lt;&gt;0,AM81="Y"),UIBY*W81,0)</f>
        <v>0</v>
      </c>
      <c r="BU81" s="462">
        <f>IF(AND(AT81&lt;&gt;0,N81&lt;&gt;"NR"),DHRBY*W81,0)</f>
        <v>88.464355199999986</v>
      </c>
      <c r="BV81" s="462">
        <f>IF(AT81&lt;&gt;0,WCBY*W81,0)</f>
        <v>1003.174224</v>
      </c>
      <c r="BW81" s="462">
        <f>IF(OR(AND(AT81&lt;&gt;0,AJ81&lt;&gt;"PF",AN81&lt;&gt;"NE",AG81&lt;&gt;"A"),AND(AL81="E",OR(AT81=1,AT81=3))),SickBY*W81,0)</f>
        <v>0</v>
      </c>
      <c r="BX81" s="462">
        <f t="shared" si="24"/>
        <v>6963.5324303999996</v>
      </c>
      <c r="BY81" s="462">
        <f t="shared" si="25"/>
        <v>0</v>
      </c>
      <c r="BZ81" s="462">
        <f t="shared" si="26"/>
        <v>0</v>
      </c>
      <c r="CA81" s="462">
        <f t="shared" si="27"/>
        <v>0</v>
      </c>
      <c r="CB81" s="462">
        <f t="shared" si="28"/>
        <v>0</v>
      </c>
      <c r="CC81" s="462">
        <f>IF(AT81&lt;&gt;0,SSHICHG*Y81,0)</f>
        <v>0</v>
      </c>
      <c r="CD81" s="462">
        <f>IF(AND(AT81&lt;&gt;0,AN81&lt;&gt;"NE"),VLOOKUP(AN81,Retirement_Rates,5,FALSE)*Y81,0)</f>
        <v>0</v>
      </c>
      <c r="CE81" s="462">
        <f>IF(AND(AT81&lt;&gt;0,AJ81&lt;&gt;"PF"),LifeCHG*Y81,0)</f>
        <v>0</v>
      </c>
      <c r="CF81" s="462">
        <f>IF(AND(AT81&lt;&gt;0,AM81="Y"),UICHG*Y81,0)</f>
        <v>-141.65860799999999</v>
      </c>
      <c r="CG81" s="462">
        <f>IF(AND(AT81&lt;&gt;0,N81&lt;&gt;"NR"),DHRCHG*Y81,0)</f>
        <v>0</v>
      </c>
      <c r="CH81" s="462">
        <f>IF(AT81&lt;&gt;0,WCCHG*Y81,0)</f>
        <v>225.49737600000003</v>
      </c>
      <c r="CI81" s="462">
        <f>IF(OR(AND(AT81&lt;&gt;0,AJ81&lt;&gt;"PF",AN81&lt;&gt;"NE",AG81&lt;&gt;"A"),AND(AL81="E",OR(AT81=1,AT81=3))),SickCHG*Y81,0)</f>
        <v>0</v>
      </c>
      <c r="CJ81" s="462">
        <f t="shared" si="29"/>
        <v>83.838768000000044</v>
      </c>
      <c r="CK81" s="462" t="str">
        <f t="shared" si="30"/>
        <v/>
      </c>
      <c r="CL81" s="462" t="str">
        <f t="shared" si="31"/>
        <v/>
      </c>
      <c r="CM81" s="462" t="str">
        <f t="shared" si="32"/>
        <v/>
      </c>
      <c r="CN81" s="462" t="str">
        <f t="shared" si="33"/>
        <v>0250-05</v>
      </c>
    </row>
    <row r="82" spans="1:92" ht="15" thickBot="1" x14ac:dyDescent="0.35">
      <c r="A82" s="376" t="s">
        <v>161</v>
      </c>
      <c r="B82" s="376" t="s">
        <v>162</v>
      </c>
      <c r="C82" s="376" t="s">
        <v>293</v>
      </c>
      <c r="D82" s="376" t="s">
        <v>294</v>
      </c>
      <c r="E82" s="376" t="s">
        <v>421</v>
      </c>
      <c r="F82" s="382" t="s">
        <v>424</v>
      </c>
      <c r="G82" s="376" t="s">
        <v>423</v>
      </c>
      <c r="H82" s="378"/>
      <c r="I82" s="378"/>
      <c r="J82" s="376" t="s">
        <v>229</v>
      </c>
      <c r="K82" s="376" t="s">
        <v>295</v>
      </c>
      <c r="L82" s="376" t="s">
        <v>166</v>
      </c>
      <c r="M82" s="376" t="s">
        <v>171</v>
      </c>
      <c r="N82" s="376" t="s">
        <v>296</v>
      </c>
      <c r="O82" s="379">
        <v>1</v>
      </c>
      <c r="P82" s="460">
        <v>0.1</v>
      </c>
      <c r="Q82" s="460">
        <v>0.1</v>
      </c>
      <c r="R82" s="380">
        <v>80</v>
      </c>
      <c r="S82" s="460">
        <v>0.1</v>
      </c>
      <c r="T82" s="380">
        <v>9549.94</v>
      </c>
      <c r="U82" s="380">
        <v>0</v>
      </c>
      <c r="V82" s="380">
        <v>2628.35</v>
      </c>
      <c r="W82" s="380">
        <v>14281.28</v>
      </c>
      <c r="X82" s="380">
        <v>4519.7299999999996</v>
      </c>
      <c r="Y82" s="380">
        <v>14281.28</v>
      </c>
      <c r="Z82" s="380">
        <v>4561.1499999999996</v>
      </c>
      <c r="AA82" s="376" t="s">
        <v>297</v>
      </c>
      <c r="AB82" s="376" t="s">
        <v>298</v>
      </c>
      <c r="AC82" s="376" t="s">
        <v>299</v>
      </c>
      <c r="AD82" s="376" t="s">
        <v>180</v>
      </c>
      <c r="AE82" s="376" t="s">
        <v>295</v>
      </c>
      <c r="AF82" s="376" t="s">
        <v>300</v>
      </c>
      <c r="AG82" s="376" t="s">
        <v>178</v>
      </c>
      <c r="AH82" s="381">
        <v>68.66</v>
      </c>
      <c r="AI82" s="381">
        <v>12037.4</v>
      </c>
      <c r="AJ82" s="376" t="s">
        <v>179</v>
      </c>
      <c r="AK82" s="376" t="s">
        <v>180</v>
      </c>
      <c r="AL82" s="376" t="s">
        <v>181</v>
      </c>
      <c r="AM82" s="376" t="s">
        <v>182</v>
      </c>
      <c r="AN82" s="376" t="s">
        <v>68</v>
      </c>
      <c r="AO82" s="379">
        <v>80</v>
      </c>
      <c r="AP82" s="460">
        <v>1</v>
      </c>
      <c r="AQ82" s="460">
        <v>0.1</v>
      </c>
      <c r="AR82" s="458" t="s">
        <v>183</v>
      </c>
      <c r="AS82" s="462">
        <f t="shared" si="17"/>
        <v>0.1</v>
      </c>
      <c r="AT82">
        <f t="shared" si="18"/>
        <v>1</v>
      </c>
      <c r="AU82" s="462">
        <f>IF(AT82=0,"",IF(AND(AT82=1,M82="F",SUMIF(C2:C391,C82,AS2:AS391)&lt;=1),SUMIF(C2:C391,C82,AS2:AS391),IF(AND(AT82=1,M82="F",SUMIF(C2:C391,C82,AS2:AS391)&gt;1),1,"")))</f>
        <v>0.99999999999999989</v>
      </c>
      <c r="AV82" s="462" t="str">
        <f>IF(AT82=0,"",IF(AND(AT82=3,M82="F",SUMIF(C2:C391,C82,AS2:AS391)&lt;=1),SUMIF(C2:C391,C82,AS2:AS391),IF(AND(AT82=3,M82="F",SUMIF(C2:C391,C82,AS2:AS391)&gt;1),1,"")))</f>
        <v/>
      </c>
      <c r="AW82" s="462">
        <f>SUMIF(C2:C391,C82,O2:O391)</f>
        <v>3</v>
      </c>
      <c r="AX82" s="462">
        <f>IF(AND(M82="F",AS82&lt;&gt;0),SUMIF(C2:C391,C82,W2:W391),0)</f>
        <v>142812.79999999999</v>
      </c>
      <c r="AY82" s="462">
        <f t="shared" si="19"/>
        <v>14281.28</v>
      </c>
      <c r="AZ82" s="462" t="str">
        <f t="shared" si="20"/>
        <v/>
      </c>
      <c r="BA82" s="462">
        <f t="shared" si="21"/>
        <v>0</v>
      </c>
      <c r="BB82" s="462">
        <f>IF(AND(AT82=1,AK82="E",AU82&gt;=0.75,AW82=1),Health,IF(AND(AT82=1,AK82="E",AU82&gt;=0.75),Health*P82,IF(AND(AT82=1,AK82="E",AU82&gt;=0.5,AW82=1),PTHealth,IF(AND(AT82=1,AK82="E",AU82&gt;=0.5),PTHealth*P82,0))))</f>
        <v>1165</v>
      </c>
      <c r="BC82" s="462">
        <f>IF(AND(AT82=3,AK82="E",AV82&gt;=0.75,AW82=1),Health,IF(AND(AT82=3,AK82="E",AV82&gt;=0.75),Health*P82,IF(AND(AT82=3,AK82="E",AV82&gt;=0.5,AW82=1),PTHealth,IF(AND(AT82=3,AK82="E",AV82&gt;=0.5),PTHealth*P82,0))))</f>
        <v>0</v>
      </c>
      <c r="BD82" s="462">
        <f>IF(AND(AT82&lt;&gt;0,AX82&gt;=MAXSSDI),SSDI*MAXSSDI*P82,IF(AT82&lt;&gt;0,SSDI*W82,0))</f>
        <v>853.74</v>
      </c>
      <c r="BE82" s="462">
        <f>IF(AT82&lt;&gt;0,SSHI*W82,0)</f>
        <v>207.07856000000001</v>
      </c>
      <c r="BF82" s="462">
        <f>IF(AND(AT82&lt;&gt;0,AN82&lt;&gt;"NE"),VLOOKUP(AN82,Retirement_Rates,3,FALSE)*W82,0)</f>
        <v>1705.1848320000001</v>
      </c>
      <c r="BG82" s="462">
        <f>IF(AND(AT82&lt;&gt;0,AJ82&lt;&gt;"PF"),Life*W82,0)</f>
        <v>102.96802880000001</v>
      </c>
      <c r="BH82" s="462">
        <f>IF(AND(AT82&lt;&gt;0,AM82="Y"),UI*W82,0)</f>
        <v>69.978272000000004</v>
      </c>
      <c r="BI82" s="462">
        <f>IF(AND(AT82&lt;&gt;0,N82&lt;&gt;"NR"),DHR*W82,0)</f>
        <v>0</v>
      </c>
      <c r="BJ82" s="462">
        <f>IF(AT82&lt;&gt;0,WC*W82,0)</f>
        <v>384.16643200000004</v>
      </c>
      <c r="BK82" s="462">
        <f>IF(OR(AND(AT82&lt;&gt;0,AJ82&lt;&gt;"PF",AN82&lt;&gt;"NE",AG82&lt;&gt;"A"),AND(AL82="E",OR(AT82=1,AT82=3))),Sick*W82,0)</f>
        <v>0</v>
      </c>
      <c r="BL82" s="462">
        <f t="shared" si="22"/>
        <v>3323.1161247999999</v>
      </c>
      <c r="BM82" s="462">
        <f t="shared" si="23"/>
        <v>0</v>
      </c>
      <c r="BN82" s="462">
        <f>IF(AND(AT82=1,AK82="E",AU82&gt;=0.75,AW82=1),HealthBY,IF(AND(AT82=1,AK82="E",AU82&gt;=0.75),HealthBY*P82,IF(AND(AT82=1,AK82="E",AU82&gt;=0.5,AW82=1),PTHealthBY,IF(AND(AT82=1,AK82="E",AU82&gt;=0.5),PTHealthBY*P82,0))))</f>
        <v>1165</v>
      </c>
      <c r="BO82" s="462">
        <f>IF(AND(AT82=3,AK82="E",AV82&gt;=0.75,AW82=1),HealthBY,IF(AND(AT82=3,AK82="E",AV82&gt;=0.75),HealthBY*P82,IF(AND(AT82=3,AK82="E",AV82&gt;=0.5,AW82=1),PTHealthBY,IF(AND(AT82=3,AK82="E",AV82&gt;=0.5),PTHealthBY*P82,0))))</f>
        <v>0</v>
      </c>
      <c r="BP82" s="462">
        <f>IF(AND(AT82&lt;&gt;0,(AX82+BA82)&gt;=MAXSSDIBY),SSDIBY*MAXSSDIBY*P82,IF(AT82&lt;&gt;0,SSDIBY*W82,0))</f>
        <v>885.36000000000013</v>
      </c>
      <c r="BQ82" s="462">
        <f>IF(AT82&lt;&gt;0,SSHIBY*W82,0)</f>
        <v>207.07856000000001</v>
      </c>
      <c r="BR82" s="462">
        <f>IF(AND(AT82&lt;&gt;0,AN82&lt;&gt;"NE"),VLOOKUP(AN82,Retirement_Rates,4,FALSE)*W82,0)</f>
        <v>1705.1848320000001</v>
      </c>
      <c r="BS82" s="462">
        <f>IF(AND(AT82&lt;&gt;0,AJ82&lt;&gt;"PF"),LifeBY*W82,0)</f>
        <v>102.96802880000001</v>
      </c>
      <c r="BT82" s="462">
        <f>IF(AND(AT82&lt;&gt;0,AM82="Y"),UIBY*W82,0)</f>
        <v>0</v>
      </c>
      <c r="BU82" s="462">
        <f>IF(AND(AT82&lt;&gt;0,N82&lt;&gt;"NR"),DHRBY*W82,0)</f>
        <v>0</v>
      </c>
      <c r="BV82" s="462">
        <f>IF(AT82&lt;&gt;0,WCBY*W82,0)</f>
        <v>495.56041600000003</v>
      </c>
      <c r="BW82" s="462">
        <f>IF(OR(AND(AT82&lt;&gt;0,AJ82&lt;&gt;"PF",AN82&lt;&gt;"NE",AG82&lt;&gt;"A"),AND(AL82="E",OR(AT82=1,AT82=3))),SickBY*W82,0)</f>
        <v>0</v>
      </c>
      <c r="BX82" s="462">
        <f t="shared" si="24"/>
        <v>3396.1518368000006</v>
      </c>
      <c r="BY82" s="462">
        <f t="shared" si="25"/>
        <v>0</v>
      </c>
      <c r="BZ82" s="462">
        <f t="shared" si="26"/>
        <v>0</v>
      </c>
      <c r="CA82" s="462">
        <f t="shared" si="27"/>
        <v>0</v>
      </c>
      <c r="CB82" s="462">
        <f t="shared" si="28"/>
        <v>31.620000000000118</v>
      </c>
      <c r="CC82" s="462">
        <f>IF(AT82&lt;&gt;0,SSHICHG*Y82,0)</f>
        <v>0</v>
      </c>
      <c r="CD82" s="462">
        <f>IF(AND(AT82&lt;&gt;0,AN82&lt;&gt;"NE"),VLOOKUP(AN82,Retirement_Rates,5,FALSE)*Y82,0)</f>
        <v>0</v>
      </c>
      <c r="CE82" s="462">
        <f>IF(AND(AT82&lt;&gt;0,AJ82&lt;&gt;"PF"),LifeCHG*Y82,0)</f>
        <v>0</v>
      </c>
      <c r="CF82" s="462">
        <f>IF(AND(AT82&lt;&gt;0,AM82="Y"),UICHG*Y82,0)</f>
        <v>-69.978272000000004</v>
      </c>
      <c r="CG82" s="462">
        <f>IF(AND(AT82&lt;&gt;0,N82&lt;&gt;"NR"),DHRCHG*Y82,0)</f>
        <v>0</v>
      </c>
      <c r="CH82" s="462">
        <f>IF(AT82&lt;&gt;0,WCCHG*Y82,0)</f>
        <v>111.39398400000003</v>
      </c>
      <c r="CI82" s="462">
        <f>IF(OR(AND(AT82&lt;&gt;0,AJ82&lt;&gt;"PF",AN82&lt;&gt;"NE",AG82&lt;&gt;"A"),AND(AL82="E",OR(AT82=1,AT82=3))),SickCHG*Y82,0)</f>
        <v>0</v>
      </c>
      <c r="CJ82" s="462">
        <f t="shared" si="29"/>
        <v>73.035712000000146</v>
      </c>
      <c r="CK82" s="462" t="str">
        <f t="shared" si="30"/>
        <v/>
      </c>
      <c r="CL82" s="462" t="str">
        <f t="shared" si="31"/>
        <v/>
      </c>
      <c r="CM82" s="462" t="str">
        <f t="shared" si="32"/>
        <v/>
      </c>
      <c r="CN82" s="462" t="str">
        <f t="shared" si="33"/>
        <v>0250-05</v>
      </c>
    </row>
    <row r="83" spans="1:92" ht="15" thickBot="1" x14ac:dyDescent="0.35">
      <c r="A83" s="376" t="s">
        <v>161</v>
      </c>
      <c r="B83" s="376" t="s">
        <v>162</v>
      </c>
      <c r="C83" s="376" t="s">
        <v>301</v>
      </c>
      <c r="D83" s="376" t="s">
        <v>302</v>
      </c>
      <c r="E83" s="376" t="s">
        <v>421</v>
      </c>
      <c r="F83" s="382" t="s">
        <v>424</v>
      </c>
      <c r="G83" s="376" t="s">
        <v>423</v>
      </c>
      <c r="H83" s="378"/>
      <c r="I83" s="378"/>
      <c r="J83" s="376" t="s">
        <v>193</v>
      </c>
      <c r="K83" s="376" t="s">
        <v>303</v>
      </c>
      <c r="L83" s="376" t="s">
        <v>240</v>
      </c>
      <c r="M83" s="376" t="s">
        <v>171</v>
      </c>
      <c r="N83" s="376" t="s">
        <v>172</v>
      </c>
      <c r="O83" s="379">
        <v>1</v>
      </c>
      <c r="P83" s="460">
        <v>0.1</v>
      </c>
      <c r="Q83" s="460">
        <v>0.1</v>
      </c>
      <c r="R83" s="380">
        <v>80</v>
      </c>
      <c r="S83" s="460">
        <v>0.1</v>
      </c>
      <c r="T83" s="380">
        <v>3644.93</v>
      </c>
      <c r="U83" s="380">
        <v>0</v>
      </c>
      <c r="V83" s="380">
        <v>1892.14</v>
      </c>
      <c r="W83" s="380">
        <v>4709.12</v>
      </c>
      <c r="X83" s="380">
        <v>2285.62</v>
      </c>
      <c r="Y83" s="380">
        <v>4709.12</v>
      </c>
      <c r="Z83" s="380">
        <v>2299.2800000000002</v>
      </c>
      <c r="AA83" s="376" t="s">
        <v>304</v>
      </c>
      <c r="AB83" s="376" t="s">
        <v>305</v>
      </c>
      <c r="AC83" s="376" t="s">
        <v>306</v>
      </c>
      <c r="AD83" s="376" t="s">
        <v>176</v>
      </c>
      <c r="AE83" s="376" t="s">
        <v>303</v>
      </c>
      <c r="AF83" s="376" t="s">
        <v>244</v>
      </c>
      <c r="AG83" s="376" t="s">
        <v>178</v>
      </c>
      <c r="AH83" s="381">
        <v>22.64</v>
      </c>
      <c r="AI83" s="381">
        <v>13855.9</v>
      </c>
      <c r="AJ83" s="376" t="s">
        <v>179</v>
      </c>
      <c r="AK83" s="376" t="s">
        <v>180</v>
      </c>
      <c r="AL83" s="376" t="s">
        <v>181</v>
      </c>
      <c r="AM83" s="376" t="s">
        <v>182</v>
      </c>
      <c r="AN83" s="376" t="s">
        <v>68</v>
      </c>
      <c r="AO83" s="379">
        <v>80</v>
      </c>
      <c r="AP83" s="460">
        <v>1</v>
      </c>
      <c r="AQ83" s="460">
        <v>0.1</v>
      </c>
      <c r="AR83" s="458" t="s">
        <v>183</v>
      </c>
      <c r="AS83" s="462">
        <f t="shared" si="17"/>
        <v>0.1</v>
      </c>
      <c r="AT83">
        <f t="shared" si="18"/>
        <v>1</v>
      </c>
      <c r="AU83" s="462">
        <f>IF(AT83=0,"",IF(AND(AT83=1,M83="F",SUMIF(C2:C391,C83,AS2:AS391)&lt;=1),SUMIF(C2:C391,C83,AS2:AS391),IF(AND(AT83=1,M83="F",SUMIF(C2:C391,C83,AS2:AS391)&gt;1),1,"")))</f>
        <v>1</v>
      </c>
      <c r="AV83" s="462" t="str">
        <f>IF(AT83=0,"",IF(AND(AT83=3,M83="F",SUMIF(C2:C391,C83,AS2:AS391)&lt;=1),SUMIF(C2:C391,C83,AS2:AS391),IF(AND(AT83=3,M83="F",SUMIF(C2:C391,C83,AS2:AS391)&gt;1),1,"")))</f>
        <v/>
      </c>
      <c r="AW83" s="462">
        <f>SUMIF(C2:C391,C83,O2:O391)</f>
        <v>2</v>
      </c>
      <c r="AX83" s="462">
        <f>IF(AND(M83="F",AS83&lt;&gt;0),SUMIF(C2:C391,C83,W2:W391),0)</f>
        <v>47091.200000000004</v>
      </c>
      <c r="AY83" s="462">
        <f t="shared" si="19"/>
        <v>4709.12</v>
      </c>
      <c r="AZ83" s="462" t="str">
        <f t="shared" si="20"/>
        <v/>
      </c>
      <c r="BA83" s="462">
        <f t="shared" si="21"/>
        <v>0</v>
      </c>
      <c r="BB83" s="462">
        <f>IF(AND(AT83=1,AK83="E",AU83&gt;=0.75,AW83=1),Health,IF(AND(AT83=1,AK83="E",AU83&gt;=0.75),Health*P83,IF(AND(AT83=1,AK83="E",AU83&gt;=0.5,AW83=1),PTHealth,IF(AND(AT83=1,AK83="E",AU83&gt;=0.5),PTHealth*P83,0))))</f>
        <v>1165</v>
      </c>
      <c r="BC83" s="462">
        <f>IF(AND(AT83=3,AK83="E",AV83&gt;=0.75,AW83=1),Health,IF(AND(AT83=3,AK83="E",AV83&gt;=0.75),Health*P83,IF(AND(AT83=3,AK83="E",AV83&gt;=0.5,AW83=1),PTHealth,IF(AND(AT83=3,AK83="E",AV83&gt;=0.5),PTHealth*P83,0))))</f>
        <v>0</v>
      </c>
      <c r="BD83" s="462">
        <f>IF(AND(AT83&lt;&gt;0,AX83&gt;=MAXSSDI),SSDI*MAXSSDI*P83,IF(AT83&lt;&gt;0,SSDI*W83,0))</f>
        <v>291.96544</v>
      </c>
      <c r="BE83" s="462">
        <f>IF(AT83&lt;&gt;0,SSHI*W83,0)</f>
        <v>68.282240000000002</v>
      </c>
      <c r="BF83" s="462">
        <f>IF(AND(AT83&lt;&gt;0,AN83&lt;&gt;"NE"),VLOOKUP(AN83,Retirement_Rates,3,FALSE)*W83,0)</f>
        <v>562.26892799999996</v>
      </c>
      <c r="BG83" s="462">
        <f>IF(AND(AT83&lt;&gt;0,AJ83&lt;&gt;"PF"),Life*W83,0)</f>
        <v>33.952755199999999</v>
      </c>
      <c r="BH83" s="462">
        <f>IF(AND(AT83&lt;&gt;0,AM83="Y"),UI*W83,0)</f>
        <v>23.074687999999998</v>
      </c>
      <c r="BI83" s="462">
        <f>IF(AND(AT83&lt;&gt;0,N83&lt;&gt;"NR"),DHR*W83,0)</f>
        <v>14.409907199999999</v>
      </c>
      <c r="BJ83" s="462">
        <f>IF(AT83&lt;&gt;0,WC*W83,0)</f>
        <v>126.67532799999999</v>
      </c>
      <c r="BK83" s="462">
        <f>IF(OR(AND(AT83&lt;&gt;0,AJ83&lt;&gt;"PF",AN83&lt;&gt;"NE",AG83&lt;&gt;"A"),AND(AL83="E",OR(AT83=1,AT83=3))),Sick*W83,0)</f>
        <v>0</v>
      </c>
      <c r="BL83" s="462">
        <f t="shared" si="22"/>
        <v>1120.6292864</v>
      </c>
      <c r="BM83" s="462">
        <f t="shared" si="23"/>
        <v>0</v>
      </c>
      <c r="BN83" s="462">
        <f>IF(AND(AT83=1,AK83="E",AU83&gt;=0.75,AW83=1),HealthBY,IF(AND(AT83=1,AK83="E",AU83&gt;=0.75),HealthBY*P83,IF(AND(AT83=1,AK83="E",AU83&gt;=0.5,AW83=1),PTHealthBY,IF(AND(AT83=1,AK83="E",AU83&gt;=0.5),PTHealthBY*P83,0))))</f>
        <v>1165</v>
      </c>
      <c r="BO83" s="462">
        <f>IF(AND(AT83=3,AK83="E",AV83&gt;=0.75,AW83=1),HealthBY,IF(AND(AT83=3,AK83="E",AV83&gt;=0.75),HealthBY*P83,IF(AND(AT83=3,AK83="E",AV83&gt;=0.5,AW83=1),PTHealthBY,IF(AND(AT83=3,AK83="E",AV83&gt;=0.5),PTHealthBY*P83,0))))</f>
        <v>0</v>
      </c>
      <c r="BP83" s="462">
        <f>IF(AND(AT83&lt;&gt;0,(AX83+BA83)&gt;=MAXSSDIBY),SSDIBY*MAXSSDIBY*P83,IF(AT83&lt;&gt;0,SSDIBY*W83,0))</f>
        <v>291.96544</v>
      </c>
      <c r="BQ83" s="462">
        <f>IF(AT83&lt;&gt;0,SSHIBY*W83,0)</f>
        <v>68.282240000000002</v>
      </c>
      <c r="BR83" s="462">
        <f>IF(AND(AT83&lt;&gt;0,AN83&lt;&gt;"NE"),VLOOKUP(AN83,Retirement_Rates,4,FALSE)*W83,0)</f>
        <v>562.26892799999996</v>
      </c>
      <c r="BS83" s="462">
        <f>IF(AND(AT83&lt;&gt;0,AJ83&lt;&gt;"PF"),LifeBY*W83,0)</f>
        <v>33.952755199999999</v>
      </c>
      <c r="BT83" s="462">
        <f>IF(AND(AT83&lt;&gt;0,AM83="Y"),UIBY*W83,0)</f>
        <v>0</v>
      </c>
      <c r="BU83" s="462">
        <f>IF(AND(AT83&lt;&gt;0,N83&lt;&gt;"NR"),DHRBY*W83,0)</f>
        <v>14.409907199999999</v>
      </c>
      <c r="BV83" s="462">
        <f>IF(AT83&lt;&gt;0,WCBY*W83,0)</f>
        <v>163.406464</v>
      </c>
      <c r="BW83" s="462">
        <f>IF(OR(AND(AT83&lt;&gt;0,AJ83&lt;&gt;"PF",AN83&lt;&gt;"NE",AG83&lt;&gt;"A"),AND(AL83="E",OR(AT83=1,AT83=3))),SickBY*W83,0)</f>
        <v>0</v>
      </c>
      <c r="BX83" s="462">
        <f t="shared" si="24"/>
        <v>1134.2857343999999</v>
      </c>
      <c r="BY83" s="462">
        <f t="shared" si="25"/>
        <v>0</v>
      </c>
      <c r="BZ83" s="462">
        <f t="shared" si="26"/>
        <v>0</v>
      </c>
      <c r="CA83" s="462">
        <f t="shared" si="27"/>
        <v>0</v>
      </c>
      <c r="CB83" s="462">
        <f t="shared" si="28"/>
        <v>0</v>
      </c>
      <c r="CC83" s="462">
        <f>IF(AT83&lt;&gt;0,SSHICHG*Y83,0)</f>
        <v>0</v>
      </c>
      <c r="CD83" s="462">
        <f>IF(AND(AT83&lt;&gt;0,AN83&lt;&gt;"NE"),VLOOKUP(AN83,Retirement_Rates,5,FALSE)*Y83,0)</f>
        <v>0</v>
      </c>
      <c r="CE83" s="462">
        <f>IF(AND(AT83&lt;&gt;0,AJ83&lt;&gt;"PF"),LifeCHG*Y83,0)</f>
        <v>0</v>
      </c>
      <c r="CF83" s="462">
        <f>IF(AND(AT83&lt;&gt;0,AM83="Y"),UICHG*Y83,0)</f>
        <v>-23.074687999999998</v>
      </c>
      <c r="CG83" s="462">
        <f>IF(AND(AT83&lt;&gt;0,N83&lt;&gt;"NR"),DHRCHG*Y83,0)</f>
        <v>0</v>
      </c>
      <c r="CH83" s="462">
        <f>IF(AT83&lt;&gt;0,WCCHG*Y83,0)</f>
        <v>36.731136000000006</v>
      </c>
      <c r="CI83" s="462">
        <f>IF(OR(AND(AT83&lt;&gt;0,AJ83&lt;&gt;"PF",AN83&lt;&gt;"NE",AG83&lt;&gt;"A"),AND(AL83="E",OR(AT83=1,AT83=3))),SickCHG*Y83,0)</f>
        <v>0</v>
      </c>
      <c r="CJ83" s="462">
        <f t="shared" si="29"/>
        <v>13.656448000000008</v>
      </c>
      <c r="CK83" s="462" t="str">
        <f t="shared" si="30"/>
        <v/>
      </c>
      <c r="CL83" s="462" t="str">
        <f t="shared" si="31"/>
        <v/>
      </c>
      <c r="CM83" s="462" t="str">
        <f t="shared" si="32"/>
        <v/>
      </c>
      <c r="CN83" s="462" t="str">
        <f t="shared" si="33"/>
        <v>0250-05</v>
      </c>
    </row>
    <row r="84" spans="1:92" ht="15" thickBot="1" x14ac:dyDescent="0.35">
      <c r="A84" s="376" t="s">
        <v>161</v>
      </c>
      <c r="B84" s="376" t="s">
        <v>162</v>
      </c>
      <c r="C84" s="376" t="s">
        <v>313</v>
      </c>
      <c r="D84" s="376" t="s">
        <v>314</v>
      </c>
      <c r="E84" s="376" t="s">
        <v>421</v>
      </c>
      <c r="F84" s="382" t="s">
        <v>424</v>
      </c>
      <c r="G84" s="376" t="s">
        <v>423</v>
      </c>
      <c r="H84" s="378"/>
      <c r="I84" s="378"/>
      <c r="J84" s="376" t="s">
        <v>229</v>
      </c>
      <c r="K84" s="376" t="s">
        <v>315</v>
      </c>
      <c r="L84" s="376" t="s">
        <v>316</v>
      </c>
      <c r="M84" s="376" t="s">
        <v>171</v>
      </c>
      <c r="N84" s="376" t="s">
        <v>172</v>
      </c>
      <c r="O84" s="379">
        <v>1</v>
      </c>
      <c r="P84" s="460">
        <v>0.3</v>
      </c>
      <c r="Q84" s="460">
        <v>0.3</v>
      </c>
      <c r="R84" s="380">
        <v>80</v>
      </c>
      <c r="S84" s="460">
        <v>0.3</v>
      </c>
      <c r="T84" s="380">
        <v>2407.1999999999998</v>
      </c>
      <c r="U84" s="380">
        <v>0</v>
      </c>
      <c r="V84" s="380">
        <v>1657.51</v>
      </c>
      <c r="W84" s="380">
        <v>8324.16</v>
      </c>
      <c r="X84" s="380">
        <v>5475.88</v>
      </c>
      <c r="Y84" s="380">
        <v>8324.16</v>
      </c>
      <c r="Z84" s="380">
        <v>5500.02</v>
      </c>
      <c r="AA84" s="376" t="s">
        <v>317</v>
      </c>
      <c r="AB84" s="376" t="s">
        <v>318</v>
      </c>
      <c r="AC84" s="376" t="s">
        <v>319</v>
      </c>
      <c r="AD84" s="376" t="s">
        <v>176</v>
      </c>
      <c r="AE84" s="376" t="s">
        <v>315</v>
      </c>
      <c r="AF84" s="376" t="s">
        <v>320</v>
      </c>
      <c r="AG84" s="376" t="s">
        <v>178</v>
      </c>
      <c r="AH84" s="381">
        <v>13.34</v>
      </c>
      <c r="AI84" s="379">
        <v>360</v>
      </c>
      <c r="AJ84" s="376" t="s">
        <v>179</v>
      </c>
      <c r="AK84" s="376" t="s">
        <v>180</v>
      </c>
      <c r="AL84" s="376" t="s">
        <v>181</v>
      </c>
      <c r="AM84" s="376" t="s">
        <v>182</v>
      </c>
      <c r="AN84" s="376" t="s">
        <v>68</v>
      </c>
      <c r="AO84" s="379">
        <v>80</v>
      </c>
      <c r="AP84" s="460">
        <v>1</v>
      </c>
      <c r="AQ84" s="460">
        <v>0.3</v>
      </c>
      <c r="AR84" s="458" t="s">
        <v>183</v>
      </c>
      <c r="AS84" s="462">
        <f t="shared" si="17"/>
        <v>0.3</v>
      </c>
      <c r="AT84">
        <f t="shared" si="18"/>
        <v>1</v>
      </c>
      <c r="AU84" s="462">
        <f>IF(AT84=0,"",IF(AND(AT84=1,M84="F",SUMIF(C2:C391,C84,AS2:AS391)&lt;=1),SUMIF(C2:C391,C84,AS2:AS391),IF(AND(AT84=1,M84="F",SUMIF(C2:C391,C84,AS2:AS391)&gt;1),1,"")))</f>
        <v>1</v>
      </c>
      <c r="AV84" s="462" t="str">
        <f>IF(AT84=0,"",IF(AND(AT84=3,M84="F",SUMIF(C2:C391,C84,AS2:AS391)&lt;=1),SUMIF(C2:C391,C84,AS2:AS391),IF(AND(AT84=3,M84="F",SUMIF(C2:C391,C84,AS2:AS391)&gt;1),1,"")))</f>
        <v/>
      </c>
      <c r="AW84" s="462">
        <f>SUMIF(C2:C391,C84,O2:O391)</f>
        <v>3</v>
      </c>
      <c r="AX84" s="462">
        <f>IF(AND(M84="F",AS84&lt;&gt;0),SUMIF(C2:C391,C84,W2:W391),0)</f>
        <v>27747.200000000001</v>
      </c>
      <c r="AY84" s="462">
        <f t="shared" si="19"/>
        <v>8324.16</v>
      </c>
      <c r="AZ84" s="462" t="str">
        <f t="shared" si="20"/>
        <v/>
      </c>
      <c r="BA84" s="462">
        <f t="shared" si="21"/>
        <v>0</v>
      </c>
      <c r="BB84" s="462">
        <f>IF(AND(AT84=1,AK84="E",AU84&gt;=0.75,AW84=1),Health,IF(AND(AT84=1,AK84="E",AU84&gt;=0.75),Health*P84,IF(AND(AT84=1,AK84="E",AU84&gt;=0.5,AW84=1),PTHealth,IF(AND(AT84=1,AK84="E",AU84&gt;=0.5),PTHealth*P84,0))))</f>
        <v>3495</v>
      </c>
      <c r="BC84" s="462">
        <f>IF(AND(AT84=3,AK84="E",AV84&gt;=0.75,AW84=1),Health,IF(AND(AT84=3,AK84="E",AV84&gt;=0.75),Health*P84,IF(AND(AT84=3,AK84="E",AV84&gt;=0.5,AW84=1),PTHealth,IF(AND(AT84=3,AK84="E",AV84&gt;=0.5),PTHealth*P84,0))))</f>
        <v>0</v>
      </c>
      <c r="BD84" s="462">
        <f>IF(AND(AT84&lt;&gt;0,AX84&gt;=MAXSSDI),SSDI*MAXSSDI*P84,IF(AT84&lt;&gt;0,SSDI*W84,0))</f>
        <v>516.09791999999993</v>
      </c>
      <c r="BE84" s="462">
        <f>IF(AT84&lt;&gt;0,SSHI*W84,0)</f>
        <v>120.70032</v>
      </c>
      <c r="BF84" s="462">
        <f>IF(AND(AT84&lt;&gt;0,AN84&lt;&gt;"NE"),VLOOKUP(AN84,Retirement_Rates,3,FALSE)*W84,0)</f>
        <v>993.90470400000004</v>
      </c>
      <c r="BG84" s="462">
        <f>IF(AND(AT84&lt;&gt;0,AJ84&lt;&gt;"PF"),Life*W84,0)</f>
        <v>60.017193599999999</v>
      </c>
      <c r="BH84" s="462">
        <f>IF(AND(AT84&lt;&gt;0,AM84="Y"),UI*W84,0)</f>
        <v>40.788384000000001</v>
      </c>
      <c r="BI84" s="462">
        <f>IF(AND(AT84&lt;&gt;0,N84&lt;&gt;"NR"),DHR*W84,0)</f>
        <v>25.471929599999999</v>
      </c>
      <c r="BJ84" s="462">
        <f>IF(AT84&lt;&gt;0,WC*W84,0)</f>
        <v>223.919904</v>
      </c>
      <c r="BK84" s="462">
        <f>IF(OR(AND(AT84&lt;&gt;0,AJ84&lt;&gt;"PF",AN84&lt;&gt;"NE",AG84&lt;&gt;"A"),AND(AL84="E",OR(AT84=1,AT84=3))),Sick*W84,0)</f>
        <v>0</v>
      </c>
      <c r="BL84" s="462">
        <f t="shared" si="22"/>
        <v>1980.9003552000001</v>
      </c>
      <c r="BM84" s="462">
        <f t="shared" si="23"/>
        <v>0</v>
      </c>
      <c r="BN84" s="462">
        <f>IF(AND(AT84=1,AK84="E",AU84&gt;=0.75,AW84=1),HealthBY,IF(AND(AT84=1,AK84="E",AU84&gt;=0.75),HealthBY*P84,IF(AND(AT84=1,AK84="E",AU84&gt;=0.5,AW84=1),PTHealthBY,IF(AND(AT84=1,AK84="E",AU84&gt;=0.5),PTHealthBY*P84,0))))</f>
        <v>3495</v>
      </c>
      <c r="BO84" s="462">
        <f>IF(AND(AT84=3,AK84="E",AV84&gt;=0.75,AW84=1),HealthBY,IF(AND(AT84=3,AK84="E",AV84&gt;=0.75),HealthBY*P84,IF(AND(AT84=3,AK84="E",AV84&gt;=0.5,AW84=1),PTHealthBY,IF(AND(AT84=3,AK84="E",AV84&gt;=0.5),PTHealthBY*P84,0))))</f>
        <v>0</v>
      </c>
      <c r="BP84" s="462">
        <f>IF(AND(AT84&lt;&gt;0,(AX84+BA84)&gt;=MAXSSDIBY),SSDIBY*MAXSSDIBY*P84,IF(AT84&lt;&gt;0,SSDIBY*W84,0))</f>
        <v>516.09791999999993</v>
      </c>
      <c r="BQ84" s="462">
        <f>IF(AT84&lt;&gt;0,SSHIBY*W84,0)</f>
        <v>120.70032</v>
      </c>
      <c r="BR84" s="462">
        <f>IF(AND(AT84&lt;&gt;0,AN84&lt;&gt;"NE"),VLOOKUP(AN84,Retirement_Rates,4,FALSE)*W84,0)</f>
        <v>993.90470400000004</v>
      </c>
      <c r="BS84" s="462">
        <f>IF(AND(AT84&lt;&gt;0,AJ84&lt;&gt;"PF"),LifeBY*W84,0)</f>
        <v>60.017193599999999</v>
      </c>
      <c r="BT84" s="462">
        <f>IF(AND(AT84&lt;&gt;0,AM84="Y"),UIBY*W84,0)</f>
        <v>0</v>
      </c>
      <c r="BU84" s="462">
        <f>IF(AND(AT84&lt;&gt;0,N84&lt;&gt;"NR"),DHRBY*W84,0)</f>
        <v>25.471929599999999</v>
      </c>
      <c r="BV84" s="462">
        <f>IF(AT84&lt;&gt;0,WCBY*W84,0)</f>
        <v>288.84835200000003</v>
      </c>
      <c r="BW84" s="462">
        <f>IF(OR(AND(AT84&lt;&gt;0,AJ84&lt;&gt;"PF",AN84&lt;&gt;"NE",AG84&lt;&gt;"A"),AND(AL84="E",OR(AT84=1,AT84=3))),SickBY*W84,0)</f>
        <v>0</v>
      </c>
      <c r="BX84" s="462">
        <f t="shared" si="24"/>
        <v>2005.0404192000001</v>
      </c>
      <c r="BY84" s="462">
        <f t="shared" si="25"/>
        <v>0</v>
      </c>
      <c r="BZ84" s="462">
        <f t="shared" si="26"/>
        <v>0</v>
      </c>
      <c r="CA84" s="462">
        <f t="shared" si="27"/>
        <v>0</v>
      </c>
      <c r="CB84" s="462">
        <f t="shared" si="28"/>
        <v>0</v>
      </c>
      <c r="CC84" s="462">
        <f>IF(AT84&lt;&gt;0,SSHICHG*Y84,0)</f>
        <v>0</v>
      </c>
      <c r="CD84" s="462">
        <f>IF(AND(AT84&lt;&gt;0,AN84&lt;&gt;"NE"),VLOOKUP(AN84,Retirement_Rates,5,FALSE)*Y84,0)</f>
        <v>0</v>
      </c>
      <c r="CE84" s="462">
        <f>IF(AND(AT84&lt;&gt;0,AJ84&lt;&gt;"PF"),LifeCHG*Y84,0)</f>
        <v>0</v>
      </c>
      <c r="CF84" s="462">
        <f>IF(AND(AT84&lt;&gt;0,AM84="Y"),UICHG*Y84,0)</f>
        <v>-40.788384000000001</v>
      </c>
      <c r="CG84" s="462">
        <f>IF(AND(AT84&lt;&gt;0,N84&lt;&gt;"NR"),DHRCHG*Y84,0)</f>
        <v>0</v>
      </c>
      <c r="CH84" s="462">
        <f>IF(AT84&lt;&gt;0,WCCHG*Y84,0)</f>
        <v>64.928448000000017</v>
      </c>
      <c r="CI84" s="462">
        <f>IF(OR(AND(AT84&lt;&gt;0,AJ84&lt;&gt;"PF",AN84&lt;&gt;"NE",AG84&lt;&gt;"A"),AND(AL84="E",OR(AT84=1,AT84=3))),SickCHG*Y84,0)</f>
        <v>0</v>
      </c>
      <c r="CJ84" s="462">
        <f t="shared" si="29"/>
        <v>24.140064000000017</v>
      </c>
      <c r="CK84" s="462" t="str">
        <f t="shared" si="30"/>
        <v/>
      </c>
      <c r="CL84" s="462" t="str">
        <f t="shared" si="31"/>
        <v/>
      </c>
      <c r="CM84" s="462" t="str">
        <f t="shared" si="32"/>
        <v/>
      </c>
      <c r="CN84" s="462" t="str">
        <f t="shared" si="33"/>
        <v>0250-05</v>
      </c>
    </row>
    <row r="85" spans="1:92" ht="15" thickBot="1" x14ac:dyDescent="0.35">
      <c r="A85" s="376" t="s">
        <v>161</v>
      </c>
      <c r="B85" s="376" t="s">
        <v>162</v>
      </c>
      <c r="C85" s="376" t="s">
        <v>335</v>
      </c>
      <c r="D85" s="376" t="s">
        <v>238</v>
      </c>
      <c r="E85" s="376" t="s">
        <v>421</v>
      </c>
      <c r="F85" s="382" t="s">
        <v>424</v>
      </c>
      <c r="G85" s="376" t="s">
        <v>423</v>
      </c>
      <c r="H85" s="378"/>
      <c r="I85" s="378"/>
      <c r="J85" s="376" t="s">
        <v>229</v>
      </c>
      <c r="K85" s="376" t="s">
        <v>336</v>
      </c>
      <c r="L85" s="376" t="s">
        <v>195</v>
      </c>
      <c r="M85" s="376" t="s">
        <v>225</v>
      </c>
      <c r="N85" s="376" t="s">
        <v>172</v>
      </c>
      <c r="O85" s="379">
        <v>0</v>
      </c>
      <c r="P85" s="460">
        <v>0.3</v>
      </c>
      <c r="Q85" s="460">
        <v>0.3</v>
      </c>
      <c r="R85" s="380">
        <v>80</v>
      </c>
      <c r="S85" s="460">
        <v>0.3</v>
      </c>
      <c r="T85" s="380">
        <v>17080.11</v>
      </c>
      <c r="U85" s="380">
        <v>0</v>
      </c>
      <c r="V85" s="380">
        <v>6605.99</v>
      </c>
      <c r="W85" s="380">
        <v>16043.04</v>
      </c>
      <c r="X85" s="380">
        <v>7026.84</v>
      </c>
      <c r="Y85" s="380">
        <v>16043.04</v>
      </c>
      <c r="Z85" s="380">
        <v>6946.63</v>
      </c>
      <c r="AA85" s="378"/>
      <c r="AB85" s="376" t="s">
        <v>45</v>
      </c>
      <c r="AC85" s="376" t="s">
        <v>45</v>
      </c>
      <c r="AD85" s="378"/>
      <c r="AE85" s="378"/>
      <c r="AF85" s="378"/>
      <c r="AG85" s="378"/>
      <c r="AH85" s="379">
        <v>0</v>
      </c>
      <c r="AI85" s="379">
        <v>0</v>
      </c>
      <c r="AJ85" s="378"/>
      <c r="AK85" s="378"/>
      <c r="AL85" s="376" t="s">
        <v>181</v>
      </c>
      <c r="AM85" s="378"/>
      <c r="AN85" s="378"/>
      <c r="AO85" s="379">
        <v>0</v>
      </c>
      <c r="AP85" s="460">
        <v>0</v>
      </c>
      <c r="AQ85" s="460">
        <v>0</v>
      </c>
      <c r="AR85" s="459"/>
      <c r="AS85" s="462">
        <f t="shared" si="17"/>
        <v>0</v>
      </c>
      <c r="AT85">
        <f t="shared" si="18"/>
        <v>0</v>
      </c>
      <c r="AU85" s="462" t="str">
        <f>IF(AT85=0,"",IF(AND(AT85=1,M85="F",SUMIF(C2:C391,C85,AS2:AS391)&lt;=1),SUMIF(C2:C391,C85,AS2:AS391),IF(AND(AT85=1,M85="F",SUMIF(C2:C391,C85,AS2:AS391)&gt;1),1,"")))</f>
        <v/>
      </c>
      <c r="AV85" s="462" t="str">
        <f>IF(AT85=0,"",IF(AND(AT85=3,M85="F",SUMIF(C2:C391,C85,AS2:AS391)&lt;=1),SUMIF(C2:C391,C85,AS2:AS391),IF(AND(AT85=3,M85="F",SUMIF(C2:C391,C85,AS2:AS391)&gt;1),1,"")))</f>
        <v/>
      </c>
      <c r="AW85" s="462">
        <f>SUMIF(C2:C391,C85,O2:O391)</f>
        <v>0</v>
      </c>
      <c r="AX85" s="462">
        <f>IF(AND(M85="F",AS85&lt;&gt;0),SUMIF(C2:C391,C85,W2:W391),0)</f>
        <v>0</v>
      </c>
      <c r="AY85" s="462" t="str">
        <f t="shared" si="19"/>
        <v/>
      </c>
      <c r="AZ85" s="462" t="str">
        <f t="shared" si="20"/>
        <v/>
      </c>
      <c r="BA85" s="462">
        <f t="shared" si="21"/>
        <v>0</v>
      </c>
      <c r="BB85" s="462">
        <f>IF(AND(AT85=1,AK85="E",AU85&gt;=0.75,AW85=1),Health,IF(AND(AT85=1,AK85="E",AU85&gt;=0.75),Health*P85,IF(AND(AT85=1,AK85="E",AU85&gt;=0.5,AW85=1),PTHealth,IF(AND(AT85=1,AK85="E",AU85&gt;=0.5),PTHealth*P85,0))))</f>
        <v>0</v>
      </c>
      <c r="BC85" s="462">
        <f>IF(AND(AT85=3,AK85="E",AV85&gt;=0.75,AW85=1),Health,IF(AND(AT85=3,AK85="E",AV85&gt;=0.75),Health*P85,IF(AND(AT85=3,AK85="E",AV85&gt;=0.5,AW85=1),PTHealth,IF(AND(AT85=3,AK85="E",AV85&gt;=0.5),PTHealth*P85,0))))</f>
        <v>0</v>
      </c>
      <c r="BD85" s="462">
        <f>IF(AND(AT85&lt;&gt;0,AX85&gt;=MAXSSDI),SSDI*MAXSSDI*P85,IF(AT85&lt;&gt;0,SSDI*W85,0))</f>
        <v>0</v>
      </c>
      <c r="BE85" s="462">
        <f>IF(AT85&lt;&gt;0,SSHI*W85,0)</f>
        <v>0</v>
      </c>
      <c r="BF85" s="462">
        <f>IF(AND(AT85&lt;&gt;0,AN85&lt;&gt;"NE"),VLOOKUP(AN85,Retirement_Rates,3,FALSE)*W85,0)</f>
        <v>0</v>
      </c>
      <c r="BG85" s="462">
        <f>IF(AND(AT85&lt;&gt;0,AJ85&lt;&gt;"PF"),Life*W85,0)</f>
        <v>0</v>
      </c>
      <c r="BH85" s="462">
        <f>IF(AND(AT85&lt;&gt;0,AM85="Y"),UI*W85,0)</f>
        <v>0</v>
      </c>
      <c r="BI85" s="462">
        <f>IF(AND(AT85&lt;&gt;0,N85&lt;&gt;"NR"),DHR*W85,0)</f>
        <v>0</v>
      </c>
      <c r="BJ85" s="462">
        <f>IF(AT85&lt;&gt;0,WC*W85,0)</f>
        <v>0</v>
      </c>
      <c r="BK85" s="462">
        <f>IF(OR(AND(AT85&lt;&gt;0,AJ85&lt;&gt;"PF",AN85&lt;&gt;"NE",AG85&lt;&gt;"A"),AND(AL85="E",OR(AT85=1,AT85=3))),Sick*W85,0)</f>
        <v>0</v>
      </c>
      <c r="BL85" s="462">
        <f t="shared" si="22"/>
        <v>0</v>
      </c>
      <c r="BM85" s="462">
        <f t="shared" si="23"/>
        <v>0</v>
      </c>
      <c r="BN85" s="462">
        <f>IF(AND(AT85=1,AK85="E",AU85&gt;=0.75,AW85=1),HealthBY,IF(AND(AT85=1,AK85="E",AU85&gt;=0.75),HealthBY*P85,IF(AND(AT85=1,AK85="E",AU85&gt;=0.5,AW85=1),PTHealthBY,IF(AND(AT85=1,AK85="E",AU85&gt;=0.5),PTHealthBY*P85,0))))</f>
        <v>0</v>
      </c>
      <c r="BO85" s="462">
        <f>IF(AND(AT85=3,AK85="E",AV85&gt;=0.75,AW85=1),HealthBY,IF(AND(AT85=3,AK85="E",AV85&gt;=0.75),HealthBY*P85,IF(AND(AT85=3,AK85="E",AV85&gt;=0.5,AW85=1),PTHealthBY,IF(AND(AT85=3,AK85="E",AV85&gt;=0.5),PTHealthBY*P85,0))))</f>
        <v>0</v>
      </c>
      <c r="BP85" s="462">
        <f>IF(AND(AT85&lt;&gt;0,(AX85+BA85)&gt;=MAXSSDIBY),SSDIBY*MAXSSDIBY*P85,IF(AT85&lt;&gt;0,SSDIBY*W85,0))</f>
        <v>0</v>
      </c>
      <c r="BQ85" s="462">
        <f>IF(AT85&lt;&gt;0,SSHIBY*W85,0)</f>
        <v>0</v>
      </c>
      <c r="BR85" s="462">
        <f>IF(AND(AT85&lt;&gt;0,AN85&lt;&gt;"NE"),VLOOKUP(AN85,Retirement_Rates,4,FALSE)*W85,0)</f>
        <v>0</v>
      </c>
      <c r="BS85" s="462">
        <f>IF(AND(AT85&lt;&gt;0,AJ85&lt;&gt;"PF"),LifeBY*W85,0)</f>
        <v>0</v>
      </c>
      <c r="BT85" s="462">
        <f>IF(AND(AT85&lt;&gt;0,AM85="Y"),UIBY*W85,0)</f>
        <v>0</v>
      </c>
      <c r="BU85" s="462">
        <f>IF(AND(AT85&lt;&gt;0,N85&lt;&gt;"NR"),DHRBY*W85,0)</f>
        <v>0</v>
      </c>
      <c r="BV85" s="462">
        <f>IF(AT85&lt;&gt;0,WCBY*W85,0)</f>
        <v>0</v>
      </c>
      <c r="BW85" s="462">
        <f>IF(OR(AND(AT85&lt;&gt;0,AJ85&lt;&gt;"PF",AN85&lt;&gt;"NE",AG85&lt;&gt;"A"),AND(AL85="E",OR(AT85=1,AT85=3))),SickBY*W85,0)</f>
        <v>0</v>
      </c>
      <c r="BX85" s="462">
        <f t="shared" si="24"/>
        <v>0</v>
      </c>
      <c r="BY85" s="462">
        <f t="shared" si="25"/>
        <v>0</v>
      </c>
      <c r="BZ85" s="462">
        <f t="shared" si="26"/>
        <v>0</v>
      </c>
      <c r="CA85" s="462">
        <f t="shared" si="27"/>
        <v>0</v>
      </c>
      <c r="CB85" s="462">
        <f t="shared" si="28"/>
        <v>0</v>
      </c>
      <c r="CC85" s="462">
        <f>IF(AT85&lt;&gt;0,SSHICHG*Y85,0)</f>
        <v>0</v>
      </c>
      <c r="CD85" s="462">
        <f>IF(AND(AT85&lt;&gt;0,AN85&lt;&gt;"NE"),VLOOKUP(AN85,Retirement_Rates,5,FALSE)*Y85,0)</f>
        <v>0</v>
      </c>
      <c r="CE85" s="462">
        <f>IF(AND(AT85&lt;&gt;0,AJ85&lt;&gt;"PF"),LifeCHG*Y85,0)</f>
        <v>0</v>
      </c>
      <c r="CF85" s="462">
        <f>IF(AND(AT85&lt;&gt;0,AM85="Y"),UICHG*Y85,0)</f>
        <v>0</v>
      </c>
      <c r="CG85" s="462">
        <f>IF(AND(AT85&lt;&gt;0,N85&lt;&gt;"NR"),DHRCHG*Y85,0)</f>
        <v>0</v>
      </c>
      <c r="CH85" s="462">
        <f>IF(AT85&lt;&gt;0,WCCHG*Y85,0)</f>
        <v>0</v>
      </c>
      <c r="CI85" s="462">
        <f>IF(OR(AND(AT85&lt;&gt;0,AJ85&lt;&gt;"PF",AN85&lt;&gt;"NE",AG85&lt;&gt;"A"),AND(AL85="E",OR(AT85=1,AT85=3))),SickCHG*Y85,0)</f>
        <v>0</v>
      </c>
      <c r="CJ85" s="462">
        <f t="shared" si="29"/>
        <v>0</v>
      </c>
      <c r="CK85" s="462" t="str">
        <f t="shared" si="30"/>
        <v/>
      </c>
      <c r="CL85" s="462" t="str">
        <f t="shared" si="31"/>
        <v/>
      </c>
      <c r="CM85" s="462" t="str">
        <f t="shared" si="32"/>
        <v/>
      </c>
      <c r="CN85" s="462" t="str">
        <f t="shared" si="33"/>
        <v>0250-05</v>
      </c>
    </row>
    <row r="86" spans="1:92" ht="15" thickBot="1" x14ac:dyDescent="0.35">
      <c r="A86" s="376" t="s">
        <v>161</v>
      </c>
      <c r="B86" s="376" t="s">
        <v>162</v>
      </c>
      <c r="C86" s="376" t="s">
        <v>346</v>
      </c>
      <c r="D86" s="376" t="s">
        <v>347</v>
      </c>
      <c r="E86" s="376" t="s">
        <v>421</v>
      </c>
      <c r="F86" s="382" t="s">
        <v>424</v>
      </c>
      <c r="G86" s="376" t="s">
        <v>423</v>
      </c>
      <c r="H86" s="378"/>
      <c r="I86" s="378"/>
      <c r="J86" s="376" t="s">
        <v>193</v>
      </c>
      <c r="K86" s="376" t="s">
        <v>348</v>
      </c>
      <c r="L86" s="376" t="s">
        <v>240</v>
      </c>
      <c r="M86" s="376" t="s">
        <v>171</v>
      </c>
      <c r="N86" s="376" t="s">
        <v>172</v>
      </c>
      <c r="O86" s="379">
        <v>1</v>
      </c>
      <c r="P86" s="460">
        <v>0.5</v>
      </c>
      <c r="Q86" s="460">
        <v>0.5</v>
      </c>
      <c r="R86" s="380">
        <v>80</v>
      </c>
      <c r="S86" s="460">
        <v>0.5</v>
      </c>
      <c r="T86" s="380">
        <v>26015.99</v>
      </c>
      <c r="U86" s="380">
        <v>0</v>
      </c>
      <c r="V86" s="380">
        <v>11154.88</v>
      </c>
      <c r="W86" s="380">
        <v>26114.400000000001</v>
      </c>
      <c r="X86" s="380">
        <v>12039.42</v>
      </c>
      <c r="Y86" s="380">
        <v>26114.400000000001</v>
      </c>
      <c r="Z86" s="380">
        <v>12115.15</v>
      </c>
      <c r="AA86" s="376" t="s">
        <v>349</v>
      </c>
      <c r="AB86" s="376" t="s">
        <v>350</v>
      </c>
      <c r="AC86" s="376" t="s">
        <v>351</v>
      </c>
      <c r="AD86" s="376" t="s">
        <v>352</v>
      </c>
      <c r="AE86" s="376" t="s">
        <v>348</v>
      </c>
      <c r="AF86" s="376" t="s">
        <v>244</v>
      </c>
      <c r="AG86" s="376" t="s">
        <v>178</v>
      </c>
      <c r="AH86" s="381">
        <v>25.11</v>
      </c>
      <c r="AI86" s="381">
        <v>46365.9</v>
      </c>
      <c r="AJ86" s="376" t="s">
        <v>179</v>
      </c>
      <c r="AK86" s="376" t="s">
        <v>180</v>
      </c>
      <c r="AL86" s="376" t="s">
        <v>181</v>
      </c>
      <c r="AM86" s="376" t="s">
        <v>182</v>
      </c>
      <c r="AN86" s="376" t="s">
        <v>68</v>
      </c>
      <c r="AO86" s="379">
        <v>80</v>
      </c>
      <c r="AP86" s="460">
        <v>1</v>
      </c>
      <c r="AQ86" s="460">
        <v>0.5</v>
      </c>
      <c r="AR86" s="458" t="s">
        <v>183</v>
      </c>
      <c r="AS86" s="462">
        <f t="shared" si="17"/>
        <v>0.5</v>
      </c>
      <c r="AT86">
        <f t="shared" si="18"/>
        <v>1</v>
      </c>
      <c r="AU86" s="462">
        <f>IF(AT86=0,"",IF(AND(AT86=1,M86="F",SUMIF(C2:C391,C86,AS2:AS391)&lt;=1),SUMIF(C2:C391,C86,AS2:AS391),IF(AND(AT86=1,M86="F",SUMIF(C2:C391,C86,AS2:AS391)&gt;1),1,"")))</f>
        <v>1</v>
      </c>
      <c r="AV86" s="462" t="str">
        <f>IF(AT86=0,"",IF(AND(AT86=3,M86="F",SUMIF(C2:C391,C86,AS2:AS391)&lt;=1),SUMIF(C2:C391,C86,AS2:AS391),IF(AND(AT86=3,M86="F",SUMIF(C2:C391,C86,AS2:AS391)&gt;1),1,"")))</f>
        <v/>
      </c>
      <c r="AW86" s="462">
        <f>SUMIF(C2:C391,C86,O2:O391)</f>
        <v>2</v>
      </c>
      <c r="AX86" s="462">
        <f>IF(AND(M86="F",AS86&lt;&gt;0),SUMIF(C2:C391,C86,W2:W391),0)</f>
        <v>52228.800000000003</v>
      </c>
      <c r="AY86" s="462">
        <f t="shared" si="19"/>
        <v>26114.400000000001</v>
      </c>
      <c r="AZ86" s="462" t="str">
        <f t="shared" si="20"/>
        <v/>
      </c>
      <c r="BA86" s="462">
        <f t="shared" si="21"/>
        <v>0</v>
      </c>
      <c r="BB86" s="462">
        <f>IF(AND(AT86=1,AK86="E",AU86&gt;=0.75,AW86=1),Health,IF(AND(AT86=1,AK86="E",AU86&gt;=0.75),Health*P86,IF(AND(AT86=1,AK86="E",AU86&gt;=0.5,AW86=1),PTHealth,IF(AND(AT86=1,AK86="E",AU86&gt;=0.5),PTHealth*P86,0))))</f>
        <v>5825</v>
      </c>
      <c r="BC86" s="462">
        <f>IF(AND(AT86=3,AK86="E",AV86&gt;=0.75,AW86=1),Health,IF(AND(AT86=3,AK86="E",AV86&gt;=0.75),Health*P86,IF(AND(AT86=3,AK86="E",AV86&gt;=0.5,AW86=1),PTHealth,IF(AND(AT86=3,AK86="E",AV86&gt;=0.5),PTHealth*P86,0))))</f>
        <v>0</v>
      </c>
      <c r="BD86" s="462">
        <f>IF(AND(AT86&lt;&gt;0,AX86&gt;=MAXSSDI),SSDI*MAXSSDI*P86,IF(AT86&lt;&gt;0,SSDI*W86,0))</f>
        <v>1619.0928000000001</v>
      </c>
      <c r="BE86" s="462">
        <f>IF(AT86&lt;&gt;0,SSHI*W86,0)</f>
        <v>378.65880000000004</v>
      </c>
      <c r="BF86" s="462">
        <f>IF(AND(AT86&lt;&gt;0,AN86&lt;&gt;"NE"),VLOOKUP(AN86,Retirement_Rates,3,FALSE)*W86,0)</f>
        <v>3118.0593600000002</v>
      </c>
      <c r="BG86" s="462">
        <f>IF(AND(AT86&lt;&gt;0,AJ86&lt;&gt;"PF"),Life*W86,0)</f>
        <v>188.28482400000001</v>
      </c>
      <c r="BH86" s="462">
        <f>IF(AND(AT86&lt;&gt;0,AM86="Y"),UI*W86,0)</f>
        <v>127.96056</v>
      </c>
      <c r="BI86" s="462">
        <f>IF(AND(AT86&lt;&gt;0,N86&lt;&gt;"NR"),DHR*W86,0)</f>
        <v>79.910064000000006</v>
      </c>
      <c r="BJ86" s="462">
        <f>IF(AT86&lt;&gt;0,WC*W86,0)</f>
        <v>702.47736000000009</v>
      </c>
      <c r="BK86" s="462">
        <f>IF(OR(AND(AT86&lt;&gt;0,AJ86&lt;&gt;"PF",AN86&lt;&gt;"NE",AG86&lt;&gt;"A"),AND(AL86="E",OR(AT86=1,AT86=3))),Sick*W86,0)</f>
        <v>0</v>
      </c>
      <c r="BL86" s="462">
        <f t="shared" si="22"/>
        <v>6214.443768000001</v>
      </c>
      <c r="BM86" s="462">
        <f t="shared" si="23"/>
        <v>0</v>
      </c>
      <c r="BN86" s="462">
        <f>IF(AND(AT86=1,AK86="E",AU86&gt;=0.75,AW86=1),HealthBY,IF(AND(AT86=1,AK86="E",AU86&gt;=0.75),HealthBY*P86,IF(AND(AT86=1,AK86="E",AU86&gt;=0.5,AW86=1),PTHealthBY,IF(AND(AT86=1,AK86="E",AU86&gt;=0.5),PTHealthBY*P86,0))))</f>
        <v>5825</v>
      </c>
      <c r="BO86" s="462">
        <f>IF(AND(AT86=3,AK86="E",AV86&gt;=0.75,AW86=1),HealthBY,IF(AND(AT86=3,AK86="E",AV86&gt;=0.75),HealthBY*P86,IF(AND(AT86=3,AK86="E",AV86&gt;=0.5,AW86=1),PTHealthBY,IF(AND(AT86=3,AK86="E",AV86&gt;=0.5),PTHealthBY*P86,0))))</f>
        <v>0</v>
      </c>
      <c r="BP86" s="462">
        <f>IF(AND(AT86&lt;&gt;0,(AX86+BA86)&gt;=MAXSSDIBY),SSDIBY*MAXSSDIBY*P86,IF(AT86&lt;&gt;0,SSDIBY*W86,0))</f>
        <v>1619.0928000000001</v>
      </c>
      <c r="BQ86" s="462">
        <f>IF(AT86&lt;&gt;0,SSHIBY*W86,0)</f>
        <v>378.65880000000004</v>
      </c>
      <c r="BR86" s="462">
        <f>IF(AND(AT86&lt;&gt;0,AN86&lt;&gt;"NE"),VLOOKUP(AN86,Retirement_Rates,4,FALSE)*W86,0)</f>
        <v>3118.0593600000002</v>
      </c>
      <c r="BS86" s="462">
        <f>IF(AND(AT86&lt;&gt;0,AJ86&lt;&gt;"PF"),LifeBY*W86,0)</f>
        <v>188.28482400000001</v>
      </c>
      <c r="BT86" s="462">
        <f>IF(AND(AT86&lt;&gt;0,AM86="Y"),UIBY*W86,0)</f>
        <v>0</v>
      </c>
      <c r="BU86" s="462">
        <f>IF(AND(AT86&lt;&gt;0,N86&lt;&gt;"NR"),DHRBY*W86,0)</f>
        <v>79.910064000000006</v>
      </c>
      <c r="BV86" s="462">
        <f>IF(AT86&lt;&gt;0,WCBY*W86,0)</f>
        <v>906.16968000000008</v>
      </c>
      <c r="BW86" s="462">
        <f>IF(OR(AND(AT86&lt;&gt;0,AJ86&lt;&gt;"PF",AN86&lt;&gt;"NE",AG86&lt;&gt;"A"),AND(AL86="E",OR(AT86=1,AT86=3))),SickBY*W86,0)</f>
        <v>0</v>
      </c>
      <c r="BX86" s="462">
        <f t="shared" si="24"/>
        <v>6290.1755280000007</v>
      </c>
      <c r="BY86" s="462">
        <f t="shared" si="25"/>
        <v>0</v>
      </c>
      <c r="BZ86" s="462">
        <f t="shared" si="26"/>
        <v>0</v>
      </c>
      <c r="CA86" s="462">
        <f t="shared" si="27"/>
        <v>0</v>
      </c>
      <c r="CB86" s="462">
        <f t="shared" si="28"/>
        <v>0</v>
      </c>
      <c r="CC86" s="462">
        <f>IF(AT86&lt;&gt;0,SSHICHG*Y86,0)</f>
        <v>0</v>
      </c>
      <c r="CD86" s="462">
        <f>IF(AND(AT86&lt;&gt;0,AN86&lt;&gt;"NE"),VLOOKUP(AN86,Retirement_Rates,5,FALSE)*Y86,0)</f>
        <v>0</v>
      </c>
      <c r="CE86" s="462">
        <f>IF(AND(AT86&lt;&gt;0,AJ86&lt;&gt;"PF"),LifeCHG*Y86,0)</f>
        <v>0</v>
      </c>
      <c r="CF86" s="462">
        <f>IF(AND(AT86&lt;&gt;0,AM86="Y"),UICHG*Y86,0)</f>
        <v>-127.96056</v>
      </c>
      <c r="CG86" s="462">
        <f>IF(AND(AT86&lt;&gt;0,N86&lt;&gt;"NR"),DHRCHG*Y86,0)</f>
        <v>0</v>
      </c>
      <c r="CH86" s="462">
        <f>IF(AT86&lt;&gt;0,WCCHG*Y86,0)</f>
        <v>203.69232000000005</v>
      </c>
      <c r="CI86" s="462">
        <f>IF(OR(AND(AT86&lt;&gt;0,AJ86&lt;&gt;"PF",AN86&lt;&gt;"NE",AG86&lt;&gt;"A"),AND(AL86="E",OR(AT86=1,AT86=3))),SickCHG*Y86,0)</f>
        <v>0</v>
      </c>
      <c r="CJ86" s="462">
        <f t="shared" si="29"/>
        <v>75.731760000000051</v>
      </c>
      <c r="CK86" s="462" t="str">
        <f t="shared" si="30"/>
        <v/>
      </c>
      <c r="CL86" s="462" t="str">
        <f t="shared" si="31"/>
        <v/>
      </c>
      <c r="CM86" s="462" t="str">
        <f t="shared" si="32"/>
        <v/>
      </c>
      <c r="CN86" s="462" t="str">
        <f t="shared" si="33"/>
        <v>0250-05</v>
      </c>
    </row>
    <row r="87" spans="1:92" ht="15" thickBot="1" x14ac:dyDescent="0.35">
      <c r="A87" s="376" t="s">
        <v>161</v>
      </c>
      <c r="B87" s="376" t="s">
        <v>162</v>
      </c>
      <c r="C87" s="376" t="s">
        <v>233</v>
      </c>
      <c r="D87" s="376" t="s">
        <v>227</v>
      </c>
      <c r="E87" s="376" t="s">
        <v>421</v>
      </c>
      <c r="F87" s="382" t="s">
        <v>424</v>
      </c>
      <c r="G87" s="376" t="s">
        <v>423</v>
      </c>
      <c r="H87" s="378"/>
      <c r="I87" s="378"/>
      <c r="J87" s="376" t="s">
        <v>229</v>
      </c>
      <c r="K87" s="376" t="s">
        <v>230</v>
      </c>
      <c r="L87" s="376" t="s">
        <v>231</v>
      </c>
      <c r="M87" s="376" t="s">
        <v>171</v>
      </c>
      <c r="N87" s="376" t="s">
        <v>172</v>
      </c>
      <c r="O87" s="379">
        <v>1</v>
      </c>
      <c r="P87" s="460">
        <v>0.2</v>
      </c>
      <c r="Q87" s="460">
        <v>0.2</v>
      </c>
      <c r="R87" s="380">
        <v>80</v>
      </c>
      <c r="S87" s="460">
        <v>0.2</v>
      </c>
      <c r="T87" s="380">
        <v>8341.15</v>
      </c>
      <c r="U87" s="380">
        <v>0</v>
      </c>
      <c r="V87" s="380">
        <v>4060.65</v>
      </c>
      <c r="W87" s="380">
        <v>8278.4</v>
      </c>
      <c r="X87" s="380">
        <v>4300</v>
      </c>
      <c r="Y87" s="380">
        <v>8278.4</v>
      </c>
      <c r="Z87" s="380">
        <v>4324.01</v>
      </c>
      <c r="AA87" s="376" t="s">
        <v>234</v>
      </c>
      <c r="AB87" s="376" t="s">
        <v>235</v>
      </c>
      <c r="AC87" s="376" t="s">
        <v>218</v>
      </c>
      <c r="AD87" s="376" t="s">
        <v>170</v>
      </c>
      <c r="AE87" s="376" t="s">
        <v>230</v>
      </c>
      <c r="AF87" s="376" t="s">
        <v>236</v>
      </c>
      <c r="AG87" s="376" t="s">
        <v>178</v>
      </c>
      <c r="AH87" s="381">
        <v>19.899999999999999</v>
      </c>
      <c r="AI87" s="379">
        <v>12304</v>
      </c>
      <c r="AJ87" s="376" t="s">
        <v>179</v>
      </c>
      <c r="AK87" s="376" t="s">
        <v>180</v>
      </c>
      <c r="AL87" s="376" t="s">
        <v>181</v>
      </c>
      <c r="AM87" s="376" t="s">
        <v>182</v>
      </c>
      <c r="AN87" s="376" t="s">
        <v>68</v>
      </c>
      <c r="AO87" s="379">
        <v>80</v>
      </c>
      <c r="AP87" s="460">
        <v>1</v>
      </c>
      <c r="AQ87" s="460">
        <v>0.2</v>
      </c>
      <c r="AR87" s="458" t="s">
        <v>183</v>
      </c>
      <c r="AS87" s="462">
        <f t="shared" si="17"/>
        <v>0.2</v>
      </c>
      <c r="AT87">
        <f t="shared" si="18"/>
        <v>1</v>
      </c>
      <c r="AU87" s="462">
        <f>IF(AT87=0,"",IF(AND(AT87=1,M87="F",SUMIF(C2:C391,C87,AS2:AS391)&lt;=1),SUMIF(C2:C391,C87,AS2:AS391),IF(AND(AT87=1,M87="F",SUMIF(C2:C391,C87,AS2:AS391)&gt;1),1,"")))</f>
        <v>1</v>
      </c>
      <c r="AV87" s="462" t="str">
        <f>IF(AT87=0,"",IF(AND(AT87=3,M87="F",SUMIF(C2:C391,C87,AS2:AS391)&lt;=1),SUMIF(C2:C391,C87,AS2:AS391),IF(AND(AT87=3,M87="F",SUMIF(C2:C391,C87,AS2:AS391)&gt;1),1,"")))</f>
        <v/>
      </c>
      <c r="AW87" s="462">
        <f>SUMIF(C2:C391,C87,O2:O391)</f>
        <v>3</v>
      </c>
      <c r="AX87" s="462">
        <f>IF(AND(M87="F",AS87&lt;&gt;0),SUMIF(C2:C391,C87,W2:W391),0)</f>
        <v>41392</v>
      </c>
      <c r="AY87" s="462">
        <f t="shared" si="19"/>
        <v>8278.4</v>
      </c>
      <c r="AZ87" s="462" t="str">
        <f t="shared" si="20"/>
        <v/>
      </c>
      <c r="BA87" s="462">
        <f t="shared" si="21"/>
        <v>0</v>
      </c>
      <c r="BB87" s="462">
        <f>IF(AND(AT87=1,AK87="E",AU87&gt;=0.75,AW87=1),Health,IF(AND(AT87=1,AK87="E",AU87&gt;=0.75),Health*P87,IF(AND(AT87=1,AK87="E",AU87&gt;=0.5,AW87=1),PTHealth,IF(AND(AT87=1,AK87="E",AU87&gt;=0.5),PTHealth*P87,0))))</f>
        <v>2330</v>
      </c>
      <c r="BC87" s="462">
        <f>IF(AND(AT87=3,AK87="E",AV87&gt;=0.75,AW87=1),Health,IF(AND(AT87=3,AK87="E",AV87&gt;=0.75),Health*P87,IF(AND(AT87=3,AK87="E",AV87&gt;=0.5,AW87=1),PTHealth,IF(AND(AT87=3,AK87="E",AV87&gt;=0.5),PTHealth*P87,0))))</f>
        <v>0</v>
      </c>
      <c r="BD87" s="462">
        <f>IF(AND(AT87&lt;&gt;0,AX87&gt;=MAXSSDI),SSDI*MAXSSDI*P87,IF(AT87&lt;&gt;0,SSDI*W87,0))</f>
        <v>513.26080000000002</v>
      </c>
      <c r="BE87" s="462">
        <f>IF(AT87&lt;&gt;0,SSHI*W87,0)</f>
        <v>120.0368</v>
      </c>
      <c r="BF87" s="462">
        <f>IF(AND(AT87&lt;&gt;0,AN87&lt;&gt;"NE"),VLOOKUP(AN87,Retirement_Rates,3,FALSE)*W87,0)</f>
        <v>988.44096000000002</v>
      </c>
      <c r="BG87" s="462">
        <f>IF(AND(AT87&lt;&gt;0,AJ87&lt;&gt;"PF"),Life*W87,0)</f>
        <v>59.687263999999999</v>
      </c>
      <c r="BH87" s="462">
        <f>IF(AND(AT87&lt;&gt;0,AM87="Y"),UI*W87,0)</f>
        <v>40.564159999999994</v>
      </c>
      <c r="BI87" s="462">
        <f>IF(AND(AT87&lt;&gt;0,N87&lt;&gt;"NR"),DHR*W87,0)</f>
        <v>25.331903999999998</v>
      </c>
      <c r="BJ87" s="462">
        <f>IF(AT87&lt;&gt;0,WC*W87,0)</f>
        <v>222.68895999999998</v>
      </c>
      <c r="BK87" s="462">
        <f>IF(OR(AND(AT87&lt;&gt;0,AJ87&lt;&gt;"PF",AN87&lt;&gt;"NE",AG87&lt;&gt;"A"),AND(AL87="E",OR(AT87=1,AT87=3))),Sick*W87,0)</f>
        <v>0</v>
      </c>
      <c r="BL87" s="462">
        <f t="shared" si="22"/>
        <v>1970.0108479999997</v>
      </c>
      <c r="BM87" s="462">
        <f t="shared" si="23"/>
        <v>0</v>
      </c>
      <c r="BN87" s="462">
        <f>IF(AND(AT87=1,AK87="E",AU87&gt;=0.75,AW87=1),HealthBY,IF(AND(AT87=1,AK87="E",AU87&gt;=0.75),HealthBY*P87,IF(AND(AT87=1,AK87="E",AU87&gt;=0.5,AW87=1),PTHealthBY,IF(AND(AT87=1,AK87="E",AU87&gt;=0.5),PTHealthBY*P87,0))))</f>
        <v>2330</v>
      </c>
      <c r="BO87" s="462">
        <f>IF(AND(AT87=3,AK87="E",AV87&gt;=0.75,AW87=1),HealthBY,IF(AND(AT87=3,AK87="E",AV87&gt;=0.75),HealthBY*P87,IF(AND(AT87=3,AK87="E",AV87&gt;=0.5,AW87=1),PTHealthBY,IF(AND(AT87=3,AK87="E",AV87&gt;=0.5),PTHealthBY*P87,0))))</f>
        <v>0</v>
      </c>
      <c r="BP87" s="462">
        <f>IF(AND(AT87&lt;&gt;0,(AX87+BA87)&gt;=MAXSSDIBY),SSDIBY*MAXSSDIBY*P87,IF(AT87&lt;&gt;0,SSDIBY*W87,0))</f>
        <v>513.26080000000002</v>
      </c>
      <c r="BQ87" s="462">
        <f>IF(AT87&lt;&gt;0,SSHIBY*W87,0)</f>
        <v>120.0368</v>
      </c>
      <c r="BR87" s="462">
        <f>IF(AND(AT87&lt;&gt;0,AN87&lt;&gt;"NE"),VLOOKUP(AN87,Retirement_Rates,4,FALSE)*W87,0)</f>
        <v>988.44096000000002</v>
      </c>
      <c r="BS87" s="462">
        <f>IF(AND(AT87&lt;&gt;0,AJ87&lt;&gt;"PF"),LifeBY*W87,0)</f>
        <v>59.687263999999999</v>
      </c>
      <c r="BT87" s="462">
        <f>IF(AND(AT87&lt;&gt;0,AM87="Y"),UIBY*W87,0)</f>
        <v>0</v>
      </c>
      <c r="BU87" s="462">
        <f>IF(AND(AT87&lt;&gt;0,N87&lt;&gt;"NR"),DHRBY*W87,0)</f>
        <v>25.331903999999998</v>
      </c>
      <c r="BV87" s="462">
        <f>IF(AT87&lt;&gt;0,WCBY*W87,0)</f>
        <v>287.26048000000003</v>
      </c>
      <c r="BW87" s="462">
        <f>IF(OR(AND(AT87&lt;&gt;0,AJ87&lt;&gt;"PF",AN87&lt;&gt;"NE",AG87&lt;&gt;"A"),AND(AL87="E",OR(AT87=1,AT87=3))),SickBY*W87,0)</f>
        <v>0</v>
      </c>
      <c r="BX87" s="462">
        <f t="shared" si="24"/>
        <v>1994.018208</v>
      </c>
      <c r="BY87" s="462">
        <f t="shared" si="25"/>
        <v>0</v>
      </c>
      <c r="BZ87" s="462">
        <f t="shared" si="26"/>
        <v>0</v>
      </c>
      <c r="CA87" s="462">
        <f t="shared" si="27"/>
        <v>0</v>
      </c>
      <c r="CB87" s="462">
        <f t="shared" si="28"/>
        <v>0</v>
      </c>
      <c r="CC87" s="462">
        <f>IF(AT87&lt;&gt;0,SSHICHG*Y87,0)</f>
        <v>0</v>
      </c>
      <c r="CD87" s="462">
        <f>IF(AND(AT87&lt;&gt;0,AN87&lt;&gt;"NE"),VLOOKUP(AN87,Retirement_Rates,5,FALSE)*Y87,0)</f>
        <v>0</v>
      </c>
      <c r="CE87" s="462">
        <f>IF(AND(AT87&lt;&gt;0,AJ87&lt;&gt;"PF"),LifeCHG*Y87,0)</f>
        <v>0</v>
      </c>
      <c r="CF87" s="462">
        <f>IF(AND(AT87&lt;&gt;0,AM87="Y"),UICHG*Y87,0)</f>
        <v>-40.564159999999994</v>
      </c>
      <c r="CG87" s="462">
        <f>IF(AND(AT87&lt;&gt;0,N87&lt;&gt;"NR"),DHRCHG*Y87,0)</f>
        <v>0</v>
      </c>
      <c r="CH87" s="462">
        <f>IF(AT87&lt;&gt;0,WCCHG*Y87,0)</f>
        <v>64.571520000000007</v>
      </c>
      <c r="CI87" s="462">
        <f>IF(OR(AND(AT87&lt;&gt;0,AJ87&lt;&gt;"PF",AN87&lt;&gt;"NE",AG87&lt;&gt;"A"),AND(AL87="E",OR(AT87=1,AT87=3))),SickCHG*Y87,0)</f>
        <v>0</v>
      </c>
      <c r="CJ87" s="462">
        <f t="shared" si="29"/>
        <v>24.007360000000013</v>
      </c>
      <c r="CK87" s="462" t="str">
        <f t="shared" si="30"/>
        <v/>
      </c>
      <c r="CL87" s="462" t="str">
        <f t="shared" si="31"/>
        <v/>
      </c>
      <c r="CM87" s="462" t="str">
        <f t="shared" si="32"/>
        <v/>
      </c>
      <c r="CN87" s="462" t="str">
        <f t="shared" si="33"/>
        <v>0250-05</v>
      </c>
    </row>
    <row r="88" spans="1:92" ht="15" thickBot="1" x14ac:dyDescent="0.35">
      <c r="A88" s="376" t="s">
        <v>161</v>
      </c>
      <c r="B88" s="376" t="s">
        <v>162</v>
      </c>
      <c r="C88" s="376" t="s">
        <v>245</v>
      </c>
      <c r="D88" s="376" t="s">
        <v>227</v>
      </c>
      <c r="E88" s="376" t="s">
        <v>421</v>
      </c>
      <c r="F88" s="382" t="s">
        <v>424</v>
      </c>
      <c r="G88" s="376" t="s">
        <v>423</v>
      </c>
      <c r="H88" s="378"/>
      <c r="I88" s="378"/>
      <c r="J88" s="376" t="s">
        <v>229</v>
      </c>
      <c r="K88" s="376" t="s">
        <v>230</v>
      </c>
      <c r="L88" s="376" t="s">
        <v>231</v>
      </c>
      <c r="M88" s="376" t="s">
        <v>171</v>
      </c>
      <c r="N88" s="376" t="s">
        <v>172</v>
      </c>
      <c r="O88" s="379">
        <v>1</v>
      </c>
      <c r="P88" s="460">
        <v>0.34</v>
      </c>
      <c r="Q88" s="460">
        <v>0.34</v>
      </c>
      <c r="R88" s="380">
        <v>60</v>
      </c>
      <c r="S88" s="460">
        <v>0.25</v>
      </c>
      <c r="T88" s="380">
        <v>10357.040000000001</v>
      </c>
      <c r="U88" s="380">
        <v>0</v>
      </c>
      <c r="V88" s="380">
        <v>6382.64</v>
      </c>
      <c r="W88" s="380">
        <v>10554.96</v>
      </c>
      <c r="X88" s="380">
        <v>6472.75</v>
      </c>
      <c r="Y88" s="380">
        <v>10554.96</v>
      </c>
      <c r="Z88" s="380">
        <v>6503.36</v>
      </c>
      <c r="AA88" s="376" t="s">
        <v>246</v>
      </c>
      <c r="AB88" s="376" t="s">
        <v>247</v>
      </c>
      <c r="AC88" s="376" t="s">
        <v>248</v>
      </c>
      <c r="AD88" s="376" t="s">
        <v>240</v>
      </c>
      <c r="AE88" s="376" t="s">
        <v>230</v>
      </c>
      <c r="AF88" s="376" t="s">
        <v>236</v>
      </c>
      <c r="AG88" s="376" t="s">
        <v>178</v>
      </c>
      <c r="AH88" s="381">
        <v>19.899999999999999</v>
      </c>
      <c r="AI88" s="381">
        <v>5550.7</v>
      </c>
      <c r="AJ88" s="376" t="s">
        <v>249</v>
      </c>
      <c r="AK88" s="376" t="s">
        <v>180</v>
      </c>
      <c r="AL88" s="376" t="s">
        <v>181</v>
      </c>
      <c r="AM88" s="376" t="s">
        <v>182</v>
      </c>
      <c r="AN88" s="376" t="s">
        <v>68</v>
      </c>
      <c r="AO88" s="379">
        <v>60</v>
      </c>
      <c r="AP88" s="460">
        <v>1</v>
      </c>
      <c r="AQ88" s="460">
        <v>0.25</v>
      </c>
      <c r="AR88" s="458" t="s">
        <v>183</v>
      </c>
      <c r="AS88" s="462">
        <f t="shared" si="17"/>
        <v>0.255</v>
      </c>
      <c r="AT88">
        <f t="shared" si="18"/>
        <v>1</v>
      </c>
      <c r="AU88" s="462">
        <f>IF(AT88=0,"",IF(AND(AT88=1,M88="F",SUMIF(C2:C391,C88,AS2:AS391)&lt;=1),SUMIF(C2:C391,C88,AS2:AS391),IF(AND(AT88=1,M88="F",SUMIF(C2:C391,C88,AS2:AS391)&gt;1),1,"")))</f>
        <v>0.75</v>
      </c>
      <c r="AV88" s="462" t="str">
        <f>IF(AT88=0,"",IF(AND(AT88=3,M88="F",SUMIF(C2:C391,C88,AS2:AS391)&lt;=1),SUMIF(C2:C391,C88,AS2:AS391),IF(AND(AT88=3,M88="F",SUMIF(C2:C391,C88,AS2:AS391)&gt;1),1,"")))</f>
        <v/>
      </c>
      <c r="AW88" s="462">
        <f>SUMIF(C2:C391,C88,O2:O391)</f>
        <v>3</v>
      </c>
      <c r="AX88" s="462">
        <f>IF(AND(M88="F",AS88&lt;&gt;0),SUMIF(C2:C391,C88,W2:W391),0)</f>
        <v>31044</v>
      </c>
      <c r="AY88" s="462">
        <f t="shared" si="19"/>
        <v>10554.96</v>
      </c>
      <c r="AZ88" s="462" t="str">
        <f t="shared" si="20"/>
        <v/>
      </c>
      <c r="BA88" s="462">
        <f t="shared" si="21"/>
        <v>0</v>
      </c>
      <c r="BB88" s="462">
        <f>IF(AND(AT88=1,AK88="E",AU88&gt;=0.75,AW88=1),Health,IF(AND(AT88=1,AK88="E",AU88&gt;=0.75),Health*P88,IF(AND(AT88=1,AK88="E",AU88&gt;=0.5,AW88=1),PTHealth,IF(AND(AT88=1,AK88="E",AU88&gt;=0.5),PTHealth*P88,0))))</f>
        <v>3961.0000000000005</v>
      </c>
      <c r="BC88" s="462">
        <f>IF(AND(AT88=3,AK88="E",AV88&gt;=0.75,AW88=1),Health,IF(AND(AT88=3,AK88="E",AV88&gt;=0.75),Health*P88,IF(AND(AT88=3,AK88="E",AV88&gt;=0.5,AW88=1),PTHealth,IF(AND(AT88=3,AK88="E",AV88&gt;=0.5),PTHealth*P88,0))))</f>
        <v>0</v>
      </c>
      <c r="BD88" s="462">
        <f>IF(AND(AT88&lt;&gt;0,AX88&gt;=MAXSSDI),SSDI*MAXSSDI*P88,IF(AT88&lt;&gt;0,SSDI*W88,0))</f>
        <v>654.40751999999998</v>
      </c>
      <c r="BE88" s="462">
        <f>IF(AT88&lt;&gt;0,SSHI*W88,0)</f>
        <v>153.04692</v>
      </c>
      <c r="BF88" s="462">
        <f>IF(AND(AT88&lt;&gt;0,AN88&lt;&gt;"NE"),VLOOKUP(AN88,Retirement_Rates,3,FALSE)*W88,0)</f>
        <v>1260.2622240000001</v>
      </c>
      <c r="BG88" s="462">
        <f>IF(AND(AT88&lt;&gt;0,AJ88&lt;&gt;"PF"),Life*W88,0)</f>
        <v>76.101261600000001</v>
      </c>
      <c r="BH88" s="462">
        <f>IF(AND(AT88&lt;&gt;0,AM88="Y"),UI*W88,0)</f>
        <v>51.719303999999994</v>
      </c>
      <c r="BI88" s="462">
        <f>IF(AND(AT88&lt;&gt;0,N88&lt;&gt;"NR"),DHR*W88,0)</f>
        <v>32.298177599999995</v>
      </c>
      <c r="BJ88" s="462">
        <f>IF(AT88&lt;&gt;0,WC*W88,0)</f>
        <v>283.92842400000001</v>
      </c>
      <c r="BK88" s="462">
        <f>IF(OR(AND(AT88&lt;&gt;0,AJ88&lt;&gt;"PF",AN88&lt;&gt;"NE",AG88&lt;&gt;"A"),AND(AL88="E",OR(AT88=1,AT88=3))),Sick*W88,0)</f>
        <v>0</v>
      </c>
      <c r="BL88" s="462">
        <f t="shared" si="22"/>
        <v>2511.7638312000004</v>
      </c>
      <c r="BM88" s="462">
        <f t="shared" si="23"/>
        <v>0</v>
      </c>
      <c r="BN88" s="462">
        <f>IF(AND(AT88=1,AK88="E",AU88&gt;=0.75,AW88=1),HealthBY,IF(AND(AT88=1,AK88="E",AU88&gt;=0.75),HealthBY*P88,IF(AND(AT88=1,AK88="E",AU88&gt;=0.5,AW88=1),PTHealthBY,IF(AND(AT88=1,AK88="E",AU88&gt;=0.5),PTHealthBY*P88,0))))</f>
        <v>3961.0000000000005</v>
      </c>
      <c r="BO88" s="462">
        <f>IF(AND(AT88=3,AK88="E",AV88&gt;=0.75,AW88=1),HealthBY,IF(AND(AT88=3,AK88="E",AV88&gt;=0.75),HealthBY*P88,IF(AND(AT88=3,AK88="E",AV88&gt;=0.5,AW88=1),PTHealthBY,IF(AND(AT88=3,AK88="E",AV88&gt;=0.5),PTHealthBY*P88,0))))</f>
        <v>0</v>
      </c>
      <c r="BP88" s="462">
        <f>IF(AND(AT88&lt;&gt;0,(AX88+BA88)&gt;=MAXSSDIBY),SSDIBY*MAXSSDIBY*P88,IF(AT88&lt;&gt;0,SSDIBY*W88,0))</f>
        <v>654.40751999999998</v>
      </c>
      <c r="BQ88" s="462">
        <f>IF(AT88&lt;&gt;0,SSHIBY*W88,0)</f>
        <v>153.04692</v>
      </c>
      <c r="BR88" s="462">
        <f>IF(AND(AT88&lt;&gt;0,AN88&lt;&gt;"NE"),VLOOKUP(AN88,Retirement_Rates,4,FALSE)*W88,0)</f>
        <v>1260.2622240000001</v>
      </c>
      <c r="BS88" s="462">
        <f>IF(AND(AT88&lt;&gt;0,AJ88&lt;&gt;"PF"),LifeBY*W88,0)</f>
        <v>76.101261600000001</v>
      </c>
      <c r="BT88" s="462">
        <f>IF(AND(AT88&lt;&gt;0,AM88="Y"),UIBY*W88,0)</f>
        <v>0</v>
      </c>
      <c r="BU88" s="462">
        <f>IF(AND(AT88&lt;&gt;0,N88&lt;&gt;"NR"),DHRBY*W88,0)</f>
        <v>32.298177599999995</v>
      </c>
      <c r="BV88" s="462">
        <f>IF(AT88&lt;&gt;0,WCBY*W88,0)</f>
        <v>366.25711200000001</v>
      </c>
      <c r="BW88" s="462">
        <f>IF(OR(AND(AT88&lt;&gt;0,AJ88&lt;&gt;"PF",AN88&lt;&gt;"NE",AG88&lt;&gt;"A"),AND(AL88="E",OR(AT88=1,AT88=3))),SickBY*W88,0)</f>
        <v>0</v>
      </c>
      <c r="BX88" s="462">
        <f t="shared" si="24"/>
        <v>2542.3732152000002</v>
      </c>
      <c r="BY88" s="462">
        <f t="shared" si="25"/>
        <v>0</v>
      </c>
      <c r="BZ88" s="462">
        <f t="shared" si="26"/>
        <v>0</v>
      </c>
      <c r="CA88" s="462">
        <f t="shared" si="27"/>
        <v>0</v>
      </c>
      <c r="CB88" s="462">
        <f t="shared" si="28"/>
        <v>0</v>
      </c>
      <c r="CC88" s="462">
        <f>IF(AT88&lt;&gt;0,SSHICHG*Y88,0)</f>
        <v>0</v>
      </c>
      <c r="CD88" s="462">
        <f>IF(AND(AT88&lt;&gt;0,AN88&lt;&gt;"NE"),VLOOKUP(AN88,Retirement_Rates,5,FALSE)*Y88,0)</f>
        <v>0</v>
      </c>
      <c r="CE88" s="462">
        <f>IF(AND(AT88&lt;&gt;0,AJ88&lt;&gt;"PF"),LifeCHG*Y88,0)</f>
        <v>0</v>
      </c>
      <c r="CF88" s="462">
        <f>IF(AND(AT88&lt;&gt;0,AM88="Y"),UICHG*Y88,0)</f>
        <v>-51.719303999999994</v>
      </c>
      <c r="CG88" s="462">
        <f>IF(AND(AT88&lt;&gt;0,N88&lt;&gt;"NR"),DHRCHG*Y88,0)</f>
        <v>0</v>
      </c>
      <c r="CH88" s="462">
        <f>IF(AT88&lt;&gt;0,WCCHG*Y88,0)</f>
        <v>82.328688000000014</v>
      </c>
      <c r="CI88" s="462">
        <f>IF(OR(AND(AT88&lt;&gt;0,AJ88&lt;&gt;"PF",AN88&lt;&gt;"NE",AG88&lt;&gt;"A"),AND(AL88="E",OR(AT88=1,AT88=3))),SickCHG*Y88,0)</f>
        <v>0</v>
      </c>
      <c r="CJ88" s="462">
        <f t="shared" si="29"/>
        <v>30.60938400000002</v>
      </c>
      <c r="CK88" s="462" t="str">
        <f t="shared" si="30"/>
        <v/>
      </c>
      <c r="CL88" s="462" t="str">
        <f t="shared" si="31"/>
        <v/>
      </c>
      <c r="CM88" s="462" t="str">
        <f t="shared" si="32"/>
        <v/>
      </c>
      <c r="CN88" s="462" t="str">
        <f t="shared" si="33"/>
        <v>0250-05</v>
      </c>
    </row>
    <row r="89" spans="1:92" ht="15" thickBot="1" x14ac:dyDescent="0.35">
      <c r="A89" s="376" t="s">
        <v>161</v>
      </c>
      <c r="B89" s="376" t="s">
        <v>162</v>
      </c>
      <c r="C89" s="376" t="s">
        <v>367</v>
      </c>
      <c r="D89" s="376" t="s">
        <v>368</v>
      </c>
      <c r="E89" s="376" t="s">
        <v>421</v>
      </c>
      <c r="F89" s="382" t="s">
        <v>424</v>
      </c>
      <c r="G89" s="376" t="s">
        <v>423</v>
      </c>
      <c r="H89" s="378"/>
      <c r="I89" s="378"/>
      <c r="J89" s="376" t="s">
        <v>229</v>
      </c>
      <c r="K89" s="376" t="s">
        <v>369</v>
      </c>
      <c r="L89" s="376" t="s">
        <v>231</v>
      </c>
      <c r="M89" s="376" t="s">
        <v>171</v>
      </c>
      <c r="N89" s="376" t="s">
        <v>172</v>
      </c>
      <c r="O89" s="379">
        <v>1</v>
      </c>
      <c r="P89" s="460">
        <v>0.3</v>
      </c>
      <c r="Q89" s="460">
        <v>0.3</v>
      </c>
      <c r="R89" s="380">
        <v>80</v>
      </c>
      <c r="S89" s="460">
        <v>0.3</v>
      </c>
      <c r="T89" s="380">
        <v>12329.33</v>
      </c>
      <c r="U89" s="380">
        <v>0</v>
      </c>
      <c r="V89" s="380">
        <v>6054.22</v>
      </c>
      <c r="W89" s="380">
        <v>12679.68</v>
      </c>
      <c r="X89" s="380">
        <v>6512.37</v>
      </c>
      <c r="Y89" s="380">
        <v>12679.68</v>
      </c>
      <c r="Z89" s="380">
        <v>6549.14</v>
      </c>
      <c r="AA89" s="376" t="s">
        <v>370</v>
      </c>
      <c r="AB89" s="376" t="s">
        <v>371</v>
      </c>
      <c r="AC89" s="376" t="s">
        <v>372</v>
      </c>
      <c r="AD89" s="376" t="s">
        <v>373</v>
      </c>
      <c r="AE89" s="376" t="s">
        <v>369</v>
      </c>
      <c r="AF89" s="376" t="s">
        <v>236</v>
      </c>
      <c r="AG89" s="376" t="s">
        <v>178</v>
      </c>
      <c r="AH89" s="381">
        <v>20.32</v>
      </c>
      <c r="AI89" s="379">
        <v>28035</v>
      </c>
      <c r="AJ89" s="376" t="s">
        <v>179</v>
      </c>
      <c r="AK89" s="376" t="s">
        <v>180</v>
      </c>
      <c r="AL89" s="376" t="s">
        <v>181</v>
      </c>
      <c r="AM89" s="376" t="s">
        <v>182</v>
      </c>
      <c r="AN89" s="376" t="s">
        <v>68</v>
      </c>
      <c r="AO89" s="379">
        <v>80</v>
      </c>
      <c r="AP89" s="460">
        <v>1</v>
      </c>
      <c r="AQ89" s="460">
        <v>0.3</v>
      </c>
      <c r="AR89" s="458" t="s">
        <v>183</v>
      </c>
      <c r="AS89" s="462">
        <f t="shared" si="17"/>
        <v>0.3</v>
      </c>
      <c r="AT89">
        <f t="shared" si="18"/>
        <v>1</v>
      </c>
      <c r="AU89" s="462">
        <f>IF(AT89=0,"",IF(AND(AT89=1,M89="F",SUMIF(C2:C391,C89,AS2:AS391)&lt;=1),SUMIF(C2:C391,C89,AS2:AS391),IF(AND(AT89=1,M89="F",SUMIF(C2:C391,C89,AS2:AS391)&gt;1),1,"")))</f>
        <v>1</v>
      </c>
      <c r="AV89" s="462" t="str">
        <f>IF(AT89=0,"",IF(AND(AT89=3,M89="F",SUMIF(C2:C391,C89,AS2:AS391)&lt;=1),SUMIF(C2:C391,C89,AS2:AS391),IF(AND(AT89=3,M89="F",SUMIF(C2:C391,C89,AS2:AS391)&gt;1),1,"")))</f>
        <v/>
      </c>
      <c r="AW89" s="462">
        <f>SUMIF(C2:C391,C89,O2:O391)</f>
        <v>3</v>
      </c>
      <c r="AX89" s="462">
        <f>IF(AND(M89="F",AS89&lt;&gt;0),SUMIF(C2:C391,C89,W2:W391),0)</f>
        <v>42265.600000000006</v>
      </c>
      <c r="AY89" s="462">
        <f t="shared" si="19"/>
        <v>12679.68</v>
      </c>
      <c r="AZ89" s="462" t="str">
        <f t="shared" si="20"/>
        <v/>
      </c>
      <c r="BA89" s="462">
        <f t="shared" si="21"/>
        <v>0</v>
      </c>
      <c r="BB89" s="462">
        <f>IF(AND(AT89=1,AK89="E",AU89&gt;=0.75,AW89=1),Health,IF(AND(AT89=1,AK89="E",AU89&gt;=0.75),Health*P89,IF(AND(AT89=1,AK89="E",AU89&gt;=0.5,AW89=1),PTHealth,IF(AND(AT89=1,AK89="E",AU89&gt;=0.5),PTHealth*P89,0))))</f>
        <v>3495</v>
      </c>
      <c r="BC89" s="462">
        <f>IF(AND(AT89=3,AK89="E",AV89&gt;=0.75,AW89=1),Health,IF(AND(AT89=3,AK89="E",AV89&gt;=0.75),Health*P89,IF(AND(AT89=3,AK89="E",AV89&gt;=0.5,AW89=1),PTHealth,IF(AND(AT89=3,AK89="E",AV89&gt;=0.5),PTHealth*P89,0))))</f>
        <v>0</v>
      </c>
      <c r="BD89" s="462">
        <f>IF(AND(AT89&lt;&gt;0,AX89&gt;=MAXSSDI),SSDI*MAXSSDI*P89,IF(AT89&lt;&gt;0,SSDI*W89,0))</f>
        <v>786.14016000000004</v>
      </c>
      <c r="BE89" s="462">
        <f>IF(AT89&lt;&gt;0,SSHI*W89,0)</f>
        <v>183.85536000000002</v>
      </c>
      <c r="BF89" s="462">
        <f>IF(AND(AT89&lt;&gt;0,AN89&lt;&gt;"NE"),VLOOKUP(AN89,Retirement_Rates,3,FALSE)*W89,0)</f>
        <v>1513.953792</v>
      </c>
      <c r="BG89" s="462">
        <f>IF(AND(AT89&lt;&gt;0,AJ89&lt;&gt;"PF"),Life*W89,0)</f>
        <v>91.420492800000005</v>
      </c>
      <c r="BH89" s="462">
        <f>IF(AND(AT89&lt;&gt;0,AM89="Y"),UI*W89,0)</f>
        <v>62.130431999999999</v>
      </c>
      <c r="BI89" s="462">
        <f>IF(AND(AT89&lt;&gt;0,N89&lt;&gt;"NR"),DHR*W89,0)</f>
        <v>38.799820799999999</v>
      </c>
      <c r="BJ89" s="462">
        <f>IF(AT89&lt;&gt;0,WC*W89,0)</f>
        <v>341.083392</v>
      </c>
      <c r="BK89" s="462">
        <f>IF(OR(AND(AT89&lt;&gt;0,AJ89&lt;&gt;"PF",AN89&lt;&gt;"NE",AG89&lt;&gt;"A"),AND(AL89="E",OR(AT89=1,AT89=3))),Sick*W89,0)</f>
        <v>0</v>
      </c>
      <c r="BL89" s="462">
        <f t="shared" si="22"/>
        <v>3017.3834495999999</v>
      </c>
      <c r="BM89" s="462">
        <f t="shared" si="23"/>
        <v>0</v>
      </c>
      <c r="BN89" s="462">
        <f>IF(AND(AT89=1,AK89="E",AU89&gt;=0.75,AW89=1),HealthBY,IF(AND(AT89=1,AK89="E",AU89&gt;=0.75),HealthBY*P89,IF(AND(AT89=1,AK89="E",AU89&gt;=0.5,AW89=1),PTHealthBY,IF(AND(AT89=1,AK89="E",AU89&gt;=0.5),PTHealthBY*P89,0))))</f>
        <v>3495</v>
      </c>
      <c r="BO89" s="462">
        <f>IF(AND(AT89=3,AK89="E",AV89&gt;=0.75,AW89=1),HealthBY,IF(AND(AT89=3,AK89="E",AV89&gt;=0.75),HealthBY*P89,IF(AND(AT89=3,AK89="E",AV89&gt;=0.5,AW89=1),PTHealthBY,IF(AND(AT89=3,AK89="E",AV89&gt;=0.5),PTHealthBY*P89,0))))</f>
        <v>0</v>
      </c>
      <c r="BP89" s="462">
        <f>IF(AND(AT89&lt;&gt;0,(AX89+BA89)&gt;=MAXSSDIBY),SSDIBY*MAXSSDIBY*P89,IF(AT89&lt;&gt;0,SSDIBY*W89,0))</f>
        <v>786.14016000000004</v>
      </c>
      <c r="BQ89" s="462">
        <f>IF(AT89&lt;&gt;0,SSHIBY*W89,0)</f>
        <v>183.85536000000002</v>
      </c>
      <c r="BR89" s="462">
        <f>IF(AND(AT89&lt;&gt;0,AN89&lt;&gt;"NE"),VLOOKUP(AN89,Retirement_Rates,4,FALSE)*W89,0)</f>
        <v>1513.953792</v>
      </c>
      <c r="BS89" s="462">
        <f>IF(AND(AT89&lt;&gt;0,AJ89&lt;&gt;"PF"),LifeBY*W89,0)</f>
        <v>91.420492800000005</v>
      </c>
      <c r="BT89" s="462">
        <f>IF(AND(AT89&lt;&gt;0,AM89="Y"),UIBY*W89,0)</f>
        <v>0</v>
      </c>
      <c r="BU89" s="462">
        <f>IF(AND(AT89&lt;&gt;0,N89&lt;&gt;"NR"),DHRBY*W89,0)</f>
        <v>38.799820799999999</v>
      </c>
      <c r="BV89" s="462">
        <f>IF(AT89&lt;&gt;0,WCBY*W89,0)</f>
        <v>439.98489600000005</v>
      </c>
      <c r="BW89" s="462">
        <f>IF(OR(AND(AT89&lt;&gt;0,AJ89&lt;&gt;"PF",AN89&lt;&gt;"NE",AG89&lt;&gt;"A"),AND(AL89="E",OR(AT89=1,AT89=3))),SickBY*W89,0)</f>
        <v>0</v>
      </c>
      <c r="BX89" s="462">
        <f t="shared" si="24"/>
        <v>3054.1545216</v>
      </c>
      <c r="BY89" s="462">
        <f t="shared" si="25"/>
        <v>0</v>
      </c>
      <c r="BZ89" s="462">
        <f t="shared" si="26"/>
        <v>0</v>
      </c>
      <c r="CA89" s="462">
        <f t="shared" si="27"/>
        <v>0</v>
      </c>
      <c r="CB89" s="462">
        <f t="shared" si="28"/>
        <v>0</v>
      </c>
      <c r="CC89" s="462">
        <f>IF(AT89&lt;&gt;0,SSHICHG*Y89,0)</f>
        <v>0</v>
      </c>
      <c r="CD89" s="462">
        <f>IF(AND(AT89&lt;&gt;0,AN89&lt;&gt;"NE"),VLOOKUP(AN89,Retirement_Rates,5,FALSE)*Y89,0)</f>
        <v>0</v>
      </c>
      <c r="CE89" s="462">
        <f>IF(AND(AT89&lt;&gt;0,AJ89&lt;&gt;"PF"),LifeCHG*Y89,0)</f>
        <v>0</v>
      </c>
      <c r="CF89" s="462">
        <f>IF(AND(AT89&lt;&gt;0,AM89="Y"),UICHG*Y89,0)</f>
        <v>-62.130431999999999</v>
      </c>
      <c r="CG89" s="462">
        <f>IF(AND(AT89&lt;&gt;0,N89&lt;&gt;"NR"),DHRCHG*Y89,0)</f>
        <v>0</v>
      </c>
      <c r="CH89" s="462">
        <f>IF(AT89&lt;&gt;0,WCCHG*Y89,0)</f>
        <v>98.901504000000017</v>
      </c>
      <c r="CI89" s="462">
        <f>IF(OR(AND(AT89&lt;&gt;0,AJ89&lt;&gt;"PF",AN89&lt;&gt;"NE",AG89&lt;&gt;"A"),AND(AL89="E",OR(AT89=1,AT89=3))),SickCHG*Y89,0)</f>
        <v>0</v>
      </c>
      <c r="CJ89" s="462">
        <f t="shared" si="29"/>
        <v>36.771072000000018</v>
      </c>
      <c r="CK89" s="462" t="str">
        <f t="shared" si="30"/>
        <v/>
      </c>
      <c r="CL89" s="462" t="str">
        <f t="shared" si="31"/>
        <v/>
      </c>
      <c r="CM89" s="462" t="str">
        <f t="shared" si="32"/>
        <v/>
      </c>
      <c r="CN89" s="462" t="str">
        <f t="shared" si="33"/>
        <v>0250-05</v>
      </c>
    </row>
    <row r="90" spans="1:92" ht="15" thickBot="1" x14ac:dyDescent="0.35">
      <c r="A90" s="376" t="s">
        <v>161</v>
      </c>
      <c r="B90" s="376" t="s">
        <v>162</v>
      </c>
      <c r="C90" s="376" t="s">
        <v>250</v>
      </c>
      <c r="D90" s="376" t="s">
        <v>227</v>
      </c>
      <c r="E90" s="376" t="s">
        <v>421</v>
      </c>
      <c r="F90" s="382" t="s">
        <v>424</v>
      </c>
      <c r="G90" s="376" t="s">
        <v>423</v>
      </c>
      <c r="H90" s="378"/>
      <c r="I90" s="378"/>
      <c r="J90" s="376" t="s">
        <v>229</v>
      </c>
      <c r="K90" s="376" t="s">
        <v>230</v>
      </c>
      <c r="L90" s="376" t="s">
        <v>231</v>
      </c>
      <c r="M90" s="376" t="s">
        <v>171</v>
      </c>
      <c r="N90" s="376" t="s">
        <v>172</v>
      </c>
      <c r="O90" s="379">
        <v>1</v>
      </c>
      <c r="P90" s="460">
        <v>0.2</v>
      </c>
      <c r="Q90" s="460">
        <v>0.2</v>
      </c>
      <c r="R90" s="380">
        <v>80</v>
      </c>
      <c r="S90" s="460">
        <v>0.2</v>
      </c>
      <c r="T90" s="380">
        <v>7734.81</v>
      </c>
      <c r="U90" s="380">
        <v>0</v>
      </c>
      <c r="V90" s="380">
        <v>4152.01</v>
      </c>
      <c r="W90" s="380">
        <v>8203.52</v>
      </c>
      <c r="X90" s="380">
        <v>4282.18</v>
      </c>
      <c r="Y90" s="380">
        <v>8203.52</v>
      </c>
      <c r="Z90" s="380">
        <v>4305.97</v>
      </c>
      <c r="AA90" s="376" t="s">
        <v>251</v>
      </c>
      <c r="AB90" s="376" t="s">
        <v>252</v>
      </c>
      <c r="AC90" s="376" t="s">
        <v>253</v>
      </c>
      <c r="AD90" s="376" t="s">
        <v>170</v>
      </c>
      <c r="AE90" s="376" t="s">
        <v>230</v>
      </c>
      <c r="AF90" s="376" t="s">
        <v>236</v>
      </c>
      <c r="AG90" s="376" t="s">
        <v>178</v>
      </c>
      <c r="AH90" s="381">
        <v>19.72</v>
      </c>
      <c r="AI90" s="381">
        <v>18601.400000000001</v>
      </c>
      <c r="AJ90" s="376" t="s">
        <v>179</v>
      </c>
      <c r="AK90" s="376" t="s">
        <v>180</v>
      </c>
      <c r="AL90" s="376" t="s">
        <v>181</v>
      </c>
      <c r="AM90" s="376" t="s">
        <v>182</v>
      </c>
      <c r="AN90" s="376" t="s">
        <v>68</v>
      </c>
      <c r="AO90" s="379">
        <v>80</v>
      </c>
      <c r="AP90" s="460">
        <v>1</v>
      </c>
      <c r="AQ90" s="460">
        <v>0.2</v>
      </c>
      <c r="AR90" s="458" t="s">
        <v>183</v>
      </c>
      <c r="AS90" s="462">
        <f t="shared" si="17"/>
        <v>0.2</v>
      </c>
      <c r="AT90">
        <f t="shared" si="18"/>
        <v>1</v>
      </c>
      <c r="AU90" s="462">
        <f>IF(AT90=0,"",IF(AND(AT90=1,M90="F",SUMIF(C2:C391,C90,AS2:AS391)&lt;=1),SUMIF(C2:C391,C90,AS2:AS391),IF(AND(AT90=1,M90="F",SUMIF(C2:C391,C90,AS2:AS391)&gt;1),1,"")))</f>
        <v>1</v>
      </c>
      <c r="AV90" s="462" t="str">
        <f>IF(AT90=0,"",IF(AND(AT90=3,M90="F",SUMIF(C2:C391,C90,AS2:AS391)&lt;=1),SUMIF(C2:C391,C90,AS2:AS391),IF(AND(AT90=3,M90="F",SUMIF(C2:C391,C90,AS2:AS391)&gt;1),1,"")))</f>
        <v/>
      </c>
      <c r="AW90" s="462">
        <f>SUMIF(C2:C391,C90,O2:O391)</f>
        <v>3</v>
      </c>
      <c r="AX90" s="462">
        <f>IF(AND(M90="F",AS90&lt;&gt;0),SUMIF(C2:C391,C90,W2:W391),0)</f>
        <v>41017.600000000006</v>
      </c>
      <c r="AY90" s="462">
        <f t="shared" si="19"/>
        <v>8203.52</v>
      </c>
      <c r="AZ90" s="462" t="str">
        <f t="shared" si="20"/>
        <v/>
      </c>
      <c r="BA90" s="462">
        <f t="shared" si="21"/>
        <v>0</v>
      </c>
      <c r="BB90" s="462">
        <f>IF(AND(AT90=1,AK90="E",AU90&gt;=0.75,AW90=1),Health,IF(AND(AT90=1,AK90="E",AU90&gt;=0.75),Health*P90,IF(AND(AT90=1,AK90="E",AU90&gt;=0.5,AW90=1),PTHealth,IF(AND(AT90=1,AK90="E",AU90&gt;=0.5),PTHealth*P90,0))))</f>
        <v>2330</v>
      </c>
      <c r="BC90" s="462">
        <f>IF(AND(AT90=3,AK90="E",AV90&gt;=0.75,AW90=1),Health,IF(AND(AT90=3,AK90="E",AV90&gt;=0.75),Health*P90,IF(AND(AT90=3,AK90="E",AV90&gt;=0.5,AW90=1),PTHealth,IF(AND(AT90=3,AK90="E",AV90&gt;=0.5),PTHealth*P90,0))))</f>
        <v>0</v>
      </c>
      <c r="BD90" s="462">
        <f>IF(AND(AT90&lt;&gt;0,AX90&gt;=MAXSSDI),SSDI*MAXSSDI*P90,IF(AT90&lt;&gt;0,SSDI*W90,0))</f>
        <v>508.61824000000001</v>
      </c>
      <c r="BE90" s="462">
        <f>IF(AT90&lt;&gt;0,SSHI*W90,0)</f>
        <v>118.95104000000001</v>
      </c>
      <c r="BF90" s="462">
        <f>IF(AND(AT90&lt;&gt;0,AN90&lt;&gt;"NE"),VLOOKUP(AN90,Retirement_Rates,3,FALSE)*W90,0)</f>
        <v>979.50028800000007</v>
      </c>
      <c r="BG90" s="462">
        <f>IF(AND(AT90&lt;&gt;0,AJ90&lt;&gt;"PF"),Life*W90,0)</f>
        <v>59.147379200000003</v>
      </c>
      <c r="BH90" s="462">
        <f>IF(AND(AT90&lt;&gt;0,AM90="Y"),UI*W90,0)</f>
        <v>40.197248000000002</v>
      </c>
      <c r="BI90" s="462">
        <f>IF(AND(AT90&lt;&gt;0,N90&lt;&gt;"NR"),DHR*W90,0)</f>
        <v>25.102771199999999</v>
      </c>
      <c r="BJ90" s="462">
        <f>IF(AT90&lt;&gt;0,WC*W90,0)</f>
        <v>220.674688</v>
      </c>
      <c r="BK90" s="462">
        <f>IF(OR(AND(AT90&lt;&gt;0,AJ90&lt;&gt;"PF",AN90&lt;&gt;"NE",AG90&lt;&gt;"A"),AND(AL90="E",OR(AT90=1,AT90=3))),Sick*W90,0)</f>
        <v>0</v>
      </c>
      <c r="BL90" s="462">
        <f t="shared" si="22"/>
        <v>1952.1916544000001</v>
      </c>
      <c r="BM90" s="462">
        <f t="shared" si="23"/>
        <v>0</v>
      </c>
      <c r="BN90" s="462">
        <f>IF(AND(AT90=1,AK90="E",AU90&gt;=0.75,AW90=1),HealthBY,IF(AND(AT90=1,AK90="E",AU90&gt;=0.75),HealthBY*P90,IF(AND(AT90=1,AK90="E",AU90&gt;=0.5,AW90=1),PTHealthBY,IF(AND(AT90=1,AK90="E",AU90&gt;=0.5),PTHealthBY*P90,0))))</f>
        <v>2330</v>
      </c>
      <c r="BO90" s="462">
        <f>IF(AND(AT90=3,AK90="E",AV90&gt;=0.75,AW90=1),HealthBY,IF(AND(AT90=3,AK90="E",AV90&gt;=0.75),HealthBY*P90,IF(AND(AT90=3,AK90="E",AV90&gt;=0.5,AW90=1),PTHealthBY,IF(AND(AT90=3,AK90="E",AV90&gt;=0.5),PTHealthBY*P90,0))))</f>
        <v>0</v>
      </c>
      <c r="BP90" s="462">
        <f>IF(AND(AT90&lt;&gt;0,(AX90+BA90)&gt;=MAXSSDIBY),SSDIBY*MAXSSDIBY*P90,IF(AT90&lt;&gt;0,SSDIBY*W90,0))</f>
        <v>508.61824000000001</v>
      </c>
      <c r="BQ90" s="462">
        <f>IF(AT90&lt;&gt;0,SSHIBY*W90,0)</f>
        <v>118.95104000000001</v>
      </c>
      <c r="BR90" s="462">
        <f>IF(AND(AT90&lt;&gt;0,AN90&lt;&gt;"NE"),VLOOKUP(AN90,Retirement_Rates,4,FALSE)*W90,0)</f>
        <v>979.50028800000007</v>
      </c>
      <c r="BS90" s="462">
        <f>IF(AND(AT90&lt;&gt;0,AJ90&lt;&gt;"PF"),LifeBY*W90,0)</f>
        <v>59.147379200000003</v>
      </c>
      <c r="BT90" s="462">
        <f>IF(AND(AT90&lt;&gt;0,AM90="Y"),UIBY*W90,0)</f>
        <v>0</v>
      </c>
      <c r="BU90" s="462">
        <f>IF(AND(AT90&lt;&gt;0,N90&lt;&gt;"NR"),DHRBY*W90,0)</f>
        <v>25.102771199999999</v>
      </c>
      <c r="BV90" s="462">
        <f>IF(AT90&lt;&gt;0,WCBY*W90,0)</f>
        <v>284.66214400000001</v>
      </c>
      <c r="BW90" s="462">
        <f>IF(OR(AND(AT90&lt;&gt;0,AJ90&lt;&gt;"PF",AN90&lt;&gt;"NE",AG90&lt;&gt;"A"),AND(AL90="E",OR(AT90=1,AT90=3))),SickBY*W90,0)</f>
        <v>0</v>
      </c>
      <c r="BX90" s="462">
        <f t="shared" si="24"/>
        <v>1975.9818624</v>
      </c>
      <c r="BY90" s="462">
        <f t="shared" si="25"/>
        <v>0</v>
      </c>
      <c r="BZ90" s="462">
        <f t="shared" si="26"/>
        <v>0</v>
      </c>
      <c r="CA90" s="462">
        <f t="shared" si="27"/>
        <v>0</v>
      </c>
      <c r="CB90" s="462">
        <f t="shared" si="28"/>
        <v>0</v>
      </c>
      <c r="CC90" s="462">
        <f>IF(AT90&lt;&gt;0,SSHICHG*Y90,0)</f>
        <v>0</v>
      </c>
      <c r="CD90" s="462">
        <f>IF(AND(AT90&lt;&gt;0,AN90&lt;&gt;"NE"),VLOOKUP(AN90,Retirement_Rates,5,FALSE)*Y90,0)</f>
        <v>0</v>
      </c>
      <c r="CE90" s="462">
        <f>IF(AND(AT90&lt;&gt;0,AJ90&lt;&gt;"PF"),LifeCHG*Y90,0)</f>
        <v>0</v>
      </c>
      <c r="CF90" s="462">
        <f>IF(AND(AT90&lt;&gt;0,AM90="Y"),UICHG*Y90,0)</f>
        <v>-40.197248000000002</v>
      </c>
      <c r="CG90" s="462">
        <f>IF(AND(AT90&lt;&gt;0,N90&lt;&gt;"NR"),DHRCHG*Y90,0)</f>
        <v>0</v>
      </c>
      <c r="CH90" s="462">
        <f>IF(AT90&lt;&gt;0,WCCHG*Y90,0)</f>
        <v>63.987456000000016</v>
      </c>
      <c r="CI90" s="462">
        <f>IF(OR(AND(AT90&lt;&gt;0,AJ90&lt;&gt;"PF",AN90&lt;&gt;"NE",AG90&lt;&gt;"A"),AND(AL90="E",OR(AT90=1,AT90=3))),SickCHG*Y90,0)</f>
        <v>0</v>
      </c>
      <c r="CJ90" s="462">
        <f t="shared" si="29"/>
        <v>23.790208000000014</v>
      </c>
      <c r="CK90" s="462" t="str">
        <f t="shared" si="30"/>
        <v/>
      </c>
      <c r="CL90" s="462" t="str">
        <f t="shared" si="31"/>
        <v/>
      </c>
      <c r="CM90" s="462" t="str">
        <f t="shared" si="32"/>
        <v/>
      </c>
      <c r="CN90" s="462" t="str">
        <f t="shared" si="33"/>
        <v>0250-05</v>
      </c>
    </row>
    <row r="91" spans="1:92" ht="15" thickBot="1" x14ac:dyDescent="0.35">
      <c r="A91" s="376" t="s">
        <v>161</v>
      </c>
      <c r="B91" s="376" t="s">
        <v>162</v>
      </c>
      <c r="C91" s="376" t="s">
        <v>191</v>
      </c>
      <c r="D91" s="376" t="s">
        <v>192</v>
      </c>
      <c r="E91" s="376" t="s">
        <v>421</v>
      </c>
      <c r="F91" s="382" t="s">
        <v>424</v>
      </c>
      <c r="G91" s="376" t="s">
        <v>423</v>
      </c>
      <c r="H91" s="378"/>
      <c r="I91" s="378"/>
      <c r="J91" s="376" t="s">
        <v>193</v>
      </c>
      <c r="K91" s="376" t="s">
        <v>194</v>
      </c>
      <c r="L91" s="376" t="s">
        <v>195</v>
      </c>
      <c r="M91" s="376" t="s">
        <v>171</v>
      </c>
      <c r="N91" s="376" t="s">
        <v>172</v>
      </c>
      <c r="O91" s="379">
        <v>1</v>
      </c>
      <c r="P91" s="460">
        <v>0.8</v>
      </c>
      <c r="Q91" s="460">
        <v>0.8</v>
      </c>
      <c r="R91" s="380">
        <v>80</v>
      </c>
      <c r="S91" s="460">
        <v>0.8</v>
      </c>
      <c r="T91" s="380">
        <v>39923.65</v>
      </c>
      <c r="U91" s="380">
        <v>0</v>
      </c>
      <c r="V91" s="380">
        <v>18145.560000000001</v>
      </c>
      <c r="W91" s="380">
        <v>42864.639999999999</v>
      </c>
      <c r="X91" s="380">
        <v>19520.46</v>
      </c>
      <c r="Y91" s="380">
        <v>42864.639999999999</v>
      </c>
      <c r="Z91" s="380">
        <v>19644.77</v>
      </c>
      <c r="AA91" s="376" t="s">
        <v>196</v>
      </c>
      <c r="AB91" s="376" t="s">
        <v>197</v>
      </c>
      <c r="AC91" s="376" t="s">
        <v>198</v>
      </c>
      <c r="AD91" s="376" t="s">
        <v>176</v>
      </c>
      <c r="AE91" s="376" t="s">
        <v>194</v>
      </c>
      <c r="AF91" s="376" t="s">
        <v>199</v>
      </c>
      <c r="AG91" s="376" t="s">
        <v>178</v>
      </c>
      <c r="AH91" s="381">
        <v>25.76</v>
      </c>
      <c r="AI91" s="381">
        <v>4232.5</v>
      </c>
      <c r="AJ91" s="376" t="s">
        <v>179</v>
      </c>
      <c r="AK91" s="376" t="s">
        <v>180</v>
      </c>
      <c r="AL91" s="376" t="s">
        <v>181</v>
      </c>
      <c r="AM91" s="376" t="s">
        <v>182</v>
      </c>
      <c r="AN91" s="376" t="s">
        <v>68</v>
      </c>
      <c r="AO91" s="379">
        <v>80</v>
      </c>
      <c r="AP91" s="460">
        <v>1</v>
      </c>
      <c r="AQ91" s="460">
        <v>0.8</v>
      </c>
      <c r="AR91" s="458" t="s">
        <v>183</v>
      </c>
      <c r="AS91" s="462">
        <f t="shared" si="17"/>
        <v>0.8</v>
      </c>
      <c r="AT91">
        <f t="shared" si="18"/>
        <v>1</v>
      </c>
      <c r="AU91" s="462">
        <f>IF(AT91=0,"",IF(AND(AT91=1,M91="F",SUMIF(C2:C391,C91,AS2:AS391)&lt;=1),SUMIF(C2:C391,C91,AS2:AS391),IF(AND(AT91=1,M91="F",SUMIF(C2:C391,C91,AS2:AS391)&gt;1),1,"")))</f>
        <v>1</v>
      </c>
      <c r="AV91" s="462" t="str">
        <f>IF(AT91=0,"",IF(AND(AT91=3,M91="F",SUMIF(C2:C391,C91,AS2:AS391)&lt;=1),SUMIF(C2:C391,C91,AS2:AS391),IF(AND(AT91=3,M91="F",SUMIF(C2:C391,C91,AS2:AS391)&gt;1),1,"")))</f>
        <v/>
      </c>
      <c r="AW91" s="462">
        <f>SUMIF(C2:C391,C91,O2:O391)</f>
        <v>3</v>
      </c>
      <c r="AX91" s="462">
        <f>IF(AND(M91="F",AS91&lt;&gt;0),SUMIF(C2:C391,C91,W2:W391),0)</f>
        <v>53580.800000000003</v>
      </c>
      <c r="AY91" s="462">
        <f t="shared" si="19"/>
        <v>42864.639999999999</v>
      </c>
      <c r="AZ91" s="462" t="str">
        <f t="shared" si="20"/>
        <v/>
      </c>
      <c r="BA91" s="462">
        <f t="shared" si="21"/>
        <v>0</v>
      </c>
      <c r="BB91" s="462">
        <f>IF(AND(AT91=1,AK91="E",AU91&gt;=0.75,AW91=1),Health,IF(AND(AT91=1,AK91="E",AU91&gt;=0.75),Health*P91,IF(AND(AT91=1,AK91="E",AU91&gt;=0.5,AW91=1),PTHealth,IF(AND(AT91=1,AK91="E",AU91&gt;=0.5),PTHealth*P91,0))))</f>
        <v>9320</v>
      </c>
      <c r="BC91" s="462">
        <f>IF(AND(AT91=3,AK91="E",AV91&gt;=0.75,AW91=1),Health,IF(AND(AT91=3,AK91="E",AV91&gt;=0.75),Health*P91,IF(AND(AT91=3,AK91="E",AV91&gt;=0.5,AW91=1),PTHealth,IF(AND(AT91=3,AK91="E",AV91&gt;=0.5),PTHealth*P91,0))))</f>
        <v>0</v>
      </c>
      <c r="BD91" s="462">
        <f>IF(AND(AT91&lt;&gt;0,AX91&gt;=MAXSSDI),SSDI*MAXSSDI*P91,IF(AT91&lt;&gt;0,SSDI*W91,0))</f>
        <v>2657.6076800000001</v>
      </c>
      <c r="BE91" s="462">
        <f>IF(AT91&lt;&gt;0,SSHI*W91,0)</f>
        <v>621.53728000000001</v>
      </c>
      <c r="BF91" s="462">
        <f>IF(AND(AT91&lt;&gt;0,AN91&lt;&gt;"NE"),VLOOKUP(AN91,Retirement_Rates,3,FALSE)*W91,0)</f>
        <v>5118.0380160000004</v>
      </c>
      <c r="BG91" s="462">
        <f>IF(AND(AT91&lt;&gt;0,AJ91&lt;&gt;"PF"),Life*W91,0)</f>
        <v>309.05405439999998</v>
      </c>
      <c r="BH91" s="462">
        <f>IF(AND(AT91&lt;&gt;0,AM91="Y"),UI*W91,0)</f>
        <v>210.03673599999999</v>
      </c>
      <c r="BI91" s="462">
        <f>IF(AND(AT91&lt;&gt;0,N91&lt;&gt;"NR"),DHR*W91,0)</f>
        <v>131.1657984</v>
      </c>
      <c r="BJ91" s="462">
        <f>IF(AT91&lt;&gt;0,WC*W91,0)</f>
        <v>1153.058816</v>
      </c>
      <c r="BK91" s="462">
        <f>IF(OR(AND(AT91&lt;&gt;0,AJ91&lt;&gt;"PF",AN91&lt;&gt;"NE",AG91&lt;&gt;"A"),AND(AL91="E",OR(AT91=1,AT91=3))),Sick*W91,0)</f>
        <v>0</v>
      </c>
      <c r="BL91" s="462">
        <f t="shared" si="22"/>
        <v>10200.4983808</v>
      </c>
      <c r="BM91" s="462">
        <f t="shared" si="23"/>
        <v>0</v>
      </c>
      <c r="BN91" s="462">
        <f>IF(AND(AT91=1,AK91="E",AU91&gt;=0.75,AW91=1),HealthBY,IF(AND(AT91=1,AK91="E",AU91&gt;=0.75),HealthBY*P91,IF(AND(AT91=1,AK91="E",AU91&gt;=0.5,AW91=1),PTHealthBY,IF(AND(AT91=1,AK91="E",AU91&gt;=0.5),PTHealthBY*P91,0))))</f>
        <v>9320</v>
      </c>
      <c r="BO91" s="462">
        <f>IF(AND(AT91=3,AK91="E",AV91&gt;=0.75,AW91=1),HealthBY,IF(AND(AT91=3,AK91="E",AV91&gt;=0.75),HealthBY*P91,IF(AND(AT91=3,AK91="E",AV91&gt;=0.5,AW91=1),PTHealthBY,IF(AND(AT91=3,AK91="E",AV91&gt;=0.5),PTHealthBY*P91,0))))</f>
        <v>0</v>
      </c>
      <c r="BP91" s="462">
        <f>IF(AND(AT91&lt;&gt;0,(AX91+BA91)&gt;=MAXSSDIBY),SSDIBY*MAXSSDIBY*P91,IF(AT91&lt;&gt;0,SSDIBY*W91,0))</f>
        <v>2657.6076800000001</v>
      </c>
      <c r="BQ91" s="462">
        <f>IF(AT91&lt;&gt;0,SSHIBY*W91,0)</f>
        <v>621.53728000000001</v>
      </c>
      <c r="BR91" s="462">
        <f>IF(AND(AT91&lt;&gt;0,AN91&lt;&gt;"NE"),VLOOKUP(AN91,Retirement_Rates,4,FALSE)*W91,0)</f>
        <v>5118.0380160000004</v>
      </c>
      <c r="BS91" s="462">
        <f>IF(AND(AT91&lt;&gt;0,AJ91&lt;&gt;"PF"),LifeBY*W91,0)</f>
        <v>309.05405439999998</v>
      </c>
      <c r="BT91" s="462">
        <f>IF(AND(AT91&lt;&gt;0,AM91="Y"),UIBY*W91,0)</f>
        <v>0</v>
      </c>
      <c r="BU91" s="462">
        <f>IF(AND(AT91&lt;&gt;0,N91&lt;&gt;"NR"),DHRBY*W91,0)</f>
        <v>131.1657984</v>
      </c>
      <c r="BV91" s="462">
        <f>IF(AT91&lt;&gt;0,WCBY*W91,0)</f>
        <v>1487.403008</v>
      </c>
      <c r="BW91" s="462">
        <f>IF(OR(AND(AT91&lt;&gt;0,AJ91&lt;&gt;"PF",AN91&lt;&gt;"NE",AG91&lt;&gt;"A"),AND(AL91="E",OR(AT91=1,AT91=3))),SickBY*W91,0)</f>
        <v>0</v>
      </c>
      <c r="BX91" s="462">
        <f t="shared" si="24"/>
        <v>10324.805836799998</v>
      </c>
      <c r="BY91" s="462">
        <f t="shared" si="25"/>
        <v>0</v>
      </c>
      <c r="BZ91" s="462">
        <f t="shared" si="26"/>
        <v>0</v>
      </c>
      <c r="CA91" s="462">
        <f t="shared" si="27"/>
        <v>0</v>
      </c>
      <c r="CB91" s="462">
        <f t="shared" si="28"/>
        <v>0</v>
      </c>
      <c r="CC91" s="462">
        <f>IF(AT91&lt;&gt;0,SSHICHG*Y91,0)</f>
        <v>0</v>
      </c>
      <c r="CD91" s="462">
        <f>IF(AND(AT91&lt;&gt;0,AN91&lt;&gt;"NE"),VLOOKUP(AN91,Retirement_Rates,5,FALSE)*Y91,0)</f>
        <v>0</v>
      </c>
      <c r="CE91" s="462">
        <f>IF(AND(AT91&lt;&gt;0,AJ91&lt;&gt;"PF"),LifeCHG*Y91,0)</f>
        <v>0</v>
      </c>
      <c r="CF91" s="462">
        <f>IF(AND(AT91&lt;&gt;0,AM91="Y"),UICHG*Y91,0)</f>
        <v>-210.03673599999999</v>
      </c>
      <c r="CG91" s="462">
        <f>IF(AND(AT91&lt;&gt;0,N91&lt;&gt;"NR"),DHRCHG*Y91,0)</f>
        <v>0</v>
      </c>
      <c r="CH91" s="462">
        <f>IF(AT91&lt;&gt;0,WCCHG*Y91,0)</f>
        <v>334.34419200000008</v>
      </c>
      <c r="CI91" s="462">
        <f>IF(OR(AND(AT91&lt;&gt;0,AJ91&lt;&gt;"PF",AN91&lt;&gt;"NE",AG91&lt;&gt;"A"),AND(AL91="E",OR(AT91=1,AT91=3))),SickCHG*Y91,0)</f>
        <v>0</v>
      </c>
      <c r="CJ91" s="462">
        <f t="shared" si="29"/>
        <v>124.30745600000009</v>
      </c>
      <c r="CK91" s="462" t="str">
        <f t="shared" si="30"/>
        <v/>
      </c>
      <c r="CL91" s="462" t="str">
        <f t="shared" si="31"/>
        <v/>
      </c>
      <c r="CM91" s="462" t="str">
        <f t="shared" si="32"/>
        <v/>
      </c>
      <c r="CN91" s="462" t="str">
        <f t="shared" si="33"/>
        <v>0250-05</v>
      </c>
    </row>
    <row r="92" spans="1:92" ht="15" thickBot="1" x14ac:dyDescent="0.35">
      <c r="A92" s="376" t="s">
        <v>161</v>
      </c>
      <c r="B92" s="376" t="s">
        <v>162</v>
      </c>
      <c r="C92" s="376" t="s">
        <v>425</v>
      </c>
      <c r="D92" s="376" t="s">
        <v>221</v>
      </c>
      <c r="E92" s="376" t="s">
        <v>421</v>
      </c>
      <c r="F92" s="382" t="s">
        <v>424</v>
      </c>
      <c r="G92" s="376" t="s">
        <v>423</v>
      </c>
      <c r="H92" s="378"/>
      <c r="I92" s="378"/>
      <c r="J92" s="376" t="s">
        <v>168</v>
      </c>
      <c r="K92" s="376" t="s">
        <v>222</v>
      </c>
      <c r="L92" s="376" t="s">
        <v>166</v>
      </c>
      <c r="M92" s="376" t="s">
        <v>171</v>
      </c>
      <c r="N92" s="376" t="s">
        <v>223</v>
      </c>
      <c r="O92" s="379">
        <v>0</v>
      </c>
      <c r="P92" s="460">
        <v>1</v>
      </c>
      <c r="Q92" s="460">
        <v>0</v>
      </c>
      <c r="R92" s="380">
        <v>0</v>
      </c>
      <c r="S92" s="460">
        <v>0</v>
      </c>
      <c r="T92" s="380">
        <v>0</v>
      </c>
      <c r="U92" s="380">
        <v>0</v>
      </c>
      <c r="V92" s="380">
        <v>0</v>
      </c>
      <c r="W92" s="380">
        <v>0</v>
      </c>
      <c r="X92" s="380">
        <v>0</v>
      </c>
      <c r="Y92" s="380">
        <v>0</v>
      </c>
      <c r="Z92" s="380">
        <v>0</v>
      </c>
      <c r="AA92" s="378"/>
      <c r="AB92" s="376" t="s">
        <v>45</v>
      </c>
      <c r="AC92" s="376" t="s">
        <v>45</v>
      </c>
      <c r="AD92" s="378"/>
      <c r="AE92" s="378"/>
      <c r="AF92" s="378"/>
      <c r="AG92" s="378"/>
      <c r="AH92" s="379">
        <v>0</v>
      </c>
      <c r="AI92" s="379">
        <v>0</v>
      </c>
      <c r="AJ92" s="378"/>
      <c r="AK92" s="378"/>
      <c r="AL92" s="376" t="s">
        <v>181</v>
      </c>
      <c r="AM92" s="378"/>
      <c r="AN92" s="378"/>
      <c r="AO92" s="379">
        <v>0</v>
      </c>
      <c r="AP92" s="460">
        <v>0</v>
      </c>
      <c r="AQ92" s="460">
        <v>0</v>
      </c>
      <c r="AR92" s="459"/>
      <c r="AS92" s="462">
        <f t="shared" si="17"/>
        <v>0</v>
      </c>
      <c r="AT92">
        <f t="shared" si="18"/>
        <v>0</v>
      </c>
      <c r="AU92" s="462" t="str">
        <f>IF(AT92=0,"",IF(AND(AT92=1,M92="F",SUMIF(C2:C391,C92,AS2:AS391)&lt;=1),SUMIF(C2:C391,C92,AS2:AS391),IF(AND(AT92=1,M92="F",SUMIF(C2:C391,C92,AS2:AS391)&gt;1),1,"")))</f>
        <v/>
      </c>
      <c r="AV92" s="462" t="str">
        <f>IF(AT92=0,"",IF(AND(AT92=3,M92="F",SUMIF(C2:C391,C92,AS2:AS391)&lt;=1),SUMIF(C2:C391,C92,AS2:AS391),IF(AND(AT92=3,M92="F",SUMIF(C2:C391,C92,AS2:AS391)&gt;1),1,"")))</f>
        <v/>
      </c>
      <c r="AW92" s="462">
        <f>SUMIF(C2:C391,C92,O2:O391)</f>
        <v>0</v>
      </c>
      <c r="AX92" s="462">
        <f>IF(AND(M92="F",AS92&lt;&gt;0),SUMIF(C2:C391,C92,W2:W391),0)</f>
        <v>0</v>
      </c>
      <c r="AY92" s="462" t="str">
        <f t="shared" si="19"/>
        <v/>
      </c>
      <c r="AZ92" s="462" t="str">
        <f t="shared" si="20"/>
        <v/>
      </c>
      <c r="BA92" s="462">
        <f t="shared" si="21"/>
        <v>0</v>
      </c>
      <c r="BB92" s="462">
        <f>IF(AND(AT92=1,AK92="E",AU92&gt;=0.75,AW92=1),Health,IF(AND(AT92=1,AK92="E",AU92&gt;=0.75),Health*P92,IF(AND(AT92=1,AK92="E",AU92&gt;=0.5,AW92=1),PTHealth,IF(AND(AT92=1,AK92="E",AU92&gt;=0.5),PTHealth*P92,0))))</f>
        <v>0</v>
      </c>
      <c r="BC92" s="462">
        <f>IF(AND(AT92=3,AK92="E",AV92&gt;=0.75,AW92=1),Health,IF(AND(AT92=3,AK92="E",AV92&gt;=0.75),Health*P92,IF(AND(AT92=3,AK92="E",AV92&gt;=0.5,AW92=1),PTHealth,IF(AND(AT92=3,AK92="E",AV92&gt;=0.5),PTHealth*P92,0))))</f>
        <v>0</v>
      </c>
      <c r="BD92" s="462">
        <f>IF(AND(AT92&lt;&gt;0,AX92&gt;=MAXSSDI),SSDI*MAXSSDI*P92,IF(AT92&lt;&gt;0,SSDI*W92,0))</f>
        <v>0</v>
      </c>
      <c r="BE92" s="462">
        <f>IF(AT92&lt;&gt;0,SSHI*W92,0)</f>
        <v>0</v>
      </c>
      <c r="BF92" s="462">
        <f>IF(AND(AT92&lt;&gt;0,AN92&lt;&gt;"NE"),VLOOKUP(AN92,Retirement_Rates,3,FALSE)*W92,0)</f>
        <v>0</v>
      </c>
      <c r="BG92" s="462">
        <f>IF(AND(AT92&lt;&gt;0,AJ92&lt;&gt;"PF"),Life*W92,0)</f>
        <v>0</v>
      </c>
      <c r="BH92" s="462">
        <f>IF(AND(AT92&lt;&gt;0,AM92="Y"),UI*W92,0)</f>
        <v>0</v>
      </c>
      <c r="BI92" s="462">
        <f>IF(AND(AT92&lt;&gt;0,N92&lt;&gt;"NR"),DHR*W92,0)</f>
        <v>0</v>
      </c>
      <c r="BJ92" s="462">
        <f>IF(AT92&lt;&gt;0,WC*W92,0)</f>
        <v>0</v>
      </c>
      <c r="BK92" s="462">
        <f>IF(OR(AND(AT92&lt;&gt;0,AJ92&lt;&gt;"PF",AN92&lt;&gt;"NE",AG92&lt;&gt;"A"),AND(AL92="E",OR(AT92=1,AT92=3))),Sick*W92,0)</f>
        <v>0</v>
      </c>
      <c r="BL92" s="462">
        <f t="shared" si="22"/>
        <v>0</v>
      </c>
      <c r="BM92" s="462">
        <f t="shared" si="23"/>
        <v>0</v>
      </c>
      <c r="BN92" s="462">
        <f>IF(AND(AT92=1,AK92="E",AU92&gt;=0.75,AW92=1),HealthBY,IF(AND(AT92=1,AK92="E",AU92&gt;=0.75),HealthBY*P92,IF(AND(AT92=1,AK92="E",AU92&gt;=0.5,AW92=1),PTHealthBY,IF(AND(AT92=1,AK92="E",AU92&gt;=0.5),PTHealthBY*P92,0))))</f>
        <v>0</v>
      </c>
      <c r="BO92" s="462">
        <f>IF(AND(AT92=3,AK92="E",AV92&gt;=0.75,AW92=1),HealthBY,IF(AND(AT92=3,AK92="E",AV92&gt;=0.75),HealthBY*P92,IF(AND(AT92=3,AK92="E",AV92&gt;=0.5,AW92=1),PTHealthBY,IF(AND(AT92=3,AK92="E",AV92&gt;=0.5),PTHealthBY*P92,0))))</f>
        <v>0</v>
      </c>
      <c r="BP92" s="462">
        <f>IF(AND(AT92&lt;&gt;0,(AX92+BA92)&gt;=MAXSSDIBY),SSDIBY*MAXSSDIBY*P92,IF(AT92&lt;&gt;0,SSDIBY*W92,0))</f>
        <v>0</v>
      </c>
      <c r="BQ92" s="462">
        <f>IF(AT92&lt;&gt;0,SSHIBY*W92,0)</f>
        <v>0</v>
      </c>
      <c r="BR92" s="462">
        <f>IF(AND(AT92&lt;&gt;0,AN92&lt;&gt;"NE"),VLOOKUP(AN92,Retirement_Rates,4,FALSE)*W92,0)</f>
        <v>0</v>
      </c>
      <c r="BS92" s="462">
        <f>IF(AND(AT92&lt;&gt;0,AJ92&lt;&gt;"PF"),LifeBY*W92,0)</f>
        <v>0</v>
      </c>
      <c r="BT92" s="462">
        <f>IF(AND(AT92&lt;&gt;0,AM92="Y"),UIBY*W92,0)</f>
        <v>0</v>
      </c>
      <c r="BU92" s="462">
        <f>IF(AND(AT92&lt;&gt;0,N92&lt;&gt;"NR"),DHRBY*W92,0)</f>
        <v>0</v>
      </c>
      <c r="BV92" s="462">
        <f>IF(AT92&lt;&gt;0,WCBY*W92,0)</f>
        <v>0</v>
      </c>
      <c r="BW92" s="462">
        <f>IF(OR(AND(AT92&lt;&gt;0,AJ92&lt;&gt;"PF",AN92&lt;&gt;"NE",AG92&lt;&gt;"A"),AND(AL92="E",OR(AT92=1,AT92=3))),SickBY*W92,0)</f>
        <v>0</v>
      </c>
      <c r="BX92" s="462">
        <f t="shared" si="24"/>
        <v>0</v>
      </c>
      <c r="BY92" s="462">
        <f t="shared" si="25"/>
        <v>0</v>
      </c>
      <c r="BZ92" s="462">
        <f t="shared" si="26"/>
        <v>0</v>
      </c>
      <c r="CA92" s="462">
        <f t="shared" si="27"/>
        <v>0</v>
      </c>
      <c r="CB92" s="462">
        <f t="shared" si="28"/>
        <v>0</v>
      </c>
      <c r="CC92" s="462">
        <f>IF(AT92&lt;&gt;0,SSHICHG*Y92,0)</f>
        <v>0</v>
      </c>
      <c r="CD92" s="462">
        <f>IF(AND(AT92&lt;&gt;0,AN92&lt;&gt;"NE"),VLOOKUP(AN92,Retirement_Rates,5,FALSE)*Y92,0)</f>
        <v>0</v>
      </c>
      <c r="CE92" s="462">
        <f>IF(AND(AT92&lt;&gt;0,AJ92&lt;&gt;"PF"),LifeCHG*Y92,0)</f>
        <v>0</v>
      </c>
      <c r="CF92" s="462">
        <f>IF(AND(AT92&lt;&gt;0,AM92="Y"),UICHG*Y92,0)</f>
        <v>0</v>
      </c>
      <c r="CG92" s="462">
        <f>IF(AND(AT92&lt;&gt;0,N92&lt;&gt;"NR"),DHRCHG*Y92,0)</f>
        <v>0</v>
      </c>
      <c r="CH92" s="462">
        <f>IF(AT92&lt;&gt;0,WCCHG*Y92,0)</f>
        <v>0</v>
      </c>
      <c r="CI92" s="462">
        <f>IF(OR(AND(AT92&lt;&gt;0,AJ92&lt;&gt;"PF",AN92&lt;&gt;"NE",AG92&lt;&gt;"A"),AND(AL92="E",OR(AT92=1,AT92=3))),SickCHG*Y92,0)</f>
        <v>0</v>
      </c>
      <c r="CJ92" s="462">
        <f t="shared" si="29"/>
        <v>0</v>
      </c>
      <c r="CK92" s="462" t="str">
        <f t="shared" si="30"/>
        <v/>
      </c>
      <c r="CL92" s="462">
        <f t="shared" si="31"/>
        <v>0</v>
      </c>
      <c r="CM92" s="462">
        <f t="shared" si="32"/>
        <v>0</v>
      </c>
      <c r="CN92" s="462" t="str">
        <f t="shared" si="33"/>
        <v>0250-05</v>
      </c>
    </row>
    <row r="93" spans="1:92" ht="15" thickBot="1" x14ac:dyDescent="0.35">
      <c r="A93" s="376" t="s">
        <v>161</v>
      </c>
      <c r="B93" s="376" t="s">
        <v>162</v>
      </c>
      <c r="C93" s="376" t="s">
        <v>378</v>
      </c>
      <c r="D93" s="376" t="s">
        <v>314</v>
      </c>
      <c r="E93" s="376" t="s">
        <v>421</v>
      </c>
      <c r="F93" s="382" t="s">
        <v>424</v>
      </c>
      <c r="G93" s="376" t="s">
        <v>423</v>
      </c>
      <c r="H93" s="378"/>
      <c r="I93" s="378"/>
      <c r="J93" s="376" t="s">
        <v>229</v>
      </c>
      <c r="K93" s="376" t="s">
        <v>315</v>
      </c>
      <c r="L93" s="376" t="s">
        <v>316</v>
      </c>
      <c r="M93" s="376" t="s">
        <v>171</v>
      </c>
      <c r="N93" s="376" t="s">
        <v>172</v>
      </c>
      <c r="O93" s="379">
        <v>1</v>
      </c>
      <c r="P93" s="460">
        <v>0.3</v>
      </c>
      <c r="Q93" s="460">
        <v>0.3</v>
      </c>
      <c r="R93" s="380">
        <v>80</v>
      </c>
      <c r="S93" s="460">
        <v>0.3</v>
      </c>
      <c r="T93" s="380">
        <v>8713.9599999999991</v>
      </c>
      <c r="U93" s="380">
        <v>0</v>
      </c>
      <c r="V93" s="380">
        <v>5308.25</v>
      </c>
      <c r="W93" s="380">
        <v>8985.6</v>
      </c>
      <c r="X93" s="380">
        <v>5633.29</v>
      </c>
      <c r="Y93" s="380">
        <v>8985.6</v>
      </c>
      <c r="Z93" s="380">
        <v>5659.35</v>
      </c>
      <c r="AA93" s="376" t="s">
        <v>379</v>
      </c>
      <c r="AB93" s="376" t="s">
        <v>380</v>
      </c>
      <c r="AC93" s="376" t="s">
        <v>381</v>
      </c>
      <c r="AD93" s="376" t="s">
        <v>382</v>
      </c>
      <c r="AE93" s="376" t="s">
        <v>315</v>
      </c>
      <c r="AF93" s="376" t="s">
        <v>320</v>
      </c>
      <c r="AG93" s="376" t="s">
        <v>178</v>
      </c>
      <c r="AH93" s="381">
        <v>14.4</v>
      </c>
      <c r="AI93" s="381">
        <v>37582.199999999997</v>
      </c>
      <c r="AJ93" s="376" t="s">
        <v>179</v>
      </c>
      <c r="AK93" s="376" t="s">
        <v>180</v>
      </c>
      <c r="AL93" s="376" t="s">
        <v>181</v>
      </c>
      <c r="AM93" s="376" t="s">
        <v>182</v>
      </c>
      <c r="AN93" s="376" t="s">
        <v>68</v>
      </c>
      <c r="AO93" s="379">
        <v>80</v>
      </c>
      <c r="AP93" s="460">
        <v>1</v>
      </c>
      <c r="AQ93" s="460">
        <v>0.3</v>
      </c>
      <c r="AR93" s="458" t="s">
        <v>183</v>
      </c>
      <c r="AS93" s="462">
        <f t="shared" si="17"/>
        <v>0.3</v>
      </c>
      <c r="AT93">
        <f t="shared" si="18"/>
        <v>1</v>
      </c>
      <c r="AU93" s="462">
        <f>IF(AT93=0,"",IF(AND(AT93=1,M93="F",SUMIF(C2:C391,C93,AS2:AS391)&lt;=1),SUMIF(C2:C391,C93,AS2:AS391),IF(AND(AT93=1,M93="F",SUMIF(C2:C391,C93,AS2:AS391)&gt;1),1,"")))</f>
        <v>1</v>
      </c>
      <c r="AV93" s="462" t="str">
        <f>IF(AT93=0,"",IF(AND(AT93=3,M93="F",SUMIF(C2:C391,C93,AS2:AS391)&lt;=1),SUMIF(C2:C391,C93,AS2:AS391),IF(AND(AT93=3,M93="F",SUMIF(C2:C391,C93,AS2:AS391)&gt;1),1,"")))</f>
        <v/>
      </c>
      <c r="AW93" s="462">
        <f>SUMIF(C2:C391,C93,O2:O391)</f>
        <v>3</v>
      </c>
      <c r="AX93" s="462">
        <f>IF(AND(M93="F",AS93&lt;&gt;0),SUMIF(C2:C391,C93,W2:W391),0)</f>
        <v>29952</v>
      </c>
      <c r="AY93" s="462">
        <f t="shared" si="19"/>
        <v>8985.6</v>
      </c>
      <c r="AZ93" s="462" t="str">
        <f t="shared" si="20"/>
        <v/>
      </c>
      <c r="BA93" s="462">
        <f t="shared" si="21"/>
        <v>0</v>
      </c>
      <c r="BB93" s="462">
        <f>IF(AND(AT93=1,AK93="E",AU93&gt;=0.75,AW93=1),Health,IF(AND(AT93=1,AK93="E",AU93&gt;=0.75),Health*P93,IF(AND(AT93=1,AK93="E",AU93&gt;=0.5,AW93=1),PTHealth,IF(AND(AT93=1,AK93="E",AU93&gt;=0.5),PTHealth*P93,0))))</f>
        <v>3495</v>
      </c>
      <c r="BC93" s="462">
        <f>IF(AND(AT93=3,AK93="E",AV93&gt;=0.75,AW93=1),Health,IF(AND(AT93=3,AK93="E",AV93&gt;=0.75),Health*P93,IF(AND(AT93=3,AK93="E",AV93&gt;=0.5,AW93=1),PTHealth,IF(AND(AT93=3,AK93="E",AV93&gt;=0.5),PTHealth*P93,0))))</f>
        <v>0</v>
      </c>
      <c r="BD93" s="462">
        <f>IF(AND(AT93&lt;&gt;0,AX93&gt;=MAXSSDI),SSDI*MAXSSDI*P93,IF(AT93&lt;&gt;0,SSDI*W93,0))</f>
        <v>557.10720000000003</v>
      </c>
      <c r="BE93" s="462">
        <f>IF(AT93&lt;&gt;0,SSHI*W93,0)</f>
        <v>130.2912</v>
      </c>
      <c r="BF93" s="462">
        <f>IF(AND(AT93&lt;&gt;0,AN93&lt;&gt;"NE"),VLOOKUP(AN93,Retirement_Rates,3,FALSE)*W93,0)</f>
        <v>1072.8806400000001</v>
      </c>
      <c r="BG93" s="462">
        <f>IF(AND(AT93&lt;&gt;0,AJ93&lt;&gt;"PF"),Life*W93,0)</f>
        <v>64.786176000000012</v>
      </c>
      <c r="BH93" s="462">
        <f>IF(AND(AT93&lt;&gt;0,AM93="Y"),UI*W93,0)</f>
        <v>44.029440000000001</v>
      </c>
      <c r="BI93" s="462">
        <f>IF(AND(AT93&lt;&gt;0,N93&lt;&gt;"NR"),DHR*W93,0)</f>
        <v>27.495936</v>
      </c>
      <c r="BJ93" s="462">
        <f>IF(AT93&lt;&gt;0,WC*W93,0)</f>
        <v>241.71264000000002</v>
      </c>
      <c r="BK93" s="462">
        <f>IF(OR(AND(AT93&lt;&gt;0,AJ93&lt;&gt;"PF",AN93&lt;&gt;"NE",AG93&lt;&gt;"A"),AND(AL93="E",OR(AT93=1,AT93=3))),Sick*W93,0)</f>
        <v>0</v>
      </c>
      <c r="BL93" s="462">
        <f t="shared" si="22"/>
        <v>2138.3032320000002</v>
      </c>
      <c r="BM93" s="462">
        <f t="shared" si="23"/>
        <v>0</v>
      </c>
      <c r="BN93" s="462">
        <f>IF(AND(AT93=1,AK93="E",AU93&gt;=0.75,AW93=1),HealthBY,IF(AND(AT93=1,AK93="E",AU93&gt;=0.75),HealthBY*P93,IF(AND(AT93=1,AK93="E",AU93&gt;=0.5,AW93=1),PTHealthBY,IF(AND(AT93=1,AK93="E",AU93&gt;=0.5),PTHealthBY*P93,0))))</f>
        <v>3495</v>
      </c>
      <c r="BO93" s="462">
        <f>IF(AND(AT93=3,AK93="E",AV93&gt;=0.75,AW93=1),HealthBY,IF(AND(AT93=3,AK93="E",AV93&gt;=0.75),HealthBY*P93,IF(AND(AT93=3,AK93="E",AV93&gt;=0.5,AW93=1),PTHealthBY,IF(AND(AT93=3,AK93="E",AV93&gt;=0.5),PTHealthBY*P93,0))))</f>
        <v>0</v>
      </c>
      <c r="BP93" s="462">
        <f>IF(AND(AT93&lt;&gt;0,(AX93+BA93)&gt;=MAXSSDIBY),SSDIBY*MAXSSDIBY*P93,IF(AT93&lt;&gt;0,SSDIBY*W93,0))</f>
        <v>557.10720000000003</v>
      </c>
      <c r="BQ93" s="462">
        <f>IF(AT93&lt;&gt;0,SSHIBY*W93,0)</f>
        <v>130.2912</v>
      </c>
      <c r="BR93" s="462">
        <f>IF(AND(AT93&lt;&gt;0,AN93&lt;&gt;"NE"),VLOOKUP(AN93,Retirement_Rates,4,FALSE)*W93,0)</f>
        <v>1072.8806400000001</v>
      </c>
      <c r="BS93" s="462">
        <f>IF(AND(AT93&lt;&gt;0,AJ93&lt;&gt;"PF"),LifeBY*W93,0)</f>
        <v>64.786176000000012</v>
      </c>
      <c r="BT93" s="462">
        <f>IF(AND(AT93&lt;&gt;0,AM93="Y"),UIBY*W93,0)</f>
        <v>0</v>
      </c>
      <c r="BU93" s="462">
        <f>IF(AND(AT93&lt;&gt;0,N93&lt;&gt;"NR"),DHRBY*W93,0)</f>
        <v>27.495936</v>
      </c>
      <c r="BV93" s="462">
        <f>IF(AT93&lt;&gt;0,WCBY*W93,0)</f>
        <v>311.80032000000006</v>
      </c>
      <c r="BW93" s="462">
        <f>IF(OR(AND(AT93&lt;&gt;0,AJ93&lt;&gt;"PF",AN93&lt;&gt;"NE",AG93&lt;&gt;"A"),AND(AL93="E",OR(AT93=1,AT93=3))),SickBY*W93,0)</f>
        <v>0</v>
      </c>
      <c r="BX93" s="462">
        <f t="shared" si="24"/>
        <v>2164.3614720000005</v>
      </c>
      <c r="BY93" s="462">
        <f t="shared" si="25"/>
        <v>0</v>
      </c>
      <c r="BZ93" s="462">
        <f t="shared" si="26"/>
        <v>0</v>
      </c>
      <c r="CA93" s="462">
        <f t="shared" si="27"/>
        <v>0</v>
      </c>
      <c r="CB93" s="462">
        <f t="shared" si="28"/>
        <v>0</v>
      </c>
      <c r="CC93" s="462">
        <f>IF(AT93&lt;&gt;0,SSHICHG*Y93,0)</f>
        <v>0</v>
      </c>
      <c r="CD93" s="462">
        <f>IF(AND(AT93&lt;&gt;0,AN93&lt;&gt;"NE"),VLOOKUP(AN93,Retirement_Rates,5,FALSE)*Y93,0)</f>
        <v>0</v>
      </c>
      <c r="CE93" s="462">
        <f>IF(AND(AT93&lt;&gt;0,AJ93&lt;&gt;"PF"),LifeCHG*Y93,0)</f>
        <v>0</v>
      </c>
      <c r="CF93" s="462">
        <f>IF(AND(AT93&lt;&gt;0,AM93="Y"),UICHG*Y93,0)</f>
        <v>-44.029440000000001</v>
      </c>
      <c r="CG93" s="462">
        <f>IF(AND(AT93&lt;&gt;0,N93&lt;&gt;"NR"),DHRCHG*Y93,0)</f>
        <v>0</v>
      </c>
      <c r="CH93" s="462">
        <f>IF(AT93&lt;&gt;0,WCCHG*Y93,0)</f>
        <v>70.08768000000002</v>
      </c>
      <c r="CI93" s="462">
        <f>IF(OR(AND(AT93&lt;&gt;0,AJ93&lt;&gt;"PF",AN93&lt;&gt;"NE",AG93&lt;&gt;"A"),AND(AL93="E",OR(AT93=1,AT93=3))),SickCHG*Y93,0)</f>
        <v>0</v>
      </c>
      <c r="CJ93" s="462">
        <f t="shared" si="29"/>
        <v>26.058240000000019</v>
      </c>
      <c r="CK93" s="462" t="str">
        <f t="shared" si="30"/>
        <v/>
      </c>
      <c r="CL93" s="462" t="str">
        <f t="shared" si="31"/>
        <v/>
      </c>
      <c r="CM93" s="462" t="str">
        <f t="shared" si="32"/>
        <v/>
      </c>
      <c r="CN93" s="462" t="str">
        <f t="shared" si="33"/>
        <v>0250-05</v>
      </c>
    </row>
    <row r="94" spans="1:92" ht="15" thickBot="1" x14ac:dyDescent="0.35">
      <c r="A94" s="376" t="s">
        <v>161</v>
      </c>
      <c r="B94" s="376" t="s">
        <v>162</v>
      </c>
      <c r="C94" s="376" t="s">
        <v>426</v>
      </c>
      <c r="D94" s="376" t="s">
        <v>221</v>
      </c>
      <c r="E94" s="376" t="s">
        <v>421</v>
      </c>
      <c r="F94" s="382" t="s">
        <v>424</v>
      </c>
      <c r="G94" s="376" t="s">
        <v>423</v>
      </c>
      <c r="H94" s="378"/>
      <c r="I94" s="378"/>
      <c r="J94" s="376" t="s">
        <v>168</v>
      </c>
      <c r="K94" s="376" t="s">
        <v>222</v>
      </c>
      <c r="L94" s="376" t="s">
        <v>166</v>
      </c>
      <c r="M94" s="376" t="s">
        <v>171</v>
      </c>
      <c r="N94" s="376" t="s">
        <v>223</v>
      </c>
      <c r="O94" s="379">
        <v>0</v>
      </c>
      <c r="P94" s="460">
        <v>1</v>
      </c>
      <c r="Q94" s="460">
        <v>0</v>
      </c>
      <c r="R94" s="380">
        <v>0</v>
      </c>
      <c r="S94" s="460">
        <v>0</v>
      </c>
      <c r="T94" s="380">
        <v>7421.93</v>
      </c>
      <c r="U94" s="380">
        <v>0</v>
      </c>
      <c r="V94" s="380">
        <v>1598.65</v>
      </c>
      <c r="W94" s="380">
        <v>7421.93</v>
      </c>
      <c r="X94" s="380">
        <v>1598.65</v>
      </c>
      <c r="Y94" s="380">
        <v>7421.93</v>
      </c>
      <c r="Z94" s="380">
        <v>1598.65</v>
      </c>
      <c r="AA94" s="378"/>
      <c r="AB94" s="376" t="s">
        <v>45</v>
      </c>
      <c r="AC94" s="376" t="s">
        <v>45</v>
      </c>
      <c r="AD94" s="378"/>
      <c r="AE94" s="378"/>
      <c r="AF94" s="378"/>
      <c r="AG94" s="378"/>
      <c r="AH94" s="379">
        <v>0</v>
      </c>
      <c r="AI94" s="379">
        <v>0</v>
      </c>
      <c r="AJ94" s="378"/>
      <c r="AK94" s="378"/>
      <c r="AL94" s="376" t="s">
        <v>181</v>
      </c>
      <c r="AM94" s="378"/>
      <c r="AN94" s="378"/>
      <c r="AO94" s="379">
        <v>0</v>
      </c>
      <c r="AP94" s="460">
        <v>0</v>
      </c>
      <c r="AQ94" s="460">
        <v>0</v>
      </c>
      <c r="AR94" s="459"/>
      <c r="AS94" s="462">
        <f t="shared" si="17"/>
        <v>0</v>
      </c>
      <c r="AT94">
        <f t="shared" si="18"/>
        <v>0</v>
      </c>
      <c r="AU94" s="462" t="str">
        <f>IF(AT94=0,"",IF(AND(AT94=1,M94="F",SUMIF(C2:C391,C94,AS2:AS391)&lt;=1),SUMIF(C2:C391,C94,AS2:AS391),IF(AND(AT94=1,M94="F",SUMIF(C2:C391,C94,AS2:AS391)&gt;1),1,"")))</f>
        <v/>
      </c>
      <c r="AV94" s="462" t="str">
        <f>IF(AT94=0,"",IF(AND(AT94=3,M94="F",SUMIF(C2:C391,C94,AS2:AS391)&lt;=1),SUMIF(C2:C391,C94,AS2:AS391),IF(AND(AT94=3,M94="F",SUMIF(C2:C391,C94,AS2:AS391)&gt;1),1,"")))</f>
        <v/>
      </c>
      <c r="AW94" s="462">
        <f>SUMIF(C2:C391,C94,O2:O391)</f>
        <v>0</v>
      </c>
      <c r="AX94" s="462">
        <f>IF(AND(M94="F",AS94&lt;&gt;0),SUMIF(C2:C391,C94,W2:W391),0)</f>
        <v>0</v>
      </c>
      <c r="AY94" s="462" t="str">
        <f t="shared" si="19"/>
        <v/>
      </c>
      <c r="AZ94" s="462" t="str">
        <f t="shared" si="20"/>
        <v/>
      </c>
      <c r="BA94" s="462">
        <f t="shared" si="21"/>
        <v>0</v>
      </c>
      <c r="BB94" s="462">
        <f>IF(AND(AT94=1,AK94="E",AU94&gt;=0.75,AW94=1),Health,IF(AND(AT94=1,AK94="E",AU94&gt;=0.75),Health*P94,IF(AND(AT94=1,AK94="E",AU94&gt;=0.5,AW94=1),PTHealth,IF(AND(AT94=1,AK94="E",AU94&gt;=0.5),PTHealth*P94,0))))</f>
        <v>0</v>
      </c>
      <c r="BC94" s="462">
        <f>IF(AND(AT94=3,AK94="E",AV94&gt;=0.75,AW94=1),Health,IF(AND(AT94=3,AK94="E",AV94&gt;=0.75),Health*P94,IF(AND(AT94=3,AK94="E",AV94&gt;=0.5,AW94=1),PTHealth,IF(AND(AT94=3,AK94="E",AV94&gt;=0.5),PTHealth*P94,0))))</f>
        <v>0</v>
      </c>
      <c r="BD94" s="462">
        <f>IF(AND(AT94&lt;&gt;0,AX94&gt;=MAXSSDI),SSDI*MAXSSDI*P94,IF(AT94&lt;&gt;0,SSDI*W94,0))</f>
        <v>0</v>
      </c>
      <c r="BE94" s="462">
        <f>IF(AT94&lt;&gt;0,SSHI*W94,0)</f>
        <v>0</v>
      </c>
      <c r="BF94" s="462">
        <f>IF(AND(AT94&lt;&gt;0,AN94&lt;&gt;"NE"),VLOOKUP(AN94,Retirement_Rates,3,FALSE)*W94,0)</f>
        <v>0</v>
      </c>
      <c r="BG94" s="462">
        <f>IF(AND(AT94&lt;&gt;0,AJ94&lt;&gt;"PF"),Life*W94,0)</f>
        <v>0</v>
      </c>
      <c r="BH94" s="462">
        <f>IF(AND(AT94&lt;&gt;0,AM94="Y"),UI*W94,0)</f>
        <v>0</v>
      </c>
      <c r="BI94" s="462">
        <f>IF(AND(AT94&lt;&gt;0,N94&lt;&gt;"NR"),DHR*W94,0)</f>
        <v>0</v>
      </c>
      <c r="BJ94" s="462">
        <f>IF(AT94&lt;&gt;0,WC*W94,0)</f>
        <v>0</v>
      </c>
      <c r="BK94" s="462">
        <f>IF(OR(AND(AT94&lt;&gt;0,AJ94&lt;&gt;"PF",AN94&lt;&gt;"NE",AG94&lt;&gt;"A"),AND(AL94="E",OR(AT94=1,AT94=3))),Sick*W94,0)</f>
        <v>0</v>
      </c>
      <c r="BL94" s="462">
        <f t="shared" si="22"/>
        <v>0</v>
      </c>
      <c r="BM94" s="462">
        <f t="shared" si="23"/>
        <v>0</v>
      </c>
      <c r="BN94" s="462">
        <f>IF(AND(AT94=1,AK94="E",AU94&gt;=0.75,AW94=1),HealthBY,IF(AND(AT94=1,AK94="E",AU94&gt;=0.75),HealthBY*P94,IF(AND(AT94=1,AK94="E",AU94&gt;=0.5,AW94=1),PTHealthBY,IF(AND(AT94=1,AK94="E",AU94&gt;=0.5),PTHealthBY*P94,0))))</f>
        <v>0</v>
      </c>
      <c r="BO94" s="462">
        <f>IF(AND(AT94=3,AK94="E",AV94&gt;=0.75,AW94=1),HealthBY,IF(AND(AT94=3,AK94="E",AV94&gt;=0.75),HealthBY*P94,IF(AND(AT94=3,AK94="E",AV94&gt;=0.5,AW94=1),PTHealthBY,IF(AND(AT94=3,AK94="E",AV94&gt;=0.5),PTHealthBY*P94,0))))</f>
        <v>0</v>
      </c>
      <c r="BP94" s="462">
        <f>IF(AND(AT94&lt;&gt;0,(AX94+BA94)&gt;=MAXSSDIBY),SSDIBY*MAXSSDIBY*P94,IF(AT94&lt;&gt;0,SSDIBY*W94,0))</f>
        <v>0</v>
      </c>
      <c r="BQ94" s="462">
        <f>IF(AT94&lt;&gt;0,SSHIBY*W94,0)</f>
        <v>0</v>
      </c>
      <c r="BR94" s="462">
        <f>IF(AND(AT94&lt;&gt;0,AN94&lt;&gt;"NE"),VLOOKUP(AN94,Retirement_Rates,4,FALSE)*W94,0)</f>
        <v>0</v>
      </c>
      <c r="BS94" s="462">
        <f>IF(AND(AT94&lt;&gt;0,AJ94&lt;&gt;"PF"),LifeBY*W94,0)</f>
        <v>0</v>
      </c>
      <c r="BT94" s="462">
        <f>IF(AND(AT94&lt;&gt;0,AM94="Y"),UIBY*W94,0)</f>
        <v>0</v>
      </c>
      <c r="BU94" s="462">
        <f>IF(AND(AT94&lt;&gt;0,N94&lt;&gt;"NR"),DHRBY*W94,0)</f>
        <v>0</v>
      </c>
      <c r="BV94" s="462">
        <f>IF(AT94&lt;&gt;0,WCBY*W94,0)</f>
        <v>0</v>
      </c>
      <c r="BW94" s="462">
        <f>IF(OR(AND(AT94&lt;&gt;0,AJ94&lt;&gt;"PF",AN94&lt;&gt;"NE",AG94&lt;&gt;"A"),AND(AL94="E",OR(AT94=1,AT94=3))),SickBY*W94,0)</f>
        <v>0</v>
      </c>
      <c r="BX94" s="462">
        <f t="shared" si="24"/>
        <v>0</v>
      </c>
      <c r="BY94" s="462">
        <f t="shared" si="25"/>
        <v>0</v>
      </c>
      <c r="BZ94" s="462">
        <f t="shared" si="26"/>
        <v>0</v>
      </c>
      <c r="CA94" s="462">
        <f t="shared" si="27"/>
        <v>0</v>
      </c>
      <c r="CB94" s="462">
        <f t="shared" si="28"/>
        <v>0</v>
      </c>
      <c r="CC94" s="462">
        <f>IF(AT94&lt;&gt;0,SSHICHG*Y94,0)</f>
        <v>0</v>
      </c>
      <c r="CD94" s="462">
        <f>IF(AND(AT94&lt;&gt;0,AN94&lt;&gt;"NE"),VLOOKUP(AN94,Retirement_Rates,5,FALSE)*Y94,0)</f>
        <v>0</v>
      </c>
      <c r="CE94" s="462">
        <f>IF(AND(AT94&lt;&gt;0,AJ94&lt;&gt;"PF"),LifeCHG*Y94,0)</f>
        <v>0</v>
      </c>
      <c r="CF94" s="462">
        <f>IF(AND(AT94&lt;&gt;0,AM94="Y"),UICHG*Y94,0)</f>
        <v>0</v>
      </c>
      <c r="CG94" s="462">
        <f>IF(AND(AT94&lt;&gt;0,N94&lt;&gt;"NR"),DHRCHG*Y94,0)</f>
        <v>0</v>
      </c>
      <c r="CH94" s="462">
        <f>IF(AT94&lt;&gt;0,WCCHG*Y94,0)</f>
        <v>0</v>
      </c>
      <c r="CI94" s="462">
        <f>IF(OR(AND(AT94&lt;&gt;0,AJ94&lt;&gt;"PF",AN94&lt;&gt;"NE",AG94&lt;&gt;"A"),AND(AL94="E",OR(AT94=1,AT94=3))),SickCHG*Y94,0)</f>
        <v>0</v>
      </c>
      <c r="CJ94" s="462">
        <f t="shared" si="29"/>
        <v>0</v>
      </c>
      <c r="CK94" s="462" t="str">
        <f t="shared" si="30"/>
        <v/>
      </c>
      <c r="CL94" s="462">
        <f t="shared" si="31"/>
        <v>7421.93</v>
      </c>
      <c r="CM94" s="462">
        <f t="shared" si="32"/>
        <v>1598.65</v>
      </c>
      <c r="CN94" s="462" t="str">
        <f t="shared" si="33"/>
        <v>0250-05</v>
      </c>
    </row>
    <row r="95" spans="1:92" ht="15" thickBot="1" x14ac:dyDescent="0.35">
      <c r="A95" s="376" t="s">
        <v>161</v>
      </c>
      <c r="B95" s="376" t="s">
        <v>162</v>
      </c>
      <c r="C95" s="376" t="s">
        <v>271</v>
      </c>
      <c r="D95" s="376" t="s">
        <v>272</v>
      </c>
      <c r="E95" s="376" t="s">
        <v>421</v>
      </c>
      <c r="F95" s="382" t="s">
        <v>424</v>
      </c>
      <c r="G95" s="376" t="s">
        <v>423</v>
      </c>
      <c r="H95" s="378"/>
      <c r="I95" s="378"/>
      <c r="J95" s="376" t="s">
        <v>229</v>
      </c>
      <c r="K95" s="376" t="s">
        <v>274</v>
      </c>
      <c r="L95" s="376" t="s">
        <v>231</v>
      </c>
      <c r="M95" s="376" t="s">
        <v>171</v>
      </c>
      <c r="N95" s="376" t="s">
        <v>172</v>
      </c>
      <c r="O95" s="379">
        <v>1</v>
      </c>
      <c r="P95" s="460">
        <v>0.1</v>
      </c>
      <c r="Q95" s="460">
        <v>0.1</v>
      </c>
      <c r="R95" s="380">
        <v>80</v>
      </c>
      <c r="S95" s="460">
        <v>0.1</v>
      </c>
      <c r="T95" s="380">
        <v>4818.88</v>
      </c>
      <c r="U95" s="380">
        <v>0</v>
      </c>
      <c r="V95" s="380">
        <v>2148.9699999999998</v>
      </c>
      <c r="W95" s="380">
        <v>4815.2</v>
      </c>
      <c r="X95" s="380">
        <v>2310.86</v>
      </c>
      <c r="Y95" s="380">
        <v>4815.2</v>
      </c>
      <c r="Z95" s="380">
        <v>2324.83</v>
      </c>
      <c r="AA95" s="376" t="s">
        <v>275</v>
      </c>
      <c r="AB95" s="376" t="s">
        <v>276</v>
      </c>
      <c r="AC95" s="376" t="s">
        <v>277</v>
      </c>
      <c r="AD95" s="376" t="s">
        <v>231</v>
      </c>
      <c r="AE95" s="376" t="s">
        <v>274</v>
      </c>
      <c r="AF95" s="376" t="s">
        <v>236</v>
      </c>
      <c r="AG95" s="376" t="s">
        <v>178</v>
      </c>
      <c r="AH95" s="381">
        <v>23.15</v>
      </c>
      <c r="AI95" s="379">
        <v>17084</v>
      </c>
      <c r="AJ95" s="376" t="s">
        <v>179</v>
      </c>
      <c r="AK95" s="376" t="s">
        <v>180</v>
      </c>
      <c r="AL95" s="376" t="s">
        <v>181</v>
      </c>
      <c r="AM95" s="376" t="s">
        <v>182</v>
      </c>
      <c r="AN95" s="376" t="s">
        <v>68</v>
      </c>
      <c r="AO95" s="379">
        <v>80</v>
      </c>
      <c r="AP95" s="460">
        <v>1</v>
      </c>
      <c r="AQ95" s="460">
        <v>0.1</v>
      </c>
      <c r="AR95" s="458" t="s">
        <v>183</v>
      </c>
      <c r="AS95" s="462">
        <f t="shared" si="17"/>
        <v>0.1</v>
      </c>
      <c r="AT95">
        <f t="shared" si="18"/>
        <v>1</v>
      </c>
      <c r="AU95" s="462">
        <f>IF(AT95=0,"",IF(AND(AT95=1,M95="F",SUMIF(C2:C391,C95,AS2:AS391)&lt;=1),SUMIF(C2:C391,C95,AS2:AS391),IF(AND(AT95=1,M95="F",SUMIF(C2:C391,C95,AS2:AS391)&gt;1),1,"")))</f>
        <v>0.99999999999999989</v>
      </c>
      <c r="AV95" s="462" t="str">
        <f>IF(AT95=0,"",IF(AND(AT95=3,M95="F",SUMIF(C2:C391,C95,AS2:AS391)&lt;=1),SUMIF(C2:C391,C95,AS2:AS391),IF(AND(AT95=3,M95="F",SUMIF(C2:C391,C95,AS2:AS391)&gt;1),1,"")))</f>
        <v/>
      </c>
      <c r="AW95" s="462">
        <f>SUMIF(C2:C391,C95,O2:O391)</f>
        <v>3</v>
      </c>
      <c r="AX95" s="462">
        <f>IF(AND(M95="F",AS95&lt;&gt;0),SUMIF(C2:C391,C95,W2:W391),0)</f>
        <v>48152</v>
      </c>
      <c r="AY95" s="462">
        <f t="shared" si="19"/>
        <v>4815.2</v>
      </c>
      <c r="AZ95" s="462" t="str">
        <f t="shared" si="20"/>
        <v/>
      </c>
      <c r="BA95" s="462">
        <f t="shared" si="21"/>
        <v>0</v>
      </c>
      <c r="BB95" s="462">
        <f>IF(AND(AT95=1,AK95="E",AU95&gt;=0.75,AW95=1),Health,IF(AND(AT95=1,AK95="E",AU95&gt;=0.75),Health*P95,IF(AND(AT95=1,AK95="E",AU95&gt;=0.5,AW95=1),PTHealth,IF(AND(AT95=1,AK95="E",AU95&gt;=0.5),PTHealth*P95,0))))</f>
        <v>1165</v>
      </c>
      <c r="BC95" s="462">
        <f>IF(AND(AT95=3,AK95="E",AV95&gt;=0.75,AW95=1),Health,IF(AND(AT95=3,AK95="E",AV95&gt;=0.75),Health*P95,IF(AND(AT95=3,AK95="E",AV95&gt;=0.5,AW95=1),PTHealth,IF(AND(AT95=3,AK95="E",AV95&gt;=0.5),PTHealth*P95,0))))</f>
        <v>0</v>
      </c>
      <c r="BD95" s="462">
        <f>IF(AND(AT95&lt;&gt;0,AX95&gt;=MAXSSDI),SSDI*MAXSSDI*P95,IF(AT95&lt;&gt;0,SSDI*W95,0))</f>
        <v>298.54239999999999</v>
      </c>
      <c r="BE95" s="462">
        <f>IF(AT95&lt;&gt;0,SSHI*W95,0)</f>
        <v>69.820400000000006</v>
      </c>
      <c r="BF95" s="462">
        <f>IF(AND(AT95&lt;&gt;0,AN95&lt;&gt;"NE"),VLOOKUP(AN95,Retirement_Rates,3,FALSE)*W95,0)</f>
        <v>574.93488000000002</v>
      </c>
      <c r="BG95" s="462">
        <f>IF(AND(AT95&lt;&gt;0,AJ95&lt;&gt;"PF"),Life*W95,0)</f>
        <v>34.717592000000003</v>
      </c>
      <c r="BH95" s="462">
        <f>IF(AND(AT95&lt;&gt;0,AM95="Y"),UI*W95,0)</f>
        <v>23.594479999999997</v>
      </c>
      <c r="BI95" s="462">
        <f>IF(AND(AT95&lt;&gt;0,N95&lt;&gt;"NR"),DHR*W95,0)</f>
        <v>14.734511999999999</v>
      </c>
      <c r="BJ95" s="462">
        <f>IF(AT95&lt;&gt;0,WC*W95,0)</f>
        <v>129.52887999999999</v>
      </c>
      <c r="BK95" s="462">
        <f>IF(OR(AND(AT95&lt;&gt;0,AJ95&lt;&gt;"PF",AN95&lt;&gt;"NE",AG95&lt;&gt;"A"),AND(AL95="E",OR(AT95=1,AT95=3))),Sick*W95,0)</f>
        <v>0</v>
      </c>
      <c r="BL95" s="462">
        <f t="shared" si="22"/>
        <v>1145.8731439999999</v>
      </c>
      <c r="BM95" s="462">
        <f t="shared" si="23"/>
        <v>0</v>
      </c>
      <c r="BN95" s="462">
        <f>IF(AND(AT95=1,AK95="E",AU95&gt;=0.75,AW95=1),HealthBY,IF(AND(AT95=1,AK95="E",AU95&gt;=0.75),HealthBY*P95,IF(AND(AT95=1,AK95="E",AU95&gt;=0.5,AW95=1),PTHealthBY,IF(AND(AT95=1,AK95="E",AU95&gt;=0.5),PTHealthBY*P95,0))))</f>
        <v>1165</v>
      </c>
      <c r="BO95" s="462">
        <f>IF(AND(AT95=3,AK95="E",AV95&gt;=0.75,AW95=1),HealthBY,IF(AND(AT95=3,AK95="E",AV95&gt;=0.75),HealthBY*P95,IF(AND(AT95=3,AK95="E",AV95&gt;=0.5,AW95=1),PTHealthBY,IF(AND(AT95=3,AK95="E",AV95&gt;=0.5),PTHealthBY*P95,0))))</f>
        <v>0</v>
      </c>
      <c r="BP95" s="462">
        <f>IF(AND(AT95&lt;&gt;0,(AX95+BA95)&gt;=MAXSSDIBY),SSDIBY*MAXSSDIBY*P95,IF(AT95&lt;&gt;0,SSDIBY*W95,0))</f>
        <v>298.54239999999999</v>
      </c>
      <c r="BQ95" s="462">
        <f>IF(AT95&lt;&gt;0,SSHIBY*W95,0)</f>
        <v>69.820400000000006</v>
      </c>
      <c r="BR95" s="462">
        <f>IF(AND(AT95&lt;&gt;0,AN95&lt;&gt;"NE"),VLOOKUP(AN95,Retirement_Rates,4,FALSE)*W95,0)</f>
        <v>574.93488000000002</v>
      </c>
      <c r="BS95" s="462">
        <f>IF(AND(AT95&lt;&gt;0,AJ95&lt;&gt;"PF"),LifeBY*W95,0)</f>
        <v>34.717592000000003</v>
      </c>
      <c r="BT95" s="462">
        <f>IF(AND(AT95&lt;&gt;0,AM95="Y"),UIBY*W95,0)</f>
        <v>0</v>
      </c>
      <c r="BU95" s="462">
        <f>IF(AND(AT95&lt;&gt;0,N95&lt;&gt;"NR"),DHRBY*W95,0)</f>
        <v>14.734511999999999</v>
      </c>
      <c r="BV95" s="462">
        <f>IF(AT95&lt;&gt;0,WCBY*W95,0)</f>
        <v>167.08744000000002</v>
      </c>
      <c r="BW95" s="462">
        <f>IF(OR(AND(AT95&lt;&gt;0,AJ95&lt;&gt;"PF",AN95&lt;&gt;"NE",AG95&lt;&gt;"A"),AND(AL95="E",OR(AT95=1,AT95=3))),SickBY*W95,0)</f>
        <v>0</v>
      </c>
      <c r="BX95" s="462">
        <f t="shared" si="24"/>
        <v>1159.8372239999999</v>
      </c>
      <c r="BY95" s="462">
        <f t="shared" si="25"/>
        <v>0</v>
      </c>
      <c r="BZ95" s="462">
        <f t="shared" si="26"/>
        <v>0</v>
      </c>
      <c r="CA95" s="462">
        <f t="shared" si="27"/>
        <v>0</v>
      </c>
      <c r="CB95" s="462">
        <f t="shared" si="28"/>
        <v>0</v>
      </c>
      <c r="CC95" s="462">
        <f>IF(AT95&lt;&gt;0,SSHICHG*Y95,0)</f>
        <v>0</v>
      </c>
      <c r="CD95" s="462">
        <f>IF(AND(AT95&lt;&gt;0,AN95&lt;&gt;"NE"),VLOOKUP(AN95,Retirement_Rates,5,FALSE)*Y95,0)</f>
        <v>0</v>
      </c>
      <c r="CE95" s="462">
        <f>IF(AND(AT95&lt;&gt;0,AJ95&lt;&gt;"PF"),LifeCHG*Y95,0)</f>
        <v>0</v>
      </c>
      <c r="CF95" s="462">
        <f>IF(AND(AT95&lt;&gt;0,AM95="Y"),UICHG*Y95,0)</f>
        <v>-23.594479999999997</v>
      </c>
      <c r="CG95" s="462">
        <f>IF(AND(AT95&lt;&gt;0,N95&lt;&gt;"NR"),DHRCHG*Y95,0)</f>
        <v>0</v>
      </c>
      <c r="CH95" s="462">
        <f>IF(AT95&lt;&gt;0,WCCHG*Y95,0)</f>
        <v>37.558560000000007</v>
      </c>
      <c r="CI95" s="462">
        <f>IF(OR(AND(AT95&lt;&gt;0,AJ95&lt;&gt;"PF",AN95&lt;&gt;"NE",AG95&lt;&gt;"A"),AND(AL95="E",OR(AT95=1,AT95=3))),SickCHG*Y95,0)</f>
        <v>0</v>
      </c>
      <c r="CJ95" s="462">
        <f t="shared" si="29"/>
        <v>13.96408000000001</v>
      </c>
      <c r="CK95" s="462" t="str">
        <f t="shared" si="30"/>
        <v/>
      </c>
      <c r="CL95" s="462" t="str">
        <f t="shared" si="31"/>
        <v/>
      </c>
      <c r="CM95" s="462" t="str">
        <f t="shared" si="32"/>
        <v/>
      </c>
      <c r="CN95" s="462" t="str">
        <f t="shared" si="33"/>
        <v>0250-05</v>
      </c>
    </row>
    <row r="96" spans="1:92" ht="15" thickBot="1" x14ac:dyDescent="0.35">
      <c r="A96" s="376" t="s">
        <v>161</v>
      </c>
      <c r="B96" s="376" t="s">
        <v>162</v>
      </c>
      <c r="C96" s="376" t="s">
        <v>427</v>
      </c>
      <c r="D96" s="376" t="s">
        <v>221</v>
      </c>
      <c r="E96" s="376" t="s">
        <v>428</v>
      </c>
      <c r="F96" s="377" t="s">
        <v>166</v>
      </c>
      <c r="G96" s="376" t="s">
        <v>423</v>
      </c>
      <c r="H96" s="378"/>
      <c r="I96" s="378"/>
      <c r="J96" s="376" t="s">
        <v>168</v>
      </c>
      <c r="K96" s="376" t="s">
        <v>222</v>
      </c>
      <c r="L96" s="376" t="s">
        <v>166</v>
      </c>
      <c r="M96" s="376" t="s">
        <v>225</v>
      </c>
      <c r="N96" s="376" t="s">
        <v>223</v>
      </c>
      <c r="O96" s="379">
        <v>0</v>
      </c>
      <c r="P96" s="460">
        <v>1</v>
      </c>
      <c r="Q96" s="460">
        <v>0</v>
      </c>
      <c r="R96" s="380">
        <v>0</v>
      </c>
      <c r="S96" s="460">
        <v>0</v>
      </c>
      <c r="T96" s="380">
        <v>0</v>
      </c>
      <c r="U96" s="380">
        <v>0</v>
      </c>
      <c r="V96" s="380">
        <v>0</v>
      </c>
      <c r="W96" s="380">
        <v>0</v>
      </c>
      <c r="X96" s="380">
        <v>0</v>
      </c>
      <c r="Y96" s="380">
        <v>0</v>
      </c>
      <c r="Z96" s="380">
        <v>0</v>
      </c>
      <c r="AA96" s="378"/>
      <c r="AB96" s="376" t="s">
        <v>45</v>
      </c>
      <c r="AC96" s="376" t="s">
        <v>45</v>
      </c>
      <c r="AD96" s="378"/>
      <c r="AE96" s="378"/>
      <c r="AF96" s="378"/>
      <c r="AG96" s="378"/>
      <c r="AH96" s="379">
        <v>0</v>
      </c>
      <c r="AI96" s="379">
        <v>0</v>
      </c>
      <c r="AJ96" s="378"/>
      <c r="AK96" s="378"/>
      <c r="AL96" s="376" t="s">
        <v>181</v>
      </c>
      <c r="AM96" s="378"/>
      <c r="AN96" s="378"/>
      <c r="AO96" s="379">
        <v>0</v>
      </c>
      <c r="AP96" s="460">
        <v>0</v>
      </c>
      <c r="AQ96" s="460">
        <v>0</v>
      </c>
      <c r="AR96" s="459"/>
      <c r="AS96" s="462">
        <f t="shared" si="17"/>
        <v>0</v>
      </c>
      <c r="AT96">
        <f t="shared" si="18"/>
        <v>0</v>
      </c>
      <c r="AU96" s="462" t="str">
        <f>IF(AT96=0,"",IF(AND(AT96=1,M96="F",SUMIF(C2:C391,C96,AS2:AS391)&lt;=1),SUMIF(C2:C391,C96,AS2:AS391),IF(AND(AT96=1,M96="F",SUMIF(C2:C391,C96,AS2:AS391)&gt;1),1,"")))</f>
        <v/>
      </c>
      <c r="AV96" s="462" t="str">
        <f>IF(AT96=0,"",IF(AND(AT96=3,M96="F",SUMIF(C2:C391,C96,AS2:AS391)&lt;=1),SUMIF(C2:C391,C96,AS2:AS391),IF(AND(AT96=3,M96="F",SUMIF(C2:C391,C96,AS2:AS391)&gt;1),1,"")))</f>
        <v/>
      </c>
      <c r="AW96" s="462">
        <f>SUMIF(C2:C391,C96,O2:O391)</f>
        <v>0</v>
      </c>
      <c r="AX96" s="462">
        <f>IF(AND(M96="F",AS96&lt;&gt;0),SUMIF(C2:C391,C96,W2:W391),0)</f>
        <v>0</v>
      </c>
      <c r="AY96" s="462" t="str">
        <f t="shared" si="19"/>
        <v/>
      </c>
      <c r="AZ96" s="462" t="str">
        <f t="shared" si="20"/>
        <v/>
      </c>
      <c r="BA96" s="462">
        <f t="shared" si="21"/>
        <v>0</v>
      </c>
      <c r="BB96" s="462">
        <f>IF(AND(AT96=1,AK96="E",AU96&gt;=0.75,AW96=1),Health,IF(AND(AT96=1,AK96="E",AU96&gt;=0.75),Health*P96,IF(AND(AT96=1,AK96="E",AU96&gt;=0.5,AW96=1),PTHealth,IF(AND(AT96=1,AK96="E",AU96&gt;=0.5),PTHealth*P96,0))))</f>
        <v>0</v>
      </c>
      <c r="BC96" s="462">
        <f>IF(AND(AT96=3,AK96="E",AV96&gt;=0.75,AW96=1),Health,IF(AND(AT96=3,AK96="E",AV96&gt;=0.75),Health*P96,IF(AND(AT96=3,AK96="E",AV96&gt;=0.5,AW96=1),PTHealth,IF(AND(AT96=3,AK96="E",AV96&gt;=0.5),PTHealth*P96,0))))</f>
        <v>0</v>
      </c>
      <c r="BD96" s="462">
        <f>IF(AND(AT96&lt;&gt;0,AX96&gt;=MAXSSDI),SSDI*MAXSSDI*P96,IF(AT96&lt;&gt;0,SSDI*W96,0))</f>
        <v>0</v>
      </c>
      <c r="BE96" s="462">
        <f>IF(AT96&lt;&gt;0,SSHI*W96,0)</f>
        <v>0</v>
      </c>
      <c r="BF96" s="462">
        <f>IF(AND(AT96&lt;&gt;0,AN96&lt;&gt;"NE"),VLOOKUP(AN96,Retirement_Rates,3,FALSE)*W96,0)</f>
        <v>0</v>
      </c>
      <c r="BG96" s="462">
        <f>IF(AND(AT96&lt;&gt;0,AJ96&lt;&gt;"PF"),Life*W96,0)</f>
        <v>0</v>
      </c>
      <c r="BH96" s="462">
        <f>IF(AND(AT96&lt;&gt;0,AM96="Y"),UI*W96,0)</f>
        <v>0</v>
      </c>
      <c r="BI96" s="462">
        <f>IF(AND(AT96&lt;&gt;0,N96&lt;&gt;"NR"),DHR*W96,0)</f>
        <v>0</v>
      </c>
      <c r="BJ96" s="462">
        <f>IF(AT96&lt;&gt;0,WC*W96,0)</f>
        <v>0</v>
      </c>
      <c r="BK96" s="462">
        <f>IF(OR(AND(AT96&lt;&gt;0,AJ96&lt;&gt;"PF",AN96&lt;&gt;"NE",AG96&lt;&gt;"A"),AND(AL96="E",OR(AT96=1,AT96=3))),Sick*W96,0)</f>
        <v>0</v>
      </c>
      <c r="BL96" s="462">
        <f t="shared" si="22"/>
        <v>0</v>
      </c>
      <c r="BM96" s="462">
        <f t="shared" si="23"/>
        <v>0</v>
      </c>
      <c r="BN96" s="462">
        <f>IF(AND(AT96=1,AK96="E",AU96&gt;=0.75,AW96=1),HealthBY,IF(AND(AT96=1,AK96="E",AU96&gt;=0.75),HealthBY*P96,IF(AND(AT96=1,AK96="E",AU96&gt;=0.5,AW96=1),PTHealthBY,IF(AND(AT96=1,AK96="E",AU96&gt;=0.5),PTHealthBY*P96,0))))</f>
        <v>0</v>
      </c>
      <c r="BO96" s="462">
        <f>IF(AND(AT96=3,AK96="E",AV96&gt;=0.75,AW96=1),HealthBY,IF(AND(AT96=3,AK96="E",AV96&gt;=0.75),HealthBY*P96,IF(AND(AT96=3,AK96="E",AV96&gt;=0.5,AW96=1),PTHealthBY,IF(AND(AT96=3,AK96="E",AV96&gt;=0.5),PTHealthBY*P96,0))))</f>
        <v>0</v>
      </c>
      <c r="BP96" s="462">
        <f>IF(AND(AT96&lt;&gt;0,(AX96+BA96)&gt;=MAXSSDIBY),SSDIBY*MAXSSDIBY*P96,IF(AT96&lt;&gt;0,SSDIBY*W96,0))</f>
        <v>0</v>
      </c>
      <c r="BQ96" s="462">
        <f>IF(AT96&lt;&gt;0,SSHIBY*W96,0)</f>
        <v>0</v>
      </c>
      <c r="BR96" s="462">
        <f>IF(AND(AT96&lt;&gt;0,AN96&lt;&gt;"NE"),VLOOKUP(AN96,Retirement_Rates,4,FALSE)*W96,0)</f>
        <v>0</v>
      </c>
      <c r="BS96" s="462">
        <f>IF(AND(AT96&lt;&gt;0,AJ96&lt;&gt;"PF"),LifeBY*W96,0)</f>
        <v>0</v>
      </c>
      <c r="BT96" s="462">
        <f>IF(AND(AT96&lt;&gt;0,AM96="Y"),UIBY*W96,0)</f>
        <v>0</v>
      </c>
      <c r="BU96" s="462">
        <f>IF(AND(AT96&lt;&gt;0,N96&lt;&gt;"NR"),DHRBY*W96,0)</f>
        <v>0</v>
      </c>
      <c r="BV96" s="462">
        <f>IF(AT96&lt;&gt;0,WCBY*W96,0)</f>
        <v>0</v>
      </c>
      <c r="BW96" s="462">
        <f>IF(OR(AND(AT96&lt;&gt;0,AJ96&lt;&gt;"PF",AN96&lt;&gt;"NE",AG96&lt;&gt;"A"),AND(AL96="E",OR(AT96=1,AT96=3))),SickBY*W96,0)</f>
        <v>0</v>
      </c>
      <c r="BX96" s="462">
        <f t="shared" si="24"/>
        <v>0</v>
      </c>
      <c r="BY96" s="462">
        <f t="shared" si="25"/>
        <v>0</v>
      </c>
      <c r="BZ96" s="462">
        <f t="shared" si="26"/>
        <v>0</v>
      </c>
      <c r="CA96" s="462">
        <f t="shared" si="27"/>
        <v>0</v>
      </c>
      <c r="CB96" s="462">
        <f t="shared" si="28"/>
        <v>0</v>
      </c>
      <c r="CC96" s="462">
        <f>IF(AT96&lt;&gt;0,SSHICHG*Y96,0)</f>
        <v>0</v>
      </c>
      <c r="CD96" s="462">
        <f>IF(AND(AT96&lt;&gt;0,AN96&lt;&gt;"NE"),VLOOKUP(AN96,Retirement_Rates,5,FALSE)*Y96,0)</f>
        <v>0</v>
      </c>
      <c r="CE96" s="462">
        <f>IF(AND(AT96&lt;&gt;0,AJ96&lt;&gt;"PF"),LifeCHG*Y96,0)</f>
        <v>0</v>
      </c>
      <c r="CF96" s="462">
        <f>IF(AND(AT96&lt;&gt;0,AM96="Y"),UICHG*Y96,0)</f>
        <v>0</v>
      </c>
      <c r="CG96" s="462">
        <f>IF(AND(AT96&lt;&gt;0,N96&lt;&gt;"NR"),DHRCHG*Y96,0)</f>
        <v>0</v>
      </c>
      <c r="CH96" s="462">
        <f>IF(AT96&lt;&gt;0,WCCHG*Y96,0)</f>
        <v>0</v>
      </c>
      <c r="CI96" s="462">
        <f>IF(OR(AND(AT96&lt;&gt;0,AJ96&lt;&gt;"PF",AN96&lt;&gt;"NE",AG96&lt;&gt;"A"),AND(AL96="E",OR(AT96=1,AT96=3))),SickCHG*Y96,0)</f>
        <v>0</v>
      </c>
      <c r="CJ96" s="462">
        <f t="shared" si="29"/>
        <v>0</v>
      </c>
      <c r="CK96" s="462" t="str">
        <f t="shared" si="30"/>
        <v/>
      </c>
      <c r="CL96" s="462">
        <f t="shared" si="31"/>
        <v>0</v>
      </c>
      <c r="CM96" s="462">
        <f t="shared" si="32"/>
        <v>0</v>
      </c>
      <c r="CN96" s="462" t="str">
        <f t="shared" si="33"/>
        <v>0348-00</v>
      </c>
    </row>
    <row r="97" spans="1:92" ht="15" thickBot="1" x14ac:dyDescent="0.35">
      <c r="A97" s="376" t="s">
        <v>161</v>
      </c>
      <c r="B97" s="376" t="s">
        <v>162</v>
      </c>
      <c r="C97" s="376" t="s">
        <v>429</v>
      </c>
      <c r="D97" s="376" t="s">
        <v>221</v>
      </c>
      <c r="E97" s="376" t="s">
        <v>428</v>
      </c>
      <c r="F97" s="377" t="s">
        <v>166</v>
      </c>
      <c r="G97" s="376" t="s">
        <v>423</v>
      </c>
      <c r="H97" s="378"/>
      <c r="I97" s="378"/>
      <c r="J97" s="376" t="s">
        <v>168</v>
      </c>
      <c r="K97" s="376" t="s">
        <v>222</v>
      </c>
      <c r="L97" s="376" t="s">
        <v>166</v>
      </c>
      <c r="M97" s="376" t="s">
        <v>225</v>
      </c>
      <c r="N97" s="376" t="s">
        <v>223</v>
      </c>
      <c r="O97" s="379">
        <v>0</v>
      </c>
      <c r="P97" s="460">
        <v>1</v>
      </c>
      <c r="Q97" s="460">
        <v>0</v>
      </c>
      <c r="R97" s="380">
        <v>0</v>
      </c>
      <c r="S97" s="460">
        <v>0</v>
      </c>
      <c r="T97" s="380">
        <v>0</v>
      </c>
      <c r="U97" s="380">
        <v>0</v>
      </c>
      <c r="V97" s="380">
        <v>0</v>
      </c>
      <c r="W97" s="380">
        <v>0</v>
      </c>
      <c r="X97" s="380">
        <v>0</v>
      </c>
      <c r="Y97" s="380">
        <v>0</v>
      </c>
      <c r="Z97" s="380">
        <v>0</v>
      </c>
      <c r="AA97" s="378"/>
      <c r="AB97" s="376" t="s">
        <v>45</v>
      </c>
      <c r="AC97" s="376" t="s">
        <v>45</v>
      </c>
      <c r="AD97" s="378"/>
      <c r="AE97" s="378"/>
      <c r="AF97" s="378"/>
      <c r="AG97" s="378"/>
      <c r="AH97" s="379">
        <v>0</v>
      </c>
      <c r="AI97" s="379">
        <v>0</v>
      </c>
      <c r="AJ97" s="378"/>
      <c r="AK97" s="378"/>
      <c r="AL97" s="376" t="s">
        <v>181</v>
      </c>
      <c r="AM97" s="378"/>
      <c r="AN97" s="378"/>
      <c r="AO97" s="379">
        <v>0</v>
      </c>
      <c r="AP97" s="460">
        <v>0</v>
      </c>
      <c r="AQ97" s="460">
        <v>0</v>
      </c>
      <c r="AR97" s="459"/>
      <c r="AS97" s="462">
        <f t="shared" si="17"/>
        <v>0</v>
      </c>
      <c r="AT97">
        <f t="shared" si="18"/>
        <v>0</v>
      </c>
      <c r="AU97" s="462" t="str">
        <f>IF(AT97=0,"",IF(AND(AT97=1,M97="F",SUMIF(C2:C391,C97,AS2:AS391)&lt;=1),SUMIF(C2:C391,C97,AS2:AS391),IF(AND(AT97=1,M97="F",SUMIF(C2:C391,C97,AS2:AS391)&gt;1),1,"")))</f>
        <v/>
      </c>
      <c r="AV97" s="462" t="str">
        <f>IF(AT97=0,"",IF(AND(AT97=3,M97="F",SUMIF(C2:C391,C97,AS2:AS391)&lt;=1),SUMIF(C2:C391,C97,AS2:AS391),IF(AND(AT97=3,M97="F",SUMIF(C2:C391,C97,AS2:AS391)&gt;1),1,"")))</f>
        <v/>
      </c>
      <c r="AW97" s="462">
        <f>SUMIF(C2:C391,C97,O2:O391)</f>
        <v>0</v>
      </c>
      <c r="AX97" s="462">
        <f>IF(AND(M97="F",AS97&lt;&gt;0),SUMIF(C2:C391,C97,W2:W391),0)</f>
        <v>0</v>
      </c>
      <c r="AY97" s="462" t="str">
        <f t="shared" si="19"/>
        <v/>
      </c>
      <c r="AZ97" s="462" t="str">
        <f t="shared" si="20"/>
        <v/>
      </c>
      <c r="BA97" s="462">
        <f t="shared" si="21"/>
        <v>0</v>
      </c>
      <c r="BB97" s="462">
        <f>IF(AND(AT97=1,AK97="E",AU97&gt;=0.75,AW97=1),Health,IF(AND(AT97=1,AK97="E",AU97&gt;=0.75),Health*P97,IF(AND(AT97=1,AK97="E",AU97&gt;=0.5,AW97=1),PTHealth,IF(AND(AT97=1,AK97="E",AU97&gt;=0.5),PTHealth*P97,0))))</f>
        <v>0</v>
      </c>
      <c r="BC97" s="462">
        <f>IF(AND(AT97=3,AK97="E",AV97&gt;=0.75,AW97=1),Health,IF(AND(AT97=3,AK97="E",AV97&gt;=0.75),Health*P97,IF(AND(AT97=3,AK97="E",AV97&gt;=0.5,AW97=1),PTHealth,IF(AND(AT97=3,AK97="E",AV97&gt;=0.5),PTHealth*P97,0))))</f>
        <v>0</v>
      </c>
      <c r="BD97" s="462">
        <f>IF(AND(AT97&lt;&gt;0,AX97&gt;=MAXSSDI),SSDI*MAXSSDI*P97,IF(AT97&lt;&gt;0,SSDI*W97,0))</f>
        <v>0</v>
      </c>
      <c r="BE97" s="462">
        <f>IF(AT97&lt;&gt;0,SSHI*W97,0)</f>
        <v>0</v>
      </c>
      <c r="BF97" s="462">
        <f>IF(AND(AT97&lt;&gt;0,AN97&lt;&gt;"NE"),VLOOKUP(AN97,Retirement_Rates,3,FALSE)*W97,0)</f>
        <v>0</v>
      </c>
      <c r="BG97" s="462">
        <f>IF(AND(AT97&lt;&gt;0,AJ97&lt;&gt;"PF"),Life*W97,0)</f>
        <v>0</v>
      </c>
      <c r="BH97" s="462">
        <f>IF(AND(AT97&lt;&gt;0,AM97="Y"),UI*W97,0)</f>
        <v>0</v>
      </c>
      <c r="BI97" s="462">
        <f>IF(AND(AT97&lt;&gt;0,N97&lt;&gt;"NR"),DHR*W97,0)</f>
        <v>0</v>
      </c>
      <c r="BJ97" s="462">
        <f>IF(AT97&lt;&gt;0,WC*W97,0)</f>
        <v>0</v>
      </c>
      <c r="BK97" s="462">
        <f>IF(OR(AND(AT97&lt;&gt;0,AJ97&lt;&gt;"PF",AN97&lt;&gt;"NE",AG97&lt;&gt;"A"),AND(AL97="E",OR(AT97=1,AT97=3))),Sick*W97,0)</f>
        <v>0</v>
      </c>
      <c r="BL97" s="462">
        <f t="shared" si="22"/>
        <v>0</v>
      </c>
      <c r="BM97" s="462">
        <f t="shared" si="23"/>
        <v>0</v>
      </c>
      <c r="BN97" s="462">
        <f>IF(AND(AT97=1,AK97="E",AU97&gt;=0.75,AW97=1),HealthBY,IF(AND(AT97=1,AK97="E",AU97&gt;=0.75),HealthBY*P97,IF(AND(AT97=1,AK97="E",AU97&gt;=0.5,AW97=1),PTHealthBY,IF(AND(AT97=1,AK97="E",AU97&gt;=0.5),PTHealthBY*P97,0))))</f>
        <v>0</v>
      </c>
      <c r="BO97" s="462">
        <f>IF(AND(AT97=3,AK97="E",AV97&gt;=0.75,AW97=1),HealthBY,IF(AND(AT97=3,AK97="E",AV97&gt;=0.75),HealthBY*P97,IF(AND(AT97=3,AK97="E",AV97&gt;=0.5,AW97=1),PTHealthBY,IF(AND(AT97=3,AK97="E",AV97&gt;=0.5),PTHealthBY*P97,0))))</f>
        <v>0</v>
      </c>
      <c r="BP97" s="462">
        <f>IF(AND(AT97&lt;&gt;0,(AX97+BA97)&gt;=MAXSSDIBY),SSDIBY*MAXSSDIBY*P97,IF(AT97&lt;&gt;0,SSDIBY*W97,0))</f>
        <v>0</v>
      </c>
      <c r="BQ97" s="462">
        <f>IF(AT97&lt;&gt;0,SSHIBY*W97,0)</f>
        <v>0</v>
      </c>
      <c r="BR97" s="462">
        <f>IF(AND(AT97&lt;&gt;0,AN97&lt;&gt;"NE"),VLOOKUP(AN97,Retirement_Rates,4,FALSE)*W97,0)</f>
        <v>0</v>
      </c>
      <c r="BS97" s="462">
        <f>IF(AND(AT97&lt;&gt;0,AJ97&lt;&gt;"PF"),LifeBY*W97,0)</f>
        <v>0</v>
      </c>
      <c r="BT97" s="462">
        <f>IF(AND(AT97&lt;&gt;0,AM97="Y"),UIBY*W97,0)</f>
        <v>0</v>
      </c>
      <c r="BU97" s="462">
        <f>IF(AND(AT97&lt;&gt;0,N97&lt;&gt;"NR"),DHRBY*W97,0)</f>
        <v>0</v>
      </c>
      <c r="BV97" s="462">
        <f>IF(AT97&lt;&gt;0,WCBY*W97,0)</f>
        <v>0</v>
      </c>
      <c r="BW97" s="462">
        <f>IF(OR(AND(AT97&lt;&gt;0,AJ97&lt;&gt;"PF",AN97&lt;&gt;"NE",AG97&lt;&gt;"A"),AND(AL97="E",OR(AT97=1,AT97=3))),SickBY*W97,0)</f>
        <v>0</v>
      </c>
      <c r="BX97" s="462">
        <f t="shared" si="24"/>
        <v>0</v>
      </c>
      <c r="BY97" s="462">
        <f t="shared" si="25"/>
        <v>0</v>
      </c>
      <c r="BZ97" s="462">
        <f t="shared" si="26"/>
        <v>0</v>
      </c>
      <c r="CA97" s="462">
        <f t="shared" si="27"/>
        <v>0</v>
      </c>
      <c r="CB97" s="462">
        <f t="shared" si="28"/>
        <v>0</v>
      </c>
      <c r="CC97" s="462">
        <f>IF(AT97&lt;&gt;0,SSHICHG*Y97,0)</f>
        <v>0</v>
      </c>
      <c r="CD97" s="462">
        <f>IF(AND(AT97&lt;&gt;0,AN97&lt;&gt;"NE"),VLOOKUP(AN97,Retirement_Rates,5,FALSE)*Y97,0)</f>
        <v>0</v>
      </c>
      <c r="CE97" s="462">
        <f>IF(AND(AT97&lt;&gt;0,AJ97&lt;&gt;"PF"),LifeCHG*Y97,0)</f>
        <v>0</v>
      </c>
      <c r="CF97" s="462">
        <f>IF(AND(AT97&lt;&gt;0,AM97="Y"),UICHG*Y97,0)</f>
        <v>0</v>
      </c>
      <c r="CG97" s="462">
        <f>IF(AND(AT97&lt;&gt;0,N97&lt;&gt;"NR"),DHRCHG*Y97,0)</f>
        <v>0</v>
      </c>
      <c r="CH97" s="462">
        <f>IF(AT97&lt;&gt;0,WCCHG*Y97,0)</f>
        <v>0</v>
      </c>
      <c r="CI97" s="462">
        <f>IF(OR(AND(AT97&lt;&gt;0,AJ97&lt;&gt;"PF",AN97&lt;&gt;"NE",AG97&lt;&gt;"A"),AND(AL97="E",OR(AT97=1,AT97=3))),SickCHG*Y97,0)</f>
        <v>0</v>
      </c>
      <c r="CJ97" s="462">
        <f t="shared" si="29"/>
        <v>0</v>
      </c>
      <c r="CK97" s="462" t="str">
        <f t="shared" si="30"/>
        <v/>
      </c>
      <c r="CL97" s="462">
        <f t="shared" si="31"/>
        <v>0</v>
      </c>
      <c r="CM97" s="462">
        <f t="shared" si="32"/>
        <v>0</v>
      </c>
      <c r="CN97" s="462" t="str">
        <f t="shared" si="33"/>
        <v>0348-00</v>
      </c>
    </row>
    <row r="98" spans="1:92" ht="15" thickBot="1" x14ac:dyDescent="0.35">
      <c r="A98" s="376" t="s">
        <v>161</v>
      </c>
      <c r="B98" s="376" t="s">
        <v>162</v>
      </c>
      <c r="C98" s="376" t="s">
        <v>430</v>
      </c>
      <c r="D98" s="376" t="s">
        <v>431</v>
      </c>
      <c r="E98" s="376" t="s">
        <v>165</v>
      </c>
      <c r="F98" s="377" t="s">
        <v>166</v>
      </c>
      <c r="G98" s="376" t="s">
        <v>432</v>
      </c>
      <c r="H98" s="378"/>
      <c r="I98" s="378"/>
      <c r="J98" s="376" t="s">
        <v>168</v>
      </c>
      <c r="K98" s="376" t="s">
        <v>433</v>
      </c>
      <c r="L98" s="376" t="s">
        <v>195</v>
      </c>
      <c r="M98" s="376" t="s">
        <v>171</v>
      </c>
      <c r="N98" s="376" t="s">
        <v>172</v>
      </c>
      <c r="O98" s="379">
        <v>1</v>
      </c>
      <c r="P98" s="460">
        <v>1</v>
      </c>
      <c r="Q98" s="460">
        <v>1</v>
      </c>
      <c r="R98" s="380">
        <v>80</v>
      </c>
      <c r="S98" s="460">
        <v>1</v>
      </c>
      <c r="T98" s="380">
        <v>53218.8</v>
      </c>
      <c r="U98" s="380">
        <v>0</v>
      </c>
      <c r="V98" s="380">
        <v>23453.84</v>
      </c>
      <c r="W98" s="380">
        <v>52873.599999999999</v>
      </c>
      <c r="X98" s="380">
        <v>24232.29</v>
      </c>
      <c r="Y98" s="380">
        <v>52873.599999999999</v>
      </c>
      <c r="Z98" s="380">
        <v>24385.63</v>
      </c>
      <c r="AA98" s="376" t="s">
        <v>434</v>
      </c>
      <c r="AB98" s="376" t="s">
        <v>435</v>
      </c>
      <c r="AC98" s="376" t="s">
        <v>436</v>
      </c>
      <c r="AD98" s="376" t="s">
        <v>324</v>
      </c>
      <c r="AE98" s="376" t="s">
        <v>433</v>
      </c>
      <c r="AF98" s="376" t="s">
        <v>199</v>
      </c>
      <c r="AG98" s="376" t="s">
        <v>178</v>
      </c>
      <c r="AH98" s="381">
        <v>25.42</v>
      </c>
      <c r="AI98" s="381">
        <v>32681.9</v>
      </c>
      <c r="AJ98" s="376" t="s">
        <v>179</v>
      </c>
      <c r="AK98" s="376" t="s">
        <v>180</v>
      </c>
      <c r="AL98" s="376" t="s">
        <v>181</v>
      </c>
      <c r="AM98" s="376" t="s">
        <v>182</v>
      </c>
      <c r="AN98" s="376" t="s">
        <v>68</v>
      </c>
      <c r="AO98" s="379">
        <v>80</v>
      </c>
      <c r="AP98" s="460">
        <v>1</v>
      </c>
      <c r="AQ98" s="460">
        <v>1</v>
      </c>
      <c r="AR98" s="458" t="s">
        <v>183</v>
      </c>
      <c r="AS98" s="462">
        <f t="shared" si="17"/>
        <v>1</v>
      </c>
      <c r="AT98">
        <f t="shared" si="18"/>
        <v>1</v>
      </c>
      <c r="AU98" s="462">
        <f>IF(AT98=0,"",IF(AND(AT98=1,M98="F",SUMIF(C2:C391,C98,AS2:AS391)&lt;=1),SUMIF(C2:C391,C98,AS2:AS391),IF(AND(AT98=1,M98="F",SUMIF(C2:C391,C98,AS2:AS391)&gt;1),1,"")))</f>
        <v>1</v>
      </c>
      <c r="AV98" s="462" t="str">
        <f>IF(AT98=0,"",IF(AND(AT98=3,M98="F",SUMIF(C2:C391,C98,AS2:AS391)&lt;=1),SUMIF(C2:C391,C98,AS2:AS391),IF(AND(AT98=3,M98="F",SUMIF(C2:C391,C98,AS2:AS391)&gt;1),1,"")))</f>
        <v/>
      </c>
      <c r="AW98" s="462">
        <f>SUMIF(C2:C391,C98,O2:O391)</f>
        <v>1</v>
      </c>
      <c r="AX98" s="462">
        <f>IF(AND(M98="F",AS98&lt;&gt;0),SUMIF(C2:C391,C98,W2:W391),0)</f>
        <v>52873.599999999999</v>
      </c>
      <c r="AY98" s="462">
        <f t="shared" si="19"/>
        <v>52873.599999999999</v>
      </c>
      <c r="AZ98" s="462" t="str">
        <f t="shared" si="20"/>
        <v/>
      </c>
      <c r="BA98" s="462">
        <f t="shared" si="21"/>
        <v>0</v>
      </c>
      <c r="BB98" s="462">
        <f>IF(AND(AT98=1,AK98="E",AU98&gt;=0.75,AW98=1),Health,IF(AND(AT98=1,AK98="E",AU98&gt;=0.75),Health*P98,IF(AND(AT98=1,AK98="E",AU98&gt;=0.5,AW98=1),PTHealth,IF(AND(AT98=1,AK98="E",AU98&gt;=0.5),PTHealth*P98,0))))</f>
        <v>11650</v>
      </c>
      <c r="BC98" s="462">
        <f>IF(AND(AT98=3,AK98="E",AV98&gt;=0.75,AW98=1),Health,IF(AND(AT98=3,AK98="E",AV98&gt;=0.75),Health*P98,IF(AND(AT98=3,AK98="E",AV98&gt;=0.5,AW98=1),PTHealth,IF(AND(AT98=3,AK98="E",AV98&gt;=0.5),PTHealth*P98,0))))</f>
        <v>0</v>
      </c>
      <c r="BD98" s="462">
        <f>IF(AND(AT98&lt;&gt;0,AX98&gt;=MAXSSDI),SSDI*MAXSSDI*P98,IF(AT98&lt;&gt;0,SSDI*W98,0))</f>
        <v>3278.1632</v>
      </c>
      <c r="BE98" s="462">
        <f>IF(AT98&lt;&gt;0,SSHI*W98,0)</f>
        <v>766.66719999999998</v>
      </c>
      <c r="BF98" s="462">
        <f>IF(AND(AT98&lt;&gt;0,AN98&lt;&gt;"NE"),VLOOKUP(AN98,Retirement_Rates,3,FALSE)*W98,0)</f>
        <v>6313.1078400000006</v>
      </c>
      <c r="BG98" s="462">
        <f>IF(AND(AT98&lt;&gt;0,AJ98&lt;&gt;"PF"),Life*W98,0)</f>
        <v>381.21865600000001</v>
      </c>
      <c r="BH98" s="462">
        <f>IF(AND(AT98&lt;&gt;0,AM98="Y"),UI*W98,0)</f>
        <v>259.08063999999996</v>
      </c>
      <c r="BI98" s="462">
        <f>IF(AND(AT98&lt;&gt;0,N98&lt;&gt;"NR"),DHR*W98,0)</f>
        <v>161.79321599999997</v>
      </c>
      <c r="BJ98" s="462">
        <f>IF(AT98&lt;&gt;0,WC*W98,0)</f>
        <v>1422.2998399999999</v>
      </c>
      <c r="BK98" s="462">
        <f>IF(OR(AND(AT98&lt;&gt;0,AJ98&lt;&gt;"PF",AN98&lt;&gt;"NE",AG98&lt;&gt;"A"),AND(AL98="E",OR(AT98=1,AT98=3))),Sick*W98,0)</f>
        <v>0</v>
      </c>
      <c r="BL98" s="462">
        <f t="shared" si="22"/>
        <v>12582.330592</v>
      </c>
      <c r="BM98" s="462">
        <f t="shared" si="23"/>
        <v>0</v>
      </c>
      <c r="BN98" s="462">
        <f>IF(AND(AT98=1,AK98="E",AU98&gt;=0.75,AW98=1),HealthBY,IF(AND(AT98=1,AK98="E",AU98&gt;=0.75),HealthBY*P98,IF(AND(AT98=1,AK98="E",AU98&gt;=0.5,AW98=1),PTHealthBY,IF(AND(AT98=1,AK98="E",AU98&gt;=0.5),PTHealthBY*P98,0))))</f>
        <v>11650</v>
      </c>
      <c r="BO98" s="462">
        <f>IF(AND(AT98=3,AK98="E",AV98&gt;=0.75,AW98=1),HealthBY,IF(AND(AT98=3,AK98="E",AV98&gt;=0.75),HealthBY*P98,IF(AND(AT98=3,AK98="E",AV98&gt;=0.5,AW98=1),PTHealthBY,IF(AND(AT98=3,AK98="E",AV98&gt;=0.5),PTHealthBY*P98,0))))</f>
        <v>0</v>
      </c>
      <c r="BP98" s="462">
        <f>IF(AND(AT98&lt;&gt;0,(AX98+BA98)&gt;=MAXSSDIBY),SSDIBY*MAXSSDIBY*P98,IF(AT98&lt;&gt;0,SSDIBY*W98,0))</f>
        <v>3278.1632</v>
      </c>
      <c r="BQ98" s="462">
        <f>IF(AT98&lt;&gt;0,SSHIBY*W98,0)</f>
        <v>766.66719999999998</v>
      </c>
      <c r="BR98" s="462">
        <f>IF(AND(AT98&lt;&gt;0,AN98&lt;&gt;"NE"),VLOOKUP(AN98,Retirement_Rates,4,FALSE)*W98,0)</f>
        <v>6313.1078400000006</v>
      </c>
      <c r="BS98" s="462">
        <f>IF(AND(AT98&lt;&gt;0,AJ98&lt;&gt;"PF"),LifeBY*W98,0)</f>
        <v>381.21865600000001</v>
      </c>
      <c r="BT98" s="462">
        <f>IF(AND(AT98&lt;&gt;0,AM98="Y"),UIBY*W98,0)</f>
        <v>0</v>
      </c>
      <c r="BU98" s="462">
        <f>IF(AND(AT98&lt;&gt;0,N98&lt;&gt;"NR"),DHRBY*W98,0)</f>
        <v>161.79321599999997</v>
      </c>
      <c r="BV98" s="462">
        <f>IF(AT98&lt;&gt;0,WCBY*W98,0)</f>
        <v>1834.7139200000001</v>
      </c>
      <c r="BW98" s="462">
        <f>IF(OR(AND(AT98&lt;&gt;0,AJ98&lt;&gt;"PF",AN98&lt;&gt;"NE",AG98&lt;&gt;"A"),AND(AL98="E",OR(AT98=1,AT98=3))),SickBY*W98,0)</f>
        <v>0</v>
      </c>
      <c r="BX98" s="462">
        <f t="shared" si="24"/>
        <v>12735.664032000001</v>
      </c>
      <c r="BY98" s="462">
        <f t="shared" si="25"/>
        <v>0</v>
      </c>
      <c r="BZ98" s="462">
        <f t="shared" si="26"/>
        <v>0</v>
      </c>
      <c r="CA98" s="462">
        <f t="shared" si="27"/>
        <v>0</v>
      </c>
      <c r="CB98" s="462">
        <f t="shared" si="28"/>
        <v>0</v>
      </c>
      <c r="CC98" s="462">
        <f>IF(AT98&lt;&gt;0,SSHICHG*Y98,0)</f>
        <v>0</v>
      </c>
      <c r="CD98" s="462">
        <f>IF(AND(AT98&lt;&gt;0,AN98&lt;&gt;"NE"),VLOOKUP(AN98,Retirement_Rates,5,FALSE)*Y98,0)</f>
        <v>0</v>
      </c>
      <c r="CE98" s="462">
        <f>IF(AND(AT98&lt;&gt;0,AJ98&lt;&gt;"PF"),LifeCHG*Y98,0)</f>
        <v>0</v>
      </c>
      <c r="CF98" s="462">
        <f>IF(AND(AT98&lt;&gt;0,AM98="Y"),UICHG*Y98,0)</f>
        <v>-259.08063999999996</v>
      </c>
      <c r="CG98" s="462">
        <f>IF(AND(AT98&lt;&gt;0,N98&lt;&gt;"NR"),DHRCHG*Y98,0)</f>
        <v>0</v>
      </c>
      <c r="CH98" s="462">
        <f>IF(AT98&lt;&gt;0,WCCHG*Y98,0)</f>
        <v>412.41408000000007</v>
      </c>
      <c r="CI98" s="462">
        <f>IF(OR(AND(AT98&lt;&gt;0,AJ98&lt;&gt;"PF",AN98&lt;&gt;"NE",AG98&lt;&gt;"A"),AND(AL98="E",OR(AT98=1,AT98=3))),SickCHG*Y98,0)</f>
        <v>0</v>
      </c>
      <c r="CJ98" s="462">
        <f t="shared" si="29"/>
        <v>153.33344000000011</v>
      </c>
      <c r="CK98" s="462" t="str">
        <f t="shared" si="30"/>
        <v/>
      </c>
      <c r="CL98" s="462" t="str">
        <f t="shared" si="31"/>
        <v/>
      </c>
      <c r="CM98" s="462" t="str">
        <f t="shared" si="32"/>
        <v/>
      </c>
      <c r="CN98" s="462" t="str">
        <f t="shared" si="33"/>
        <v>0001-00</v>
      </c>
    </row>
    <row r="99" spans="1:92" ht="15" thickBot="1" x14ac:dyDescent="0.35">
      <c r="A99" s="376" t="s">
        <v>161</v>
      </c>
      <c r="B99" s="376" t="s">
        <v>162</v>
      </c>
      <c r="C99" s="376" t="s">
        <v>437</v>
      </c>
      <c r="D99" s="376" t="s">
        <v>438</v>
      </c>
      <c r="E99" s="376" t="s">
        <v>165</v>
      </c>
      <c r="F99" s="377" t="s">
        <v>166</v>
      </c>
      <c r="G99" s="376" t="s">
        <v>432</v>
      </c>
      <c r="H99" s="378"/>
      <c r="I99" s="378"/>
      <c r="J99" s="376" t="s">
        <v>193</v>
      </c>
      <c r="K99" s="376" t="s">
        <v>439</v>
      </c>
      <c r="L99" s="376" t="s">
        <v>231</v>
      </c>
      <c r="M99" s="376" t="s">
        <v>171</v>
      </c>
      <c r="N99" s="376" t="s">
        <v>172</v>
      </c>
      <c r="O99" s="379">
        <v>1</v>
      </c>
      <c r="P99" s="460">
        <v>0</v>
      </c>
      <c r="Q99" s="460">
        <v>0</v>
      </c>
      <c r="R99" s="380">
        <v>80</v>
      </c>
      <c r="S99" s="460">
        <v>0</v>
      </c>
      <c r="T99" s="380">
        <v>0</v>
      </c>
      <c r="U99" s="380">
        <v>0</v>
      </c>
      <c r="V99" s="380">
        <v>15.46</v>
      </c>
      <c r="W99" s="380">
        <v>0</v>
      </c>
      <c r="X99" s="380">
        <v>0</v>
      </c>
      <c r="Y99" s="380">
        <v>0</v>
      </c>
      <c r="Z99" s="380">
        <v>0</v>
      </c>
      <c r="AA99" s="376" t="s">
        <v>440</v>
      </c>
      <c r="AB99" s="376" t="s">
        <v>441</v>
      </c>
      <c r="AC99" s="376" t="s">
        <v>341</v>
      </c>
      <c r="AD99" s="376" t="s">
        <v>176</v>
      </c>
      <c r="AE99" s="376" t="s">
        <v>439</v>
      </c>
      <c r="AF99" s="376" t="s">
        <v>236</v>
      </c>
      <c r="AG99" s="376" t="s">
        <v>178</v>
      </c>
      <c r="AH99" s="381">
        <v>19.32</v>
      </c>
      <c r="AI99" s="381">
        <v>4860.5</v>
      </c>
      <c r="AJ99" s="376" t="s">
        <v>179</v>
      </c>
      <c r="AK99" s="376" t="s">
        <v>180</v>
      </c>
      <c r="AL99" s="376" t="s">
        <v>181</v>
      </c>
      <c r="AM99" s="376" t="s">
        <v>182</v>
      </c>
      <c r="AN99" s="376" t="s">
        <v>68</v>
      </c>
      <c r="AO99" s="379">
        <v>80</v>
      </c>
      <c r="AP99" s="460">
        <v>1</v>
      </c>
      <c r="AQ99" s="460">
        <v>0</v>
      </c>
      <c r="AR99" s="458" t="s">
        <v>183</v>
      </c>
      <c r="AS99" s="462">
        <f t="shared" si="17"/>
        <v>0</v>
      </c>
      <c r="AT99">
        <f t="shared" si="18"/>
        <v>0</v>
      </c>
      <c r="AU99" s="462" t="str">
        <f>IF(AT99=0,"",IF(AND(AT99=1,M99="F",SUMIF(C2:C391,C99,AS2:AS391)&lt;=1),SUMIF(C2:C391,C99,AS2:AS391),IF(AND(AT99=1,M99="F",SUMIF(C2:C391,C99,AS2:AS391)&gt;1),1,"")))</f>
        <v/>
      </c>
      <c r="AV99" s="462" t="str">
        <f>IF(AT99=0,"",IF(AND(AT99=3,M99="F",SUMIF(C2:C391,C99,AS2:AS391)&lt;=1),SUMIF(C2:C391,C99,AS2:AS391),IF(AND(AT99=3,M99="F",SUMIF(C2:C391,C99,AS2:AS391)&gt;1),1,"")))</f>
        <v/>
      </c>
      <c r="AW99" s="462">
        <f>SUMIF(C2:C391,C99,O2:O391)</f>
        <v>3</v>
      </c>
      <c r="AX99" s="462">
        <f>IF(AND(M99="F",AS99&lt;&gt;0),SUMIF(C2:C391,C99,W2:W391),0)</f>
        <v>0</v>
      </c>
      <c r="AY99" s="462" t="str">
        <f t="shared" si="19"/>
        <v/>
      </c>
      <c r="AZ99" s="462" t="str">
        <f t="shared" si="20"/>
        <v/>
      </c>
      <c r="BA99" s="462">
        <f t="shared" si="21"/>
        <v>0</v>
      </c>
      <c r="BB99" s="462">
        <f>IF(AND(AT99=1,AK99="E",AU99&gt;=0.75,AW99=1),Health,IF(AND(AT99=1,AK99="E",AU99&gt;=0.75),Health*P99,IF(AND(AT99=1,AK99="E",AU99&gt;=0.5,AW99=1),PTHealth,IF(AND(AT99=1,AK99="E",AU99&gt;=0.5),PTHealth*P99,0))))</f>
        <v>0</v>
      </c>
      <c r="BC99" s="462">
        <f>IF(AND(AT99=3,AK99="E",AV99&gt;=0.75,AW99=1),Health,IF(AND(AT99=3,AK99="E",AV99&gt;=0.75),Health*P99,IF(AND(AT99=3,AK99="E",AV99&gt;=0.5,AW99=1),PTHealth,IF(AND(AT99=3,AK99="E",AV99&gt;=0.5),PTHealth*P99,0))))</f>
        <v>0</v>
      </c>
      <c r="BD99" s="462">
        <f>IF(AND(AT99&lt;&gt;0,AX99&gt;=MAXSSDI),SSDI*MAXSSDI*P99,IF(AT99&lt;&gt;0,SSDI*W99,0))</f>
        <v>0</v>
      </c>
      <c r="BE99" s="462">
        <f>IF(AT99&lt;&gt;0,SSHI*W99,0)</f>
        <v>0</v>
      </c>
      <c r="BF99" s="462">
        <f>IF(AND(AT99&lt;&gt;0,AN99&lt;&gt;"NE"),VLOOKUP(AN99,Retirement_Rates,3,FALSE)*W99,0)</f>
        <v>0</v>
      </c>
      <c r="BG99" s="462">
        <f>IF(AND(AT99&lt;&gt;0,AJ99&lt;&gt;"PF"),Life*W99,0)</f>
        <v>0</v>
      </c>
      <c r="BH99" s="462">
        <f>IF(AND(AT99&lt;&gt;0,AM99="Y"),UI*W99,0)</f>
        <v>0</v>
      </c>
      <c r="BI99" s="462">
        <f>IF(AND(AT99&lt;&gt;0,N99&lt;&gt;"NR"),DHR*W99,0)</f>
        <v>0</v>
      </c>
      <c r="BJ99" s="462">
        <f>IF(AT99&lt;&gt;0,WC*W99,0)</f>
        <v>0</v>
      </c>
      <c r="BK99" s="462">
        <f>IF(OR(AND(AT99&lt;&gt;0,AJ99&lt;&gt;"PF",AN99&lt;&gt;"NE",AG99&lt;&gt;"A"),AND(AL99="E",OR(AT99=1,AT99=3))),Sick*W99,0)</f>
        <v>0</v>
      </c>
      <c r="BL99" s="462">
        <f t="shared" si="22"/>
        <v>0</v>
      </c>
      <c r="BM99" s="462">
        <f t="shared" si="23"/>
        <v>0</v>
      </c>
      <c r="BN99" s="462">
        <f>IF(AND(AT99=1,AK99="E",AU99&gt;=0.75,AW99=1),HealthBY,IF(AND(AT99=1,AK99="E",AU99&gt;=0.75),HealthBY*P99,IF(AND(AT99=1,AK99="E",AU99&gt;=0.5,AW99=1),PTHealthBY,IF(AND(AT99=1,AK99="E",AU99&gt;=0.5),PTHealthBY*P99,0))))</f>
        <v>0</v>
      </c>
      <c r="BO99" s="462">
        <f>IF(AND(AT99=3,AK99="E",AV99&gt;=0.75,AW99=1),HealthBY,IF(AND(AT99=3,AK99="E",AV99&gt;=0.75),HealthBY*P99,IF(AND(AT99=3,AK99="E",AV99&gt;=0.5,AW99=1),PTHealthBY,IF(AND(AT99=3,AK99="E",AV99&gt;=0.5),PTHealthBY*P99,0))))</f>
        <v>0</v>
      </c>
      <c r="BP99" s="462">
        <f>IF(AND(AT99&lt;&gt;0,(AX99+BA99)&gt;=MAXSSDIBY),SSDIBY*MAXSSDIBY*P99,IF(AT99&lt;&gt;0,SSDIBY*W99,0))</f>
        <v>0</v>
      </c>
      <c r="BQ99" s="462">
        <f>IF(AT99&lt;&gt;0,SSHIBY*W99,0)</f>
        <v>0</v>
      </c>
      <c r="BR99" s="462">
        <f>IF(AND(AT99&lt;&gt;0,AN99&lt;&gt;"NE"),VLOOKUP(AN99,Retirement_Rates,4,FALSE)*W99,0)</f>
        <v>0</v>
      </c>
      <c r="BS99" s="462">
        <f>IF(AND(AT99&lt;&gt;0,AJ99&lt;&gt;"PF"),LifeBY*W99,0)</f>
        <v>0</v>
      </c>
      <c r="BT99" s="462">
        <f>IF(AND(AT99&lt;&gt;0,AM99="Y"),UIBY*W99,0)</f>
        <v>0</v>
      </c>
      <c r="BU99" s="462">
        <f>IF(AND(AT99&lt;&gt;0,N99&lt;&gt;"NR"),DHRBY*W99,0)</f>
        <v>0</v>
      </c>
      <c r="BV99" s="462">
        <f>IF(AT99&lt;&gt;0,WCBY*W99,0)</f>
        <v>0</v>
      </c>
      <c r="BW99" s="462">
        <f>IF(OR(AND(AT99&lt;&gt;0,AJ99&lt;&gt;"PF",AN99&lt;&gt;"NE",AG99&lt;&gt;"A"),AND(AL99="E",OR(AT99=1,AT99=3))),SickBY*W99,0)</f>
        <v>0</v>
      </c>
      <c r="BX99" s="462">
        <f t="shared" si="24"/>
        <v>0</v>
      </c>
      <c r="BY99" s="462">
        <f t="shared" si="25"/>
        <v>0</v>
      </c>
      <c r="BZ99" s="462">
        <f t="shared" si="26"/>
        <v>0</v>
      </c>
      <c r="CA99" s="462">
        <f t="shared" si="27"/>
        <v>0</v>
      </c>
      <c r="CB99" s="462">
        <f t="shared" si="28"/>
        <v>0</v>
      </c>
      <c r="CC99" s="462">
        <f>IF(AT99&lt;&gt;0,SSHICHG*Y99,0)</f>
        <v>0</v>
      </c>
      <c r="CD99" s="462">
        <f>IF(AND(AT99&lt;&gt;0,AN99&lt;&gt;"NE"),VLOOKUP(AN99,Retirement_Rates,5,FALSE)*Y99,0)</f>
        <v>0</v>
      </c>
      <c r="CE99" s="462">
        <f>IF(AND(AT99&lt;&gt;0,AJ99&lt;&gt;"PF"),LifeCHG*Y99,0)</f>
        <v>0</v>
      </c>
      <c r="CF99" s="462">
        <f>IF(AND(AT99&lt;&gt;0,AM99="Y"),UICHG*Y99,0)</f>
        <v>0</v>
      </c>
      <c r="CG99" s="462">
        <f>IF(AND(AT99&lt;&gt;0,N99&lt;&gt;"NR"),DHRCHG*Y99,0)</f>
        <v>0</v>
      </c>
      <c r="CH99" s="462">
        <f>IF(AT99&lt;&gt;0,WCCHG*Y99,0)</f>
        <v>0</v>
      </c>
      <c r="CI99" s="462">
        <f>IF(OR(AND(AT99&lt;&gt;0,AJ99&lt;&gt;"PF",AN99&lt;&gt;"NE",AG99&lt;&gt;"A"),AND(AL99="E",OR(AT99=1,AT99=3))),SickCHG*Y99,0)</f>
        <v>0</v>
      </c>
      <c r="CJ99" s="462">
        <f t="shared" si="29"/>
        <v>0</v>
      </c>
      <c r="CK99" s="462" t="str">
        <f t="shared" si="30"/>
        <v/>
      </c>
      <c r="CL99" s="462" t="str">
        <f t="shared" si="31"/>
        <v/>
      </c>
      <c r="CM99" s="462" t="str">
        <f t="shared" si="32"/>
        <v/>
      </c>
      <c r="CN99" s="462" t="str">
        <f t="shared" si="33"/>
        <v>0001-00</v>
      </c>
    </row>
    <row r="100" spans="1:92" ht="15" thickBot="1" x14ac:dyDescent="0.35">
      <c r="A100" s="376" t="s">
        <v>161</v>
      </c>
      <c r="B100" s="376" t="s">
        <v>162</v>
      </c>
      <c r="C100" s="376" t="s">
        <v>442</v>
      </c>
      <c r="D100" s="376" t="s">
        <v>431</v>
      </c>
      <c r="E100" s="376" t="s">
        <v>165</v>
      </c>
      <c r="F100" s="377" t="s">
        <v>166</v>
      </c>
      <c r="G100" s="376" t="s">
        <v>432</v>
      </c>
      <c r="H100" s="378"/>
      <c r="I100" s="378"/>
      <c r="J100" s="376" t="s">
        <v>168</v>
      </c>
      <c r="K100" s="376" t="s">
        <v>433</v>
      </c>
      <c r="L100" s="376" t="s">
        <v>195</v>
      </c>
      <c r="M100" s="376" t="s">
        <v>171</v>
      </c>
      <c r="N100" s="376" t="s">
        <v>172</v>
      </c>
      <c r="O100" s="379">
        <v>1</v>
      </c>
      <c r="P100" s="460">
        <v>1</v>
      </c>
      <c r="Q100" s="460">
        <v>1</v>
      </c>
      <c r="R100" s="380">
        <v>80</v>
      </c>
      <c r="S100" s="460">
        <v>1</v>
      </c>
      <c r="T100" s="380">
        <v>55032.04</v>
      </c>
      <c r="U100" s="380">
        <v>0</v>
      </c>
      <c r="V100" s="380">
        <v>23940.95</v>
      </c>
      <c r="W100" s="380">
        <v>55286.400000000001</v>
      </c>
      <c r="X100" s="380">
        <v>24806.47</v>
      </c>
      <c r="Y100" s="380">
        <v>55286.400000000001</v>
      </c>
      <c r="Z100" s="380">
        <v>24966.799999999999</v>
      </c>
      <c r="AA100" s="376" t="s">
        <v>443</v>
      </c>
      <c r="AB100" s="376" t="s">
        <v>444</v>
      </c>
      <c r="AC100" s="376" t="s">
        <v>445</v>
      </c>
      <c r="AD100" s="376" t="s">
        <v>446</v>
      </c>
      <c r="AE100" s="376" t="s">
        <v>433</v>
      </c>
      <c r="AF100" s="376" t="s">
        <v>199</v>
      </c>
      <c r="AG100" s="376" t="s">
        <v>178</v>
      </c>
      <c r="AH100" s="381">
        <v>26.58</v>
      </c>
      <c r="AI100" s="381">
        <v>51002.6</v>
      </c>
      <c r="AJ100" s="376" t="s">
        <v>179</v>
      </c>
      <c r="AK100" s="376" t="s">
        <v>180</v>
      </c>
      <c r="AL100" s="376" t="s">
        <v>181</v>
      </c>
      <c r="AM100" s="376" t="s">
        <v>182</v>
      </c>
      <c r="AN100" s="376" t="s">
        <v>68</v>
      </c>
      <c r="AO100" s="379">
        <v>80</v>
      </c>
      <c r="AP100" s="460">
        <v>1</v>
      </c>
      <c r="AQ100" s="460">
        <v>1</v>
      </c>
      <c r="AR100" s="458" t="s">
        <v>183</v>
      </c>
      <c r="AS100" s="462">
        <f t="shared" si="17"/>
        <v>1</v>
      </c>
      <c r="AT100">
        <f t="shared" si="18"/>
        <v>1</v>
      </c>
      <c r="AU100" s="462">
        <f>IF(AT100=0,"",IF(AND(AT100=1,M100="F",SUMIF(C2:C391,C100,AS2:AS391)&lt;=1),SUMIF(C2:C391,C100,AS2:AS391),IF(AND(AT100=1,M100="F",SUMIF(C2:C391,C100,AS2:AS391)&gt;1),1,"")))</f>
        <v>1</v>
      </c>
      <c r="AV100" s="462" t="str">
        <f>IF(AT100=0,"",IF(AND(AT100=3,M100="F",SUMIF(C2:C391,C100,AS2:AS391)&lt;=1),SUMIF(C2:C391,C100,AS2:AS391),IF(AND(AT100=3,M100="F",SUMIF(C2:C391,C100,AS2:AS391)&gt;1),1,"")))</f>
        <v/>
      </c>
      <c r="AW100" s="462">
        <f>SUMIF(C2:C391,C100,O2:O391)</f>
        <v>1</v>
      </c>
      <c r="AX100" s="462">
        <f>IF(AND(M100="F",AS100&lt;&gt;0),SUMIF(C2:C391,C100,W2:W391),0)</f>
        <v>55286.400000000001</v>
      </c>
      <c r="AY100" s="462">
        <f t="shared" si="19"/>
        <v>55286.400000000001</v>
      </c>
      <c r="AZ100" s="462" t="str">
        <f t="shared" si="20"/>
        <v/>
      </c>
      <c r="BA100" s="462">
        <f t="shared" si="21"/>
        <v>0</v>
      </c>
      <c r="BB100" s="462">
        <f>IF(AND(AT100=1,AK100="E",AU100&gt;=0.75,AW100=1),Health,IF(AND(AT100=1,AK100="E",AU100&gt;=0.75),Health*P100,IF(AND(AT100=1,AK100="E",AU100&gt;=0.5,AW100=1),PTHealth,IF(AND(AT100=1,AK100="E",AU100&gt;=0.5),PTHealth*P100,0))))</f>
        <v>11650</v>
      </c>
      <c r="BC100" s="462">
        <f>IF(AND(AT100=3,AK100="E",AV100&gt;=0.75,AW100=1),Health,IF(AND(AT100=3,AK100="E",AV100&gt;=0.75),Health*P100,IF(AND(AT100=3,AK100="E",AV100&gt;=0.5,AW100=1),PTHealth,IF(AND(AT100=3,AK100="E",AV100&gt;=0.5),PTHealth*P100,0))))</f>
        <v>0</v>
      </c>
      <c r="BD100" s="462">
        <f>IF(AND(AT100&lt;&gt;0,AX100&gt;=MAXSSDI),SSDI*MAXSSDI*P100,IF(AT100&lt;&gt;0,SSDI*W100,0))</f>
        <v>3427.7568000000001</v>
      </c>
      <c r="BE100" s="462">
        <f>IF(AT100&lt;&gt;0,SSHI*W100,0)</f>
        <v>801.65280000000007</v>
      </c>
      <c r="BF100" s="462">
        <f>IF(AND(AT100&lt;&gt;0,AN100&lt;&gt;"NE"),VLOOKUP(AN100,Retirement_Rates,3,FALSE)*W100,0)</f>
        <v>6601.1961600000004</v>
      </c>
      <c r="BG100" s="462">
        <f>IF(AND(AT100&lt;&gt;0,AJ100&lt;&gt;"PF"),Life*W100,0)</f>
        <v>398.61494400000004</v>
      </c>
      <c r="BH100" s="462">
        <f>IF(AND(AT100&lt;&gt;0,AM100="Y"),UI*W100,0)</f>
        <v>270.90336000000002</v>
      </c>
      <c r="BI100" s="462">
        <f>IF(AND(AT100&lt;&gt;0,N100&lt;&gt;"NR"),DHR*W100,0)</f>
        <v>169.17638399999998</v>
      </c>
      <c r="BJ100" s="462">
        <f>IF(AT100&lt;&gt;0,WC*W100,0)</f>
        <v>1487.20416</v>
      </c>
      <c r="BK100" s="462">
        <f>IF(OR(AND(AT100&lt;&gt;0,AJ100&lt;&gt;"PF",AN100&lt;&gt;"NE",AG100&lt;&gt;"A"),AND(AL100="E",OR(AT100=1,AT100=3))),Sick*W100,0)</f>
        <v>0</v>
      </c>
      <c r="BL100" s="462">
        <f t="shared" si="22"/>
        <v>13156.504608000001</v>
      </c>
      <c r="BM100" s="462">
        <f t="shared" si="23"/>
        <v>0</v>
      </c>
      <c r="BN100" s="462">
        <f>IF(AND(AT100=1,AK100="E",AU100&gt;=0.75,AW100=1),HealthBY,IF(AND(AT100=1,AK100="E",AU100&gt;=0.75),HealthBY*P100,IF(AND(AT100=1,AK100="E",AU100&gt;=0.5,AW100=1),PTHealthBY,IF(AND(AT100=1,AK100="E",AU100&gt;=0.5),PTHealthBY*P100,0))))</f>
        <v>11650</v>
      </c>
      <c r="BO100" s="462">
        <f>IF(AND(AT100=3,AK100="E",AV100&gt;=0.75,AW100=1),HealthBY,IF(AND(AT100=3,AK100="E",AV100&gt;=0.75),HealthBY*P100,IF(AND(AT100=3,AK100="E",AV100&gt;=0.5,AW100=1),PTHealthBY,IF(AND(AT100=3,AK100="E",AV100&gt;=0.5),PTHealthBY*P100,0))))</f>
        <v>0</v>
      </c>
      <c r="BP100" s="462">
        <f>IF(AND(AT100&lt;&gt;0,(AX100+BA100)&gt;=MAXSSDIBY),SSDIBY*MAXSSDIBY*P100,IF(AT100&lt;&gt;0,SSDIBY*W100,0))</f>
        <v>3427.7568000000001</v>
      </c>
      <c r="BQ100" s="462">
        <f>IF(AT100&lt;&gt;0,SSHIBY*W100,0)</f>
        <v>801.65280000000007</v>
      </c>
      <c r="BR100" s="462">
        <f>IF(AND(AT100&lt;&gt;0,AN100&lt;&gt;"NE"),VLOOKUP(AN100,Retirement_Rates,4,FALSE)*W100,0)</f>
        <v>6601.1961600000004</v>
      </c>
      <c r="BS100" s="462">
        <f>IF(AND(AT100&lt;&gt;0,AJ100&lt;&gt;"PF"),LifeBY*W100,0)</f>
        <v>398.61494400000004</v>
      </c>
      <c r="BT100" s="462">
        <f>IF(AND(AT100&lt;&gt;0,AM100="Y"),UIBY*W100,0)</f>
        <v>0</v>
      </c>
      <c r="BU100" s="462">
        <f>IF(AND(AT100&lt;&gt;0,N100&lt;&gt;"NR"),DHRBY*W100,0)</f>
        <v>169.17638399999998</v>
      </c>
      <c r="BV100" s="462">
        <f>IF(AT100&lt;&gt;0,WCBY*W100,0)</f>
        <v>1918.4380800000001</v>
      </c>
      <c r="BW100" s="462">
        <f>IF(OR(AND(AT100&lt;&gt;0,AJ100&lt;&gt;"PF",AN100&lt;&gt;"NE",AG100&lt;&gt;"A"),AND(AL100="E",OR(AT100=1,AT100=3))),SickBY*W100,0)</f>
        <v>0</v>
      </c>
      <c r="BX100" s="462">
        <f t="shared" si="24"/>
        <v>13316.835168000001</v>
      </c>
      <c r="BY100" s="462">
        <f t="shared" si="25"/>
        <v>0</v>
      </c>
      <c r="BZ100" s="462">
        <f t="shared" si="26"/>
        <v>0</v>
      </c>
      <c r="CA100" s="462">
        <f t="shared" si="27"/>
        <v>0</v>
      </c>
      <c r="CB100" s="462">
        <f t="shared" si="28"/>
        <v>0</v>
      </c>
      <c r="CC100" s="462">
        <f>IF(AT100&lt;&gt;0,SSHICHG*Y100,0)</f>
        <v>0</v>
      </c>
      <c r="CD100" s="462">
        <f>IF(AND(AT100&lt;&gt;0,AN100&lt;&gt;"NE"),VLOOKUP(AN100,Retirement_Rates,5,FALSE)*Y100,0)</f>
        <v>0</v>
      </c>
      <c r="CE100" s="462">
        <f>IF(AND(AT100&lt;&gt;0,AJ100&lt;&gt;"PF"),LifeCHG*Y100,0)</f>
        <v>0</v>
      </c>
      <c r="CF100" s="462">
        <f>IF(AND(AT100&lt;&gt;0,AM100="Y"),UICHG*Y100,0)</f>
        <v>-270.90336000000002</v>
      </c>
      <c r="CG100" s="462">
        <f>IF(AND(AT100&lt;&gt;0,N100&lt;&gt;"NR"),DHRCHG*Y100,0)</f>
        <v>0</v>
      </c>
      <c r="CH100" s="462">
        <f>IF(AT100&lt;&gt;0,WCCHG*Y100,0)</f>
        <v>431.23392000000007</v>
      </c>
      <c r="CI100" s="462">
        <f>IF(OR(AND(AT100&lt;&gt;0,AJ100&lt;&gt;"PF",AN100&lt;&gt;"NE",AG100&lt;&gt;"A"),AND(AL100="E",OR(AT100=1,AT100=3))),SickCHG*Y100,0)</f>
        <v>0</v>
      </c>
      <c r="CJ100" s="462">
        <f t="shared" si="29"/>
        <v>160.33056000000005</v>
      </c>
      <c r="CK100" s="462" t="str">
        <f t="shared" si="30"/>
        <v/>
      </c>
      <c r="CL100" s="462" t="str">
        <f t="shared" si="31"/>
        <v/>
      </c>
      <c r="CM100" s="462" t="str">
        <f t="shared" si="32"/>
        <v/>
      </c>
      <c r="CN100" s="462" t="str">
        <f t="shared" si="33"/>
        <v>0001-00</v>
      </c>
    </row>
    <row r="101" spans="1:92" ht="15" thickBot="1" x14ac:dyDescent="0.35">
      <c r="A101" s="376" t="s">
        <v>161</v>
      </c>
      <c r="B101" s="376" t="s">
        <v>162</v>
      </c>
      <c r="C101" s="376" t="s">
        <v>447</v>
      </c>
      <c r="D101" s="376" t="s">
        <v>438</v>
      </c>
      <c r="E101" s="376" t="s">
        <v>165</v>
      </c>
      <c r="F101" s="377" t="s">
        <v>166</v>
      </c>
      <c r="G101" s="376" t="s">
        <v>432</v>
      </c>
      <c r="H101" s="378"/>
      <c r="I101" s="378"/>
      <c r="J101" s="376" t="s">
        <v>168</v>
      </c>
      <c r="K101" s="376" t="s">
        <v>439</v>
      </c>
      <c r="L101" s="376" t="s">
        <v>231</v>
      </c>
      <c r="M101" s="376" t="s">
        <v>171</v>
      </c>
      <c r="N101" s="376" t="s">
        <v>172</v>
      </c>
      <c r="O101" s="379">
        <v>1</v>
      </c>
      <c r="P101" s="460">
        <v>1</v>
      </c>
      <c r="Q101" s="460">
        <v>1</v>
      </c>
      <c r="R101" s="380">
        <v>80</v>
      </c>
      <c r="S101" s="460">
        <v>1</v>
      </c>
      <c r="T101" s="380">
        <v>43292.07</v>
      </c>
      <c r="U101" s="380">
        <v>0</v>
      </c>
      <c r="V101" s="380">
        <v>21616.46</v>
      </c>
      <c r="W101" s="380">
        <v>43472</v>
      </c>
      <c r="X101" s="380">
        <v>21995</v>
      </c>
      <c r="Y101" s="380">
        <v>43472</v>
      </c>
      <c r="Z101" s="380">
        <v>22121.07</v>
      </c>
      <c r="AA101" s="376" t="s">
        <v>448</v>
      </c>
      <c r="AB101" s="376" t="s">
        <v>449</v>
      </c>
      <c r="AC101" s="376" t="s">
        <v>450</v>
      </c>
      <c r="AD101" s="376" t="s">
        <v>176</v>
      </c>
      <c r="AE101" s="376" t="s">
        <v>439</v>
      </c>
      <c r="AF101" s="376" t="s">
        <v>236</v>
      </c>
      <c r="AG101" s="376" t="s">
        <v>178</v>
      </c>
      <c r="AH101" s="381">
        <v>20.9</v>
      </c>
      <c r="AI101" s="381">
        <v>10301.299999999999</v>
      </c>
      <c r="AJ101" s="376" t="s">
        <v>179</v>
      </c>
      <c r="AK101" s="376" t="s">
        <v>180</v>
      </c>
      <c r="AL101" s="376" t="s">
        <v>181</v>
      </c>
      <c r="AM101" s="376" t="s">
        <v>182</v>
      </c>
      <c r="AN101" s="376" t="s">
        <v>68</v>
      </c>
      <c r="AO101" s="379">
        <v>80</v>
      </c>
      <c r="AP101" s="460">
        <v>1</v>
      </c>
      <c r="AQ101" s="460">
        <v>1</v>
      </c>
      <c r="AR101" s="458" t="s">
        <v>183</v>
      </c>
      <c r="AS101" s="462">
        <f t="shared" si="17"/>
        <v>1</v>
      </c>
      <c r="AT101">
        <f t="shared" si="18"/>
        <v>1</v>
      </c>
      <c r="AU101" s="462">
        <f>IF(AT101=0,"",IF(AND(AT101=1,M101="F",SUMIF(C2:C391,C101,AS2:AS391)&lt;=1),SUMIF(C2:C391,C101,AS2:AS391),IF(AND(AT101=1,M101="F",SUMIF(C2:C391,C101,AS2:AS391)&gt;1),1,"")))</f>
        <v>1</v>
      </c>
      <c r="AV101" s="462" t="str">
        <f>IF(AT101=0,"",IF(AND(AT101=3,M101="F",SUMIF(C2:C391,C101,AS2:AS391)&lt;=1),SUMIF(C2:C391,C101,AS2:AS391),IF(AND(AT101=3,M101="F",SUMIF(C2:C391,C101,AS2:AS391)&gt;1),1,"")))</f>
        <v/>
      </c>
      <c r="AW101" s="462">
        <f>SUMIF(C2:C391,C101,O2:O391)</f>
        <v>1</v>
      </c>
      <c r="AX101" s="462">
        <f>IF(AND(M101="F",AS101&lt;&gt;0),SUMIF(C2:C391,C101,W2:W391),0)</f>
        <v>43472</v>
      </c>
      <c r="AY101" s="462">
        <f t="shared" si="19"/>
        <v>43472</v>
      </c>
      <c r="AZ101" s="462" t="str">
        <f t="shared" si="20"/>
        <v/>
      </c>
      <c r="BA101" s="462">
        <f t="shared" si="21"/>
        <v>0</v>
      </c>
      <c r="BB101" s="462">
        <f>IF(AND(AT101=1,AK101="E",AU101&gt;=0.75,AW101=1),Health,IF(AND(AT101=1,AK101="E",AU101&gt;=0.75),Health*P101,IF(AND(AT101=1,AK101="E",AU101&gt;=0.5,AW101=1),PTHealth,IF(AND(AT101=1,AK101="E",AU101&gt;=0.5),PTHealth*P101,0))))</f>
        <v>11650</v>
      </c>
      <c r="BC101" s="462">
        <f>IF(AND(AT101=3,AK101="E",AV101&gt;=0.75,AW101=1),Health,IF(AND(AT101=3,AK101="E",AV101&gt;=0.75),Health*P101,IF(AND(AT101=3,AK101="E",AV101&gt;=0.5,AW101=1),PTHealth,IF(AND(AT101=3,AK101="E",AV101&gt;=0.5),PTHealth*P101,0))))</f>
        <v>0</v>
      </c>
      <c r="BD101" s="462">
        <f>IF(AND(AT101&lt;&gt;0,AX101&gt;=MAXSSDI),SSDI*MAXSSDI*P101,IF(AT101&lt;&gt;0,SSDI*W101,0))</f>
        <v>2695.2640000000001</v>
      </c>
      <c r="BE101" s="462">
        <f>IF(AT101&lt;&gt;0,SSHI*W101,0)</f>
        <v>630.34400000000005</v>
      </c>
      <c r="BF101" s="462">
        <f>IF(AND(AT101&lt;&gt;0,AN101&lt;&gt;"NE"),VLOOKUP(AN101,Retirement_Rates,3,FALSE)*W101,0)</f>
        <v>5190.5568000000003</v>
      </c>
      <c r="BG101" s="462">
        <f>IF(AND(AT101&lt;&gt;0,AJ101&lt;&gt;"PF"),Life*W101,0)</f>
        <v>313.43312000000003</v>
      </c>
      <c r="BH101" s="462">
        <f>IF(AND(AT101&lt;&gt;0,AM101="Y"),UI*W101,0)</f>
        <v>213.0128</v>
      </c>
      <c r="BI101" s="462">
        <f>IF(AND(AT101&lt;&gt;0,N101&lt;&gt;"NR"),DHR*W101,0)</f>
        <v>133.02431999999999</v>
      </c>
      <c r="BJ101" s="462">
        <f>IF(AT101&lt;&gt;0,WC*W101,0)</f>
        <v>1169.3968</v>
      </c>
      <c r="BK101" s="462">
        <f>IF(OR(AND(AT101&lt;&gt;0,AJ101&lt;&gt;"PF",AN101&lt;&gt;"NE",AG101&lt;&gt;"A"),AND(AL101="E",OR(AT101=1,AT101=3))),Sick*W101,0)</f>
        <v>0</v>
      </c>
      <c r="BL101" s="462">
        <f t="shared" si="22"/>
        <v>10345.031840000001</v>
      </c>
      <c r="BM101" s="462">
        <f t="shared" si="23"/>
        <v>0</v>
      </c>
      <c r="BN101" s="462">
        <f>IF(AND(AT101=1,AK101="E",AU101&gt;=0.75,AW101=1),HealthBY,IF(AND(AT101=1,AK101="E",AU101&gt;=0.75),HealthBY*P101,IF(AND(AT101=1,AK101="E",AU101&gt;=0.5,AW101=1),PTHealthBY,IF(AND(AT101=1,AK101="E",AU101&gt;=0.5),PTHealthBY*P101,0))))</f>
        <v>11650</v>
      </c>
      <c r="BO101" s="462">
        <f>IF(AND(AT101=3,AK101="E",AV101&gt;=0.75,AW101=1),HealthBY,IF(AND(AT101=3,AK101="E",AV101&gt;=0.75),HealthBY*P101,IF(AND(AT101=3,AK101="E",AV101&gt;=0.5,AW101=1),PTHealthBY,IF(AND(AT101=3,AK101="E",AV101&gt;=0.5),PTHealthBY*P101,0))))</f>
        <v>0</v>
      </c>
      <c r="BP101" s="462">
        <f>IF(AND(AT101&lt;&gt;0,(AX101+BA101)&gt;=MAXSSDIBY),SSDIBY*MAXSSDIBY*P101,IF(AT101&lt;&gt;0,SSDIBY*W101,0))</f>
        <v>2695.2640000000001</v>
      </c>
      <c r="BQ101" s="462">
        <f>IF(AT101&lt;&gt;0,SSHIBY*W101,0)</f>
        <v>630.34400000000005</v>
      </c>
      <c r="BR101" s="462">
        <f>IF(AND(AT101&lt;&gt;0,AN101&lt;&gt;"NE"),VLOOKUP(AN101,Retirement_Rates,4,FALSE)*W101,0)</f>
        <v>5190.5568000000003</v>
      </c>
      <c r="BS101" s="462">
        <f>IF(AND(AT101&lt;&gt;0,AJ101&lt;&gt;"PF"),LifeBY*W101,0)</f>
        <v>313.43312000000003</v>
      </c>
      <c r="BT101" s="462">
        <f>IF(AND(AT101&lt;&gt;0,AM101="Y"),UIBY*W101,0)</f>
        <v>0</v>
      </c>
      <c r="BU101" s="462">
        <f>IF(AND(AT101&lt;&gt;0,N101&lt;&gt;"NR"),DHRBY*W101,0)</f>
        <v>133.02431999999999</v>
      </c>
      <c r="BV101" s="462">
        <f>IF(AT101&lt;&gt;0,WCBY*W101,0)</f>
        <v>1508.4784</v>
      </c>
      <c r="BW101" s="462">
        <f>IF(OR(AND(AT101&lt;&gt;0,AJ101&lt;&gt;"PF",AN101&lt;&gt;"NE",AG101&lt;&gt;"A"),AND(AL101="E",OR(AT101=1,AT101=3))),SickBY*W101,0)</f>
        <v>0</v>
      </c>
      <c r="BX101" s="462">
        <f t="shared" si="24"/>
        <v>10471.100640000001</v>
      </c>
      <c r="BY101" s="462">
        <f t="shared" si="25"/>
        <v>0</v>
      </c>
      <c r="BZ101" s="462">
        <f t="shared" si="26"/>
        <v>0</v>
      </c>
      <c r="CA101" s="462">
        <f t="shared" si="27"/>
        <v>0</v>
      </c>
      <c r="CB101" s="462">
        <f t="shared" si="28"/>
        <v>0</v>
      </c>
      <c r="CC101" s="462">
        <f>IF(AT101&lt;&gt;0,SSHICHG*Y101,0)</f>
        <v>0</v>
      </c>
      <c r="CD101" s="462">
        <f>IF(AND(AT101&lt;&gt;0,AN101&lt;&gt;"NE"),VLOOKUP(AN101,Retirement_Rates,5,FALSE)*Y101,0)</f>
        <v>0</v>
      </c>
      <c r="CE101" s="462">
        <f>IF(AND(AT101&lt;&gt;0,AJ101&lt;&gt;"PF"),LifeCHG*Y101,0)</f>
        <v>0</v>
      </c>
      <c r="CF101" s="462">
        <f>IF(AND(AT101&lt;&gt;0,AM101="Y"),UICHG*Y101,0)</f>
        <v>-213.0128</v>
      </c>
      <c r="CG101" s="462">
        <f>IF(AND(AT101&lt;&gt;0,N101&lt;&gt;"NR"),DHRCHG*Y101,0)</f>
        <v>0</v>
      </c>
      <c r="CH101" s="462">
        <f>IF(AT101&lt;&gt;0,WCCHG*Y101,0)</f>
        <v>339.08160000000004</v>
      </c>
      <c r="CI101" s="462">
        <f>IF(OR(AND(AT101&lt;&gt;0,AJ101&lt;&gt;"PF",AN101&lt;&gt;"NE",AG101&lt;&gt;"A"),AND(AL101="E",OR(AT101=1,AT101=3))),SickCHG*Y101,0)</f>
        <v>0</v>
      </c>
      <c r="CJ101" s="462">
        <f t="shared" si="29"/>
        <v>126.06880000000004</v>
      </c>
      <c r="CK101" s="462" t="str">
        <f t="shared" si="30"/>
        <v/>
      </c>
      <c r="CL101" s="462" t="str">
        <f t="shared" si="31"/>
        <v/>
      </c>
      <c r="CM101" s="462" t="str">
        <f t="shared" si="32"/>
        <v/>
      </c>
      <c r="CN101" s="462" t="str">
        <f t="shared" si="33"/>
        <v>0001-00</v>
      </c>
    </row>
    <row r="102" spans="1:92" ht="15" thickBot="1" x14ac:dyDescent="0.35">
      <c r="A102" s="376" t="s">
        <v>161</v>
      </c>
      <c r="B102" s="376" t="s">
        <v>162</v>
      </c>
      <c r="C102" s="376" t="s">
        <v>451</v>
      </c>
      <c r="D102" s="376" t="s">
        <v>221</v>
      </c>
      <c r="E102" s="376" t="s">
        <v>165</v>
      </c>
      <c r="F102" s="377" t="s">
        <v>166</v>
      </c>
      <c r="G102" s="376" t="s">
        <v>432</v>
      </c>
      <c r="H102" s="378"/>
      <c r="I102" s="378"/>
      <c r="J102" s="376" t="s">
        <v>168</v>
      </c>
      <c r="K102" s="376" t="s">
        <v>222</v>
      </c>
      <c r="L102" s="376" t="s">
        <v>166</v>
      </c>
      <c r="M102" s="376" t="s">
        <v>225</v>
      </c>
      <c r="N102" s="376" t="s">
        <v>223</v>
      </c>
      <c r="O102" s="379">
        <v>0</v>
      </c>
      <c r="P102" s="460">
        <v>1</v>
      </c>
      <c r="Q102" s="460">
        <v>0</v>
      </c>
      <c r="R102" s="380">
        <v>0</v>
      </c>
      <c r="S102" s="460">
        <v>0</v>
      </c>
      <c r="T102" s="380">
        <v>0</v>
      </c>
      <c r="U102" s="380">
        <v>0</v>
      </c>
      <c r="V102" s="380">
        <v>0</v>
      </c>
      <c r="W102" s="380">
        <v>0</v>
      </c>
      <c r="X102" s="380">
        <v>0</v>
      </c>
      <c r="Y102" s="380">
        <v>0</v>
      </c>
      <c r="Z102" s="380">
        <v>0</v>
      </c>
      <c r="AA102" s="378"/>
      <c r="AB102" s="376" t="s">
        <v>45</v>
      </c>
      <c r="AC102" s="376" t="s">
        <v>45</v>
      </c>
      <c r="AD102" s="378"/>
      <c r="AE102" s="378"/>
      <c r="AF102" s="378"/>
      <c r="AG102" s="378"/>
      <c r="AH102" s="379">
        <v>0</v>
      </c>
      <c r="AI102" s="379">
        <v>0</v>
      </c>
      <c r="AJ102" s="378"/>
      <c r="AK102" s="378"/>
      <c r="AL102" s="376" t="s">
        <v>181</v>
      </c>
      <c r="AM102" s="378"/>
      <c r="AN102" s="378"/>
      <c r="AO102" s="379">
        <v>0</v>
      </c>
      <c r="AP102" s="460">
        <v>0</v>
      </c>
      <c r="AQ102" s="460">
        <v>0</v>
      </c>
      <c r="AR102" s="459"/>
      <c r="AS102" s="462">
        <f t="shared" si="17"/>
        <v>0</v>
      </c>
      <c r="AT102">
        <f t="shared" si="18"/>
        <v>0</v>
      </c>
      <c r="AU102" s="462" t="str">
        <f>IF(AT102=0,"",IF(AND(AT102=1,M102="F",SUMIF(C2:C391,C102,AS2:AS391)&lt;=1),SUMIF(C2:C391,C102,AS2:AS391),IF(AND(AT102=1,M102="F",SUMIF(C2:C391,C102,AS2:AS391)&gt;1),1,"")))</f>
        <v/>
      </c>
      <c r="AV102" s="462" t="str">
        <f>IF(AT102=0,"",IF(AND(AT102=3,M102="F",SUMIF(C2:C391,C102,AS2:AS391)&lt;=1),SUMIF(C2:C391,C102,AS2:AS391),IF(AND(AT102=3,M102="F",SUMIF(C2:C391,C102,AS2:AS391)&gt;1),1,"")))</f>
        <v/>
      </c>
      <c r="AW102" s="462">
        <f>SUMIF(C2:C391,C102,O2:O391)</f>
        <v>0</v>
      </c>
      <c r="AX102" s="462">
        <f>IF(AND(M102="F",AS102&lt;&gt;0),SUMIF(C2:C391,C102,W2:W391),0)</f>
        <v>0</v>
      </c>
      <c r="AY102" s="462" t="str">
        <f t="shared" si="19"/>
        <v/>
      </c>
      <c r="AZ102" s="462" t="str">
        <f t="shared" si="20"/>
        <v/>
      </c>
      <c r="BA102" s="462">
        <f t="shared" si="21"/>
        <v>0</v>
      </c>
      <c r="BB102" s="462">
        <f>IF(AND(AT102=1,AK102="E",AU102&gt;=0.75,AW102=1),Health,IF(AND(AT102=1,AK102="E",AU102&gt;=0.75),Health*P102,IF(AND(AT102=1,AK102="E",AU102&gt;=0.5,AW102=1),PTHealth,IF(AND(AT102=1,AK102="E",AU102&gt;=0.5),PTHealth*P102,0))))</f>
        <v>0</v>
      </c>
      <c r="BC102" s="462">
        <f>IF(AND(AT102=3,AK102="E",AV102&gt;=0.75,AW102=1),Health,IF(AND(AT102=3,AK102="E",AV102&gt;=0.75),Health*P102,IF(AND(AT102=3,AK102="E",AV102&gt;=0.5,AW102=1),PTHealth,IF(AND(AT102=3,AK102="E",AV102&gt;=0.5),PTHealth*P102,0))))</f>
        <v>0</v>
      </c>
      <c r="BD102" s="462">
        <f>IF(AND(AT102&lt;&gt;0,AX102&gt;=MAXSSDI),SSDI*MAXSSDI*P102,IF(AT102&lt;&gt;0,SSDI*W102,0))</f>
        <v>0</v>
      </c>
      <c r="BE102" s="462">
        <f>IF(AT102&lt;&gt;0,SSHI*W102,0)</f>
        <v>0</v>
      </c>
      <c r="BF102" s="462">
        <f>IF(AND(AT102&lt;&gt;0,AN102&lt;&gt;"NE"),VLOOKUP(AN102,Retirement_Rates,3,FALSE)*W102,0)</f>
        <v>0</v>
      </c>
      <c r="BG102" s="462">
        <f>IF(AND(AT102&lt;&gt;0,AJ102&lt;&gt;"PF"),Life*W102,0)</f>
        <v>0</v>
      </c>
      <c r="BH102" s="462">
        <f>IF(AND(AT102&lt;&gt;0,AM102="Y"),UI*W102,0)</f>
        <v>0</v>
      </c>
      <c r="BI102" s="462">
        <f>IF(AND(AT102&lt;&gt;0,N102&lt;&gt;"NR"),DHR*W102,0)</f>
        <v>0</v>
      </c>
      <c r="BJ102" s="462">
        <f>IF(AT102&lt;&gt;0,WC*W102,0)</f>
        <v>0</v>
      </c>
      <c r="BK102" s="462">
        <f>IF(OR(AND(AT102&lt;&gt;0,AJ102&lt;&gt;"PF",AN102&lt;&gt;"NE",AG102&lt;&gt;"A"),AND(AL102="E",OR(AT102=1,AT102=3))),Sick*W102,0)</f>
        <v>0</v>
      </c>
      <c r="BL102" s="462">
        <f t="shared" si="22"/>
        <v>0</v>
      </c>
      <c r="BM102" s="462">
        <f t="shared" si="23"/>
        <v>0</v>
      </c>
      <c r="BN102" s="462">
        <f>IF(AND(AT102=1,AK102="E",AU102&gt;=0.75,AW102=1),HealthBY,IF(AND(AT102=1,AK102="E",AU102&gt;=0.75),HealthBY*P102,IF(AND(AT102=1,AK102="E",AU102&gt;=0.5,AW102=1),PTHealthBY,IF(AND(AT102=1,AK102="E",AU102&gt;=0.5),PTHealthBY*P102,0))))</f>
        <v>0</v>
      </c>
      <c r="BO102" s="462">
        <f>IF(AND(AT102=3,AK102="E",AV102&gt;=0.75,AW102=1),HealthBY,IF(AND(AT102=3,AK102="E",AV102&gt;=0.75),HealthBY*P102,IF(AND(AT102=3,AK102="E",AV102&gt;=0.5,AW102=1),PTHealthBY,IF(AND(AT102=3,AK102="E",AV102&gt;=0.5),PTHealthBY*P102,0))))</f>
        <v>0</v>
      </c>
      <c r="BP102" s="462">
        <f>IF(AND(AT102&lt;&gt;0,(AX102+BA102)&gt;=MAXSSDIBY),SSDIBY*MAXSSDIBY*P102,IF(AT102&lt;&gt;0,SSDIBY*W102,0))</f>
        <v>0</v>
      </c>
      <c r="BQ102" s="462">
        <f>IF(AT102&lt;&gt;0,SSHIBY*W102,0)</f>
        <v>0</v>
      </c>
      <c r="BR102" s="462">
        <f>IF(AND(AT102&lt;&gt;0,AN102&lt;&gt;"NE"),VLOOKUP(AN102,Retirement_Rates,4,FALSE)*W102,0)</f>
        <v>0</v>
      </c>
      <c r="BS102" s="462">
        <f>IF(AND(AT102&lt;&gt;0,AJ102&lt;&gt;"PF"),LifeBY*W102,0)</f>
        <v>0</v>
      </c>
      <c r="BT102" s="462">
        <f>IF(AND(AT102&lt;&gt;0,AM102="Y"),UIBY*W102,0)</f>
        <v>0</v>
      </c>
      <c r="BU102" s="462">
        <f>IF(AND(AT102&lt;&gt;0,N102&lt;&gt;"NR"),DHRBY*W102,0)</f>
        <v>0</v>
      </c>
      <c r="BV102" s="462">
        <f>IF(AT102&lt;&gt;0,WCBY*W102,0)</f>
        <v>0</v>
      </c>
      <c r="BW102" s="462">
        <f>IF(OR(AND(AT102&lt;&gt;0,AJ102&lt;&gt;"PF",AN102&lt;&gt;"NE",AG102&lt;&gt;"A"),AND(AL102="E",OR(AT102=1,AT102=3))),SickBY*W102,0)</f>
        <v>0</v>
      </c>
      <c r="BX102" s="462">
        <f t="shared" si="24"/>
        <v>0</v>
      </c>
      <c r="BY102" s="462">
        <f t="shared" si="25"/>
        <v>0</v>
      </c>
      <c r="BZ102" s="462">
        <f t="shared" si="26"/>
        <v>0</v>
      </c>
      <c r="CA102" s="462">
        <f t="shared" si="27"/>
        <v>0</v>
      </c>
      <c r="CB102" s="462">
        <f t="shared" si="28"/>
        <v>0</v>
      </c>
      <c r="CC102" s="462">
        <f>IF(AT102&lt;&gt;0,SSHICHG*Y102,0)</f>
        <v>0</v>
      </c>
      <c r="CD102" s="462">
        <f>IF(AND(AT102&lt;&gt;0,AN102&lt;&gt;"NE"),VLOOKUP(AN102,Retirement_Rates,5,FALSE)*Y102,0)</f>
        <v>0</v>
      </c>
      <c r="CE102" s="462">
        <f>IF(AND(AT102&lt;&gt;0,AJ102&lt;&gt;"PF"),LifeCHG*Y102,0)</f>
        <v>0</v>
      </c>
      <c r="CF102" s="462">
        <f>IF(AND(AT102&lt;&gt;0,AM102="Y"),UICHG*Y102,0)</f>
        <v>0</v>
      </c>
      <c r="CG102" s="462">
        <f>IF(AND(AT102&lt;&gt;0,N102&lt;&gt;"NR"),DHRCHG*Y102,0)</f>
        <v>0</v>
      </c>
      <c r="CH102" s="462">
        <f>IF(AT102&lt;&gt;0,WCCHG*Y102,0)</f>
        <v>0</v>
      </c>
      <c r="CI102" s="462">
        <f>IF(OR(AND(AT102&lt;&gt;0,AJ102&lt;&gt;"PF",AN102&lt;&gt;"NE",AG102&lt;&gt;"A"),AND(AL102="E",OR(AT102=1,AT102=3))),SickCHG*Y102,0)</f>
        <v>0</v>
      </c>
      <c r="CJ102" s="462">
        <f t="shared" si="29"/>
        <v>0</v>
      </c>
      <c r="CK102" s="462" t="str">
        <f t="shared" si="30"/>
        <v/>
      </c>
      <c r="CL102" s="462">
        <f t="shared" si="31"/>
        <v>0</v>
      </c>
      <c r="CM102" s="462">
        <f t="shared" si="32"/>
        <v>0</v>
      </c>
      <c r="CN102" s="462" t="str">
        <f t="shared" si="33"/>
        <v>0001-00</v>
      </c>
    </row>
    <row r="103" spans="1:92" ht="15" thickBot="1" x14ac:dyDescent="0.35">
      <c r="A103" s="376" t="s">
        <v>161</v>
      </c>
      <c r="B103" s="376" t="s">
        <v>162</v>
      </c>
      <c r="C103" s="376" t="s">
        <v>452</v>
      </c>
      <c r="D103" s="376" t="s">
        <v>453</v>
      </c>
      <c r="E103" s="376" t="s">
        <v>165</v>
      </c>
      <c r="F103" s="377" t="s">
        <v>166</v>
      </c>
      <c r="G103" s="376" t="s">
        <v>432</v>
      </c>
      <c r="H103" s="378"/>
      <c r="I103" s="378"/>
      <c r="J103" s="376" t="s">
        <v>168</v>
      </c>
      <c r="K103" s="376" t="s">
        <v>454</v>
      </c>
      <c r="L103" s="376" t="s">
        <v>170</v>
      </c>
      <c r="M103" s="376" t="s">
        <v>171</v>
      </c>
      <c r="N103" s="376" t="s">
        <v>172</v>
      </c>
      <c r="O103" s="379">
        <v>1</v>
      </c>
      <c r="P103" s="460">
        <v>1</v>
      </c>
      <c r="Q103" s="460">
        <v>1</v>
      </c>
      <c r="R103" s="380">
        <v>80</v>
      </c>
      <c r="S103" s="460">
        <v>1</v>
      </c>
      <c r="T103" s="380">
        <v>62434.91</v>
      </c>
      <c r="U103" s="380">
        <v>0</v>
      </c>
      <c r="V103" s="380">
        <v>25404.37</v>
      </c>
      <c r="W103" s="380">
        <v>62920</v>
      </c>
      <c r="X103" s="380">
        <v>26623.040000000001</v>
      </c>
      <c r="Y103" s="380">
        <v>62920</v>
      </c>
      <c r="Z103" s="380">
        <v>26805.52</v>
      </c>
      <c r="AA103" s="376" t="s">
        <v>455</v>
      </c>
      <c r="AB103" s="376" t="s">
        <v>456</v>
      </c>
      <c r="AC103" s="376" t="s">
        <v>457</v>
      </c>
      <c r="AD103" s="376" t="s">
        <v>458</v>
      </c>
      <c r="AE103" s="376" t="s">
        <v>454</v>
      </c>
      <c r="AF103" s="376" t="s">
        <v>177</v>
      </c>
      <c r="AG103" s="376" t="s">
        <v>178</v>
      </c>
      <c r="AH103" s="381">
        <v>30.25</v>
      </c>
      <c r="AI103" s="381">
        <v>64837.5</v>
      </c>
      <c r="AJ103" s="376" t="s">
        <v>179</v>
      </c>
      <c r="AK103" s="376" t="s">
        <v>180</v>
      </c>
      <c r="AL103" s="376" t="s">
        <v>181</v>
      </c>
      <c r="AM103" s="376" t="s">
        <v>182</v>
      </c>
      <c r="AN103" s="376" t="s">
        <v>68</v>
      </c>
      <c r="AO103" s="379">
        <v>80</v>
      </c>
      <c r="AP103" s="460">
        <v>1</v>
      </c>
      <c r="AQ103" s="460">
        <v>1</v>
      </c>
      <c r="AR103" s="458" t="s">
        <v>183</v>
      </c>
      <c r="AS103" s="462">
        <f t="shared" si="17"/>
        <v>1</v>
      </c>
      <c r="AT103">
        <f t="shared" si="18"/>
        <v>1</v>
      </c>
      <c r="AU103" s="462">
        <f>IF(AT103=0,"",IF(AND(AT103=1,M103="F",SUMIF(C2:C391,C103,AS2:AS391)&lt;=1),SUMIF(C2:C391,C103,AS2:AS391),IF(AND(AT103=1,M103="F",SUMIF(C2:C391,C103,AS2:AS391)&gt;1),1,"")))</f>
        <v>1</v>
      </c>
      <c r="AV103" s="462" t="str">
        <f>IF(AT103=0,"",IF(AND(AT103=3,M103="F",SUMIF(C2:C391,C103,AS2:AS391)&lt;=1),SUMIF(C2:C391,C103,AS2:AS391),IF(AND(AT103=3,M103="F",SUMIF(C2:C391,C103,AS2:AS391)&gt;1),1,"")))</f>
        <v/>
      </c>
      <c r="AW103" s="462">
        <f>SUMIF(C2:C391,C103,O2:O391)</f>
        <v>1</v>
      </c>
      <c r="AX103" s="462">
        <f>IF(AND(M103="F",AS103&lt;&gt;0),SUMIF(C2:C391,C103,W2:W391),0)</f>
        <v>62920</v>
      </c>
      <c r="AY103" s="462">
        <f t="shared" si="19"/>
        <v>62920</v>
      </c>
      <c r="AZ103" s="462" t="str">
        <f t="shared" si="20"/>
        <v/>
      </c>
      <c r="BA103" s="462">
        <f t="shared" si="21"/>
        <v>0</v>
      </c>
      <c r="BB103" s="462">
        <f>IF(AND(AT103=1,AK103="E",AU103&gt;=0.75,AW103=1),Health,IF(AND(AT103=1,AK103="E",AU103&gt;=0.75),Health*P103,IF(AND(AT103=1,AK103="E",AU103&gt;=0.5,AW103=1),PTHealth,IF(AND(AT103=1,AK103="E",AU103&gt;=0.5),PTHealth*P103,0))))</f>
        <v>11650</v>
      </c>
      <c r="BC103" s="462">
        <f>IF(AND(AT103=3,AK103="E",AV103&gt;=0.75,AW103=1),Health,IF(AND(AT103=3,AK103="E",AV103&gt;=0.75),Health*P103,IF(AND(AT103=3,AK103="E",AV103&gt;=0.5,AW103=1),PTHealth,IF(AND(AT103=3,AK103="E",AV103&gt;=0.5),PTHealth*P103,0))))</f>
        <v>0</v>
      </c>
      <c r="BD103" s="462">
        <f>IF(AND(AT103&lt;&gt;0,AX103&gt;=MAXSSDI),SSDI*MAXSSDI*P103,IF(AT103&lt;&gt;0,SSDI*W103,0))</f>
        <v>3901.04</v>
      </c>
      <c r="BE103" s="462">
        <f>IF(AT103&lt;&gt;0,SSHI*W103,0)</f>
        <v>912.34</v>
      </c>
      <c r="BF103" s="462">
        <f>IF(AND(AT103&lt;&gt;0,AN103&lt;&gt;"NE"),VLOOKUP(AN103,Retirement_Rates,3,FALSE)*W103,0)</f>
        <v>7512.6480000000001</v>
      </c>
      <c r="BG103" s="462">
        <f>IF(AND(AT103&lt;&gt;0,AJ103&lt;&gt;"PF"),Life*W103,0)</f>
        <v>453.65320000000003</v>
      </c>
      <c r="BH103" s="462">
        <f>IF(AND(AT103&lt;&gt;0,AM103="Y"),UI*W103,0)</f>
        <v>308.30799999999999</v>
      </c>
      <c r="BI103" s="462">
        <f>IF(AND(AT103&lt;&gt;0,N103&lt;&gt;"NR"),DHR*W103,0)</f>
        <v>192.53519999999997</v>
      </c>
      <c r="BJ103" s="462">
        <f>IF(AT103&lt;&gt;0,WC*W103,0)</f>
        <v>1692.548</v>
      </c>
      <c r="BK103" s="462">
        <f>IF(OR(AND(AT103&lt;&gt;0,AJ103&lt;&gt;"PF",AN103&lt;&gt;"NE",AG103&lt;&gt;"A"),AND(AL103="E",OR(AT103=1,AT103=3))),Sick*W103,0)</f>
        <v>0</v>
      </c>
      <c r="BL103" s="462">
        <f t="shared" si="22"/>
        <v>14973.072400000001</v>
      </c>
      <c r="BM103" s="462">
        <f t="shared" si="23"/>
        <v>0</v>
      </c>
      <c r="BN103" s="462">
        <f>IF(AND(AT103=1,AK103="E",AU103&gt;=0.75,AW103=1),HealthBY,IF(AND(AT103=1,AK103="E",AU103&gt;=0.75),HealthBY*P103,IF(AND(AT103=1,AK103="E",AU103&gt;=0.5,AW103=1),PTHealthBY,IF(AND(AT103=1,AK103="E",AU103&gt;=0.5),PTHealthBY*P103,0))))</f>
        <v>11650</v>
      </c>
      <c r="BO103" s="462">
        <f>IF(AND(AT103=3,AK103="E",AV103&gt;=0.75,AW103=1),HealthBY,IF(AND(AT103=3,AK103="E",AV103&gt;=0.75),HealthBY*P103,IF(AND(AT103=3,AK103="E",AV103&gt;=0.5,AW103=1),PTHealthBY,IF(AND(AT103=3,AK103="E",AV103&gt;=0.5),PTHealthBY*P103,0))))</f>
        <v>0</v>
      </c>
      <c r="BP103" s="462">
        <f>IF(AND(AT103&lt;&gt;0,(AX103+BA103)&gt;=MAXSSDIBY),SSDIBY*MAXSSDIBY*P103,IF(AT103&lt;&gt;0,SSDIBY*W103,0))</f>
        <v>3901.04</v>
      </c>
      <c r="BQ103" s="462">
        <f>IF(AT103&lt;&gt;0,SSHIBY*W103,0)</f>
        <v>912.34</v>
      </c>
      <c r="BR103" s="462">
        <f>IF(AND(AT103&lt;&gt;0,AN103&lt;&gt;"NE"),VLOOKUP(AN103,Retirement_Rates,4,FALSE)*W103,0)</f>
        <v>7512.6480000000001</v>
      </c>
      <c r="BS103" s="462">
        <f>IF(AND(AT103&lt;&gt;0,AJ103&lt;&gt;"PF"),LifeBY*W103,0)</f>
        <v>453.65320000000003</v>
      </c>
      <c r="BT103" s="462">
        <f>IF(AND(AT103&lt;&gt;0,AM103="Y"),UIBY*W103,0)</f>
        <v>0</v>
      </c>
      <c r="BU103" s="462">
        <f>IF(AND(AT103&lt;&gt;0,N103&lt;&gt;"NR"),DHRBY*W103,0)</f>
        <v>192.53519999999997</v>
      </c>
      <c r="BV103" s="462">
        <f>IF(AT103&lt;&gt;0,WCBY*W103,0)</f>
        <v>2183.3240000000001</v>
      </c>
      <c r="BW103" s="462">
        <f>IF(OR(AND(AT103&lt;&gt;0,AJ103&lt;&gt;"PF",AN103&lt;&gt;"NE",AG103&lt;&gt;"A"),AND(AL103="E",OR(AT103=1,AT103=3))),SickBY*W103,0)</f>
        <v>0</v>
      </c>
      <c r="BX103" s="462">
        <f t="shared" si="24"/>
        <v>15155.540400000002</v>
      </c>
      <c r="BY103" s="462">
        <f t="shared" si="25"/>
        <v>0</v>
      </c>
      <c r="BZ103" s="462">
        <f t="shared" si="26"/>
        <v>0</v>
      </c>
      <c r="CA103" s="462">
        <f t="shared" si="27"/>
        <v>0</v>
      </c>
      <c r="CB103" s="462">
        <f t="shared" si="28"/>
        <v>0</v>
      </c>
      <c r="CC103" s="462">
        <f>IF(AT103&lt;&gt;0,SSHICHG*Y103,0)</f>
        <v>0</v>
      </c>
      <c r="CD103" s="462">
        <f>IF(AND(AT103&lt;&gt;0,AN103&lt;&gt;"NE"),VLOOKUP(AN103,Retirement_Rates,5,FALSE)*Y103,0)</f>
        <v>0</v>
      </c>
      <c r="CE103" s="462">
        <f>IF(AND(AT103&lt;&gt;0,AJ103&lt;&gt;"PF"),LifeCHG*Y103,0)</f>
        <v>0</v>
      </c>
      <c r="CF103" s="462">
        <f>IF(AND(AT103&lt;&gt;0,AM103="Y"),UICHG*Y103,0)</f>
        <v>-308.30799999999999</v>
      </c>
      <c r="CG103" s="462">
        <f>IF(AND(AT103&lt;&gt;0,N103&lt;&gt;"NR"),DHRCHG*Y103,0)</f>
        <v>0</v>
      </c>
      <c r="CH103" s="462">
        <f>IF(AT103&lt;&gt;0,WCCHG*Y103,0)</f>
        <v>490.77600000000007</v>
      </c>
      <c r="CI103" s="462">
        <f>IF(OR(AND(AT103&lt;&gt;0,AJ103&lt;&gt;"PF",AN103&lt;&gt;"NE",AG103&lt;&gt;"A"),AND(AL103="E",OR(AT103=1,AT103=3))),SickCHG*Y103,0)</f>
        <v>0</v>
      </c>
      <c r="CJ103" s="462">
        <f t="shared" si="29"/>
        <v>182.46800000000007</v>
      </c>
      <c r="CK103" s="462" t="str">
        <f t="shared" si="30"/>
        <v/>
      </c>
      <c r="CL103" s="462" t="str">
        <f t="shared" si="31"/>
        <v/>
      </c>
      <c r="CM103" s="462" t="str">
        <f t="shared" si="32"/>
        <v/>
      </c>
      <c r="CN103" s="462" t="str">
        <f t="shared" si="33"/>
        <v>0001-00</v>
      </c>
    </row>
    <row r="104" spans="1:92" ht="15" thickBot="1" x14ac:dyDescent="0.35">
      <c r="A104" s="376" t="s">
        <v>161</v>
      </c>
      <c r="B104" s="376" t="s">
        <v>162</v>
      </c>
      <c r="C104" s="376" t="s">
        <v>459</v>
      </c>
      <c r="D104" s="376" t="s">
        <v>460</v>
      </c>
      <c r="E104" s="376" t="s">
        <v>165</v>
      </c>
      <c r="F104" s="377" t="s">
        <v>166</v>
      </c>
      <c r="G104" s="376" t="s">
        <v>432</v>
      </c>
      <c r="H104" s="378"/>
      <c r="I104" s="378"/>
      <c r="J104" s="376" t="s">
        <v>168</v>
      </c>
      <c r="K104" s="376" t="s">
        <v>461</v>
      </c>
      <c r="L104" s="376" t="s">
        <v>240</v>
      </c>
      <c r="M104" s="376" t="s">
        <v>171</v>
      </c>
      <c r="N104" s="376" t="s">
        <v>172</v>
      </c>
      <c r="O104" s="379">
        <v>1</v>
      </c>
      <c r="P104" s="460">
        <v>1</v>
      </c>
      <c r="Q104" s="460">
        <v>1</v>
      </c>
      <c r="R104" s="380">
        <v>80</v>
      </c>
      <c r="S104" s="460">
        <v>1</v>
      </c>
      <c r="T104" s="380">
        <v>49686.44</v>
      </c>
      <c r="U104" s="380">
        <v>0</v>
      </c>
      <c r="V104" s="380">
        <v>22947.86</v>
      </c>
      <c r="W104" s="380">
        <v>50523.199999999997</v>
      </c>
      <c r="X104" s="380">
        <v>23672.98</v>
      </c>
      <c r="Y104" s="380">
        <v>50523.199999999997</v>
      </c>
      <c r="Z104" s="380">
        <v>23819.5</v>
      </c>
      <c r="AA104" s="376" t="s">
        <v>462</v>
      </c>
      <c r="AB104" s="376" t="s">
        <v>463</v>
      </c>
      <c r="AC104" s="376" t="s">
        <v>464</v>
      </c>
      <c r="AD104" s="376" t="s">
        <v>316</v>
      </c>
      <c r="AE104" s="376" t="s">
        <v>461</v>
      </c>
      <c r="AF104" s="376" t="s">
        <v>244</v>
      </c>
      <c r="AG104" s="376" t="s">
        <v>178</v>
      </c>
      <c r="AH104" s="381">
        <v>24.29</v>
      </c>
      <c r="AI104" s="381">
        <v>54842.400000000001</v>
      </c>
      <c r="AJ104" s="376" t="s">
        <v>179</v>
      </c>
      <c r="AK104" s="376" t="s">
        <v>180</v>
      </c>
      <c r="AL104" s="376" t="s">
        <v>181</v>
      </c>
      <c r="AM104" s="376" t="s">
        <v>182</v>
      </c>
      <c r="AN104" s="376" t="s">
        <v>68</v>
      </c>
      <c r="AO104" s="379">
        <v>80</v>
      </c>
      <c r="AP104" s="460">
        <v>1</v>
      </c>
      <c r="AQ104" s="460">
        <v>1</v>
      </c>
      <c r="AR104" s="458" t="s">
        <v>183</v>
      </c>
      <c r="AS104" s="462">
        <f t="shared" si="17"/>
        <v>1</v>
      </c>
      <c r="AT104">
        <f t="shared" si="18"/>
        <v>1</v>
      </c>
      <c r="AU104" s="462">
        <f>IF(AT104=0,"",IF(AND(AT104=1,M104="F",SUMIF(C2:C391,C104,AS2:AS391)&lt;=1),SUMIF(C2:C391,C104,AS2:AS391),IF(AND(AT104=1,M104="F",SUMIF(C2:C391,C104,AS2:AS391)&gt;1),1,"")))</f>
        <v>1</v>
      </c>
      <c r="AV104" s="462" t="str">
        <f>IF(AT104=0,"",IF(AND(AT104=3,M104="F",SUMIF(C2:C391,C104,AS2:AS391)&lt;=1),SUMIF(C2:C391,C104,AS2:AS391),IF(AND(AT104=3,M104="F",SUMIF(C2:C391,C104,AS2:AS391)&gt;1),1,"")))</f>
        <v/>
      </c>
      <c r="AW104" s="462">
        <f>SUMIF(C2:C391,C104,O2:O391)</f>
        <v>1</v>
      </c>
      <c r="AX104" s="462">
        <f>IF(AND(M104="F",AS104&lt;&gt;0),SUMIF(C2:C391,C104,W2:W391),0)</f>
        <v>50523.199999999997</v>
      </c>
      <c r="AY104" s="462">
        <f t="shared" si="19"/>
        <v>50523.199999999997</v>
      </c>
      <c r="AZ104" s="462" t="str">
        <f t="shared" si="20"/>
        <v/>
      </c>
      <c r="BA104" s="462">
        <f t="shared" si="21"/>
        <v>0</v>
      </c>
      <c r="BB104" s="462">
        <f>IF(AND(AT104=1,AK104="E",AU104&gt;=0.75,AW104=1),Health,IF(AND(AT104=1,AK104="E",AU104&gt;=0.75),Health*P104,IF(AND(AT104=1,AK104="E",AU104&gt;=0.5,AW104=1),PTHealth,IF(AND(AT104=1,AK104="E",AU104&gt;=0.5),PTHealth*P104,0))))</f>
        <v>11650</v>
      </c>
      <c r="BC104" s="462">
        <f>IF(AND(AT104=3,AK104="E",AV104&gt;=0.75,AW104=1),Health,IF(AND(AT104=3,AK104="E",AV104&gt;=0.75),Health*P104,IF(AND(AT104=3,AK104="E",AV104&gt;=0.5,AW104=1),PTHealth,IF(AND(AT104=3,AK104="E",AV104&gt;=0.5),PTHealth*P104,0))))</f>
        <v>0</v>
      </c>
      <c r="BD104" s="462">
        <f>IF(AND(AT104&lt;&gt;0,AX104&gt;=MAXSSDI),SSDI*MAXSSDI*P104,IF(AT104&lt;&gt;0,SSDI*W104,0))</f>
        <v>3132.4384</v>
      </c>
      <c r="BE104" s="462">
        <f>IF(AT104&lt;&gt;0,SSHI*W104,0)</f>
        <v>732.58640000000003</v>
      </c>
      <c r="BF104" s="462">
        <f>IF(AND(AT104&lt;&gt;0,AN104&lt;&gt;"NE"),VLOOKUP(AN104,Retirement_Rates,3,FALSE)*W104,0)</f>
        <v>6032.4700800000001</v>
      </c>
      <c r="BG104" s="462">
        <f>IF(AND(AT104&lt;&gt;0,AJ104&lt;&gt;"PF"),Life*W104,0)</f>
        <v>364.27227199999999</v>
      </c>
      <c r="BH104" s="462">
        <f>IF(AND(AT104&lt;&gt;0,AM104="Y"),UI*W104,0)</f>
        <v>247.56367999999998</v>
      </c>
      <c r="BI104" s="462">
        <f>IF(AND(AT104&lt;&gt;0,N104&lt;&gt;"NR"),DHR*W104,0)</f>
        <v>154.60099199999999</v>
      </c>
      <c r="BJ104" s="462">
        <f>IF(AT104&lt;&gt;0,WC*W104,0)</f>
        <v>1359.0740799999999</v>
      </c>
      <c r="BK104" s="462">
        <f>IF(OR(AND(AT104&lt;&gt;0,AJ104&lt;&gt;"PF",AN104&lt;&gt;"NE",AG104&lt;&gt;"A"),AND(AL104="E",OR(AT104=1,AT104=3))),Sick*W104,0)</f>
        <v>0</v>
      </c>
      <c r="BL104" s="462">
        <f t="shared" si="22"/>
        <v>12023.005904</v>
      </c>
      <c r="BM104" s="462">
        <f t="shared" si="23"/>
        <v>0</v>
      </c>
      <c r="BN104" s="462">
        <f>IF(AND(AT104=1,AK104="E",AU104&gt;=0.75,AW104=1),HealthBY,IF(AND(AT104=1,AK104="E",AU104&gt;=0.75),HealthBY*P104,IF(AND(AT104=1,AK104="E",AU104&gt;=0.5,AW104=1),PTHealthBY,IF(AND(AT104=1,AK104="E",AU104&gt;=0.5),PTHealthBY*P104,0))))</f>
        <v>11650</v>
      </c>
      <c r="BO104" s="462">
        <f>IF(AND(AT104=3,AK104="E",AV104&gt;=0.75,AW104=1),HealthBY,IF(AND(AT104=3,AK104="E",AV104&gt;=0.75),HealthBY*P104,IF(AND(AT104=3,AK104="E",AV104&gt;=0.5,AW104=1),PTHealthBY,IF(AND(AT104=3,AK104="E",AV104&gt;=0.5),PTHealthBY*P104,0))))</f>
        <v>0</v>
      </c>
      <c r="BP104" s="462">
        <f>IF(AND(AT104&lt;&gt;0,(AX104+BA104)&gt;=MAXSSDIBY),SSDIBY*MAXSSDIBY*P104,IF(AT104&lt;&gt;0,SSDIBY*W104,0))</f>
        <v>3132.4384</v>
      </c>
      <c r="BQ104" s="462">
        <f>IF(AT104&lt;&gt;0,SSHIBY*W104,0)</f>
        <v>732.58640000000003</v>
      </c>
      <c r="BR104" s="462">
        <f>IF(AND(AT104&lt;&gt;0,AN104&lt;&gt;"NE"),VLOOKUP(AN104,Retirement_Rates,4,FALSE)*W104,0)</f>
        <v>6032.4700800000001</v>
      </c>
      <c r="BS104" s="462">
        <f>IF(AND(AT104&lt;&gt;0,AJ104&lt;&gt;"PF"),LifeBY*W104,0)</f>
        <v>364.27227199999999</v>
      </c>
      <c r="BT104" s="462">
        <f>IF(AND(AT104&lt;&gt;0,AM104="Y"),UIBY*W104,0)</f>
        <v>0</v>
      </c>
      <c r="BU104" s="462">
        <f>IF(AND(AT104&lt;&gt;0,N104&lt;&gt;"NR"),DHRBY*W104,0)</f>
        <v>154.60099199999999</v>
      </c>
      <c r="BV104" s="462">
        <f>IF(AT104&lt;&gt;0,WCBY*W104,0)</f>
        <v>1753.1550399999999</v>
      </c>
      <c r="BW104" s="462">
        <f>IF(OR(AND(AT104&lt;&gt;0,AJ104&lt;&gt;"PF",AN104&lt;&gt;"NE",AG104&lt;&gt;"A"),AND(AL104="E",OR(AT104=1,AT104=3))),SickBY*W104,0)</f>
        <v>0</v>
      </c>
      <c r="BX104" s="462">
        <f t="shared" si="24"/>
        <v>12169.523184</v>
      </c>
      <c r="BY104" s="462">
        <f t="shared" si="25"/>
        <v>0</v>
      </c>
      <c r="BZ104" s="462">
        <f t="shared" si="26"/>
        <v>0</v>
      </c>
      <c r="CA104" s="462">
        <f t="shared" si="27"/>
        <v>0</v>
      </c>
      <c r="CB104" s="462">
        <f t="shared" si="28"/>
        <v>0</v>
      </c>
      <c r="CC104" s="462">
        <f>IF(AT104&lt;&gt;0,SSHICHG*Y104,0)</f>
        <v>0</v>
      </c>
      <c r="CD104" s="462">
        <f>IF(AND(AT104&lt;&gt;0,AN104&lt;&gt;"NE"),VLOOKUP(AN104,Retirement_Rates,5,FALSE)*Y104,0)</f>
        <v>0</v>
      </c>
      <c r="CE104" s="462">
        <f>IF(AND(AT104&lt;&gt;0,AJ104&lt;&gt;"PF"),LifeCHG*Y104,0)</f>
        <v>0</v>
      </c>
      <c r="CF104" s="462">
        <f>IF(AND(AT104&lt;&gt;0,AM104="Y"),UICHG*Y104,0)</f>
        <v>-247.56367999999998</v>
      </c>
      <c r="CG104" s="462">
        <f>IF(AND(AT104&lt;&gt;0,N104&lt;&gt;"NR"),DHRCHG*Y104,0)</f>
        <v>0</v>
      </c>
      <c r="CH104" s="462">
        <f>IF(AT104&lt;&gt;0,WCCHG*Y104,0)</f>
        <v>394.08096000000006</v>
      </c>
      <c r="CI104" s="462">
        <f>IF(OR(AND(AT104&lt;&gt;0,AJ104&lt;&gt;"PF",AN104&lt;&gt;"NE",AG104&lt;&gt;"A"),AND(AL104="E",OR(AT104=1,AT104=3))),SickCHG*Y104,0)</f>
        <v>0</v>
      </c>
      <c r="CJ104" s="462">
        <f t="shared" si="29"/>
        <v>146.51728000000008</v>
      </c>
      <c r="CK104" s="462" t="str">
        <f t="shared" si="30"/>
        <v/>
      </c>
      <c r="CL104" s="462" t="str">
        <f t="shared" si="31"/>
        <v/>
      </c>
      <c r="CM104" s="462" t="str">
        <f t="shared" si="32"/>
        <v/>
      </c>
      <c r="CN104" s="462" t="str">
        <f t="shared" si="33"/>
        <v>0001-00</v>
      </c>
    </row>
    <row r="105" spans="1:92" ht="15" thickBot="1" x14ac:dyDescent="0.35">
      <c r="A105" s="376" t="s">
        <v>161</v>
      </c>
      <c r="B105" s="376" t="s">
        <v>162</v>
      </c>
      <c r="C105" s="376" t="s">
        <v>465</v>
      </c>
      <c r="D105" s="376" t="s">
        <v>185</v>
      </c>
      <c r="E105" s="376" t="s">
        <v>165</v>
      </c>
      <c r="F105" s="377" t="s">
        <v>166</v>
      </c>
      <c r="G105" s="376" t="s">
        <v>432</v>
      </c>
      <c r="H105" s="378"/>
      <c r="I105" s="378"/>
      <c r="J105" s="376" t="s">
        <v>168</v>
      </c>
      <c r="K105" s="376" t="s">
        <v>186</v>
      </c>
      <c r="L105" s="376" t="s">
        <v>178</v>
      </c>
      <c r="M105" s="376" t="s">
        <v>171</v>
      </c>
      <c r="N105" s="376" t="s">
        <v>172</v>
      </c>
      <c r="O105" s="379">
        <v>1</v>
      </c>
      <c r="P105" s="460">
        <v>1</v>
      </c>
      <c r="Q105" s="460">
        <v>0.75</v>
      </c>
      <c r="R105" s="380">
        <v>80</v>
      </c>
      <c r="S105" s="460">
        <v>0.75</v>
      </c>
      <c r="T105" s="380">
        <v>24305.59</v>
      </c>
      <c r="U105" s="380">
        <v>0</v>
      </c>
      <c r="V105" s="380">
        <v>17835.189999999999</v>
      </c>
      <c r="W105" s="380">
        <v>24429.599999999999</v>
      </c>
      <c r="X105" s="380">
        <v>17463.47</v>
      </c>
      <c r="Y105" s="380">
        <v>24429.599999999999</v>
      </c>
      <c r="Z105" s="380">
        <v>17534.32</v>
      </c>
      <c r="AA105" s="376" t="s">
        <v>466</v>
      </c>
      <c r="AB105" s="376" t="s">
        <v>467</v>
      </c>
      <c r="AC105" s="376" t="s">
        <v>468</v>
      </c>
      <c r="AD105" s="376" t="s">
        <v>176</v>
      </c>
      <c r="AE105" s="376" t="s">
        <v>186</v>
      </c>
      <c r="AF105" s="376" t="s">
        <v>190</v>
      </c>
      <c r="AG105" s="376" t="s">
        <v>178</v>
      </c>
      <c r="AH105" s="381">
        <v>15.66</v>
      </c>
      <c r="AI105" s="381">
        <v>9626.5</v>
      </c>
      <c r="AJ105" s="376" t="s">
        <v>469</v>
      </c>
      <c r="AK105" s="376" t="s">
        <v>180</v>
      </c>
      <c r="AL105" s="376" t="s">
        <v>181</v>
      </c>
      <c r="AM105" s="376" t="s">
        <v>182</v>
      </c>
      <c r="AN105" s="376" t="s">
        <v>68</v>
      </c>
      <c r="AO105" s="379">
        <v>80</v>
      </c>
      <c r="AP105" s="460">
        <v>0.75</v>
      </c>
      <c r="AQ105" s="460">
        <v>0.75</v>
      </c>
      <c r="AR105" s="458" t="s">
        <v>183</v>
      </c>
      <c r="AS105" s="462">
        <f t="shared" si="17"/>
        <v>0.75</v>
      </c>
      <c r="AT105">
        <f t="shared" si="18"/>
        <v>1</v>
      </c>
      <c r="AU105" s="462">
        <f>IF(AT105=0,"",IF(AND(AT105=1,M105="F",SUMIF(C2:C391,C105,AS2:AS391)&lt;=1),SUMIF(C2:C391,C105,AS2:AS391),IF(AND(AT105=1,M105="F",SUMIF(C2:C391,C105,AS2:AS391)&gt;1),1,"")))</f>
        <v>0.75</v>
      </c>
      <c r="AV105" s="462" t="str">
        <f>IF(AT105=0,"",IF(AND(AT105=3,M105="F",SUMIF(C2:C391,C105,AS2:AS391)&lt;=1),SUMIF(C2:C391,C105,AS2:AS391),IF(AND(AT105=3,M105="F",SUMIF(C2:C391,C105,AS2:AS391)&gt;1),1,"")))</f>
        <v/>
      </c>
      <c r="AW105" s="462">
        <f>SUMIF(C2:C391,C105,O2:O391)</f>
        <v>1</v>
      </c>
      <c r="AX105" s="462">
        <f>IF(AND(M105="F",AS105&lt;&gt;0),SUMIF(C2:C391,C105,W2:W391),0)</f>
        <v>24429.599999999999</v>
      </c>
      <c r="AY105" s="462">
        <f t="shared" si="19"/>
        <v>24429.599999999999</v>
      </c>
      <c r="AZ105" s="462" t="str">
        <f t="shared" si="20"/>
        <v/>
      </c>
      <c r="BA105" s="462">
        <f t="shared" si="21"/>
        <v>0</v>
      </c>
      <c r="BB105" s="462">
        <f>IF(AND(AT105=1,AK105="E",AU105&gt;=0.75,AW105=1),Health,IF(AND(AT105=1,AK105="E",AU105&gt;=0.75),Health*P105,IF(AND(AT105=1,AK105="E",AU105&gt;=0.5,AW105=1),PTHealth,IF(AND(AT105=1,AK105="E",AU105&gt;=0.5),PTHealth*P105,0))))</f>
        <v>11650</v>
      </c>
      <c r="BC105" s="462">
        <f>IF(AND(AT105=3,AK105="E",AV105&gt;=0.75,AW105=1),Health,IF(AND(AT105=3,AK105="E",AV105&gt;=0.75),Health*P105,IF(AND(AT105=3,AK105="E",AV105&gt;=0.5,AW105=1),PTHealth,IF(AND(AT105=3,AK105="E",AV105&gt;=0.5),PTHealth*P105,0))))</f>
        <v>0</v>
      </c>
      <c r="BD105" s="462">
        <f>IF(AND(AT105&lt;&gt;0,AX105&gt;=MAXSSDI),SSDI*MAXSSDI*P105,IF(AT105&lt;&gt;0,SSDI*W105,0))</f>
        <v>1514.6351999999999</v>
      </c>
      <c r="BE105" s="462">
        <f>IF(AT105&lt;&gt;0,SSHI*W105,0)</f>
        <v>354.22919999999999</v>
      </c>
      <c r="BF105" s="462">
        <f>IF(AND(AT105&lt;&gt;0,AN105&lt;&gt;"NE"),VLOOKUP(AN105,Retirement_Rates,3,FALSE)*W105,0)</f>
        <v>2916.8942400000001</v>
      </c>
      <c r="BG105" s="462">
        <f>IF(AND(AT105&lt;&gt;0,AJ105&lt;&gt;"PF"),Life*W105,0)</f>
        <v>176.137416</v>
      </c>
      <c r="BH105" s="462">
        <f>IF(AND(AT105&lt;&gt;0,AM105="Y"),UI*W105,0)</f>
        <v>119.70503999999998</v>
      </c>
      <c r="BI105" s="462">
        <f>IF(AND(AT105&lt;&gt;0,N105&lt;&gt;"NR"),DHR*W105,0)</f>
        <v>74.754575999999986</v>
      </c>
      <c r="BJ105" s="462">
        <f>IF(AT105&lt;&gt;0,WC*W105,0)</f>
        <v>657.15623999999991</v>
      </c>
      <c r="BK105" s="462">
        <f>IF(OR(AND(AT105&lt;&gt;0,AJ105&lt;&gt;"PF",AN105&lt;&gt;"NE",AG105&lt;&gt;"A"),AND(AL105="E",OR(AT105=1,AT105=3))),Sick*W105,0)</f>
        <v>0</v>
      </c>
      <c r="BL105" s="462">
        <f t="shared" si="22"/>
        <v>5813.5119119999999</v>
      </c>
      <c r="BM105" s="462">
        <f t="shared" si="23"/>
        <v>0</v>
      </c>
      <c r="BN105" s="462">
        <f>IF(AND(AT105=1,AK105="E",AU105&gt;=0.75,AW105=1),HealthBY,IF(AND(AT105=1,AK105="E",AU105&gt;=0.75),HealthBY*P105,IF(AND(AT105=1,AK105="E",AU105&gt;=0.5,AW105=1),PTHealthBY,IF(AND(AT105=1,AK105="E",AU105&gt;=0.5),PTHealthBY*P105,0))))</f>
        <v>11650</v>
      </c>
      <c r="BO105" s="462">
        <f>IF(AND(AT105=3,AK105="E",AV105&gt;=0.75,AW105=1),HealthBY,IF(AND(AT105=3,AK105="E",AV105&gt;=0.75),HealthBY*P105,IF(AND(AT105=3,AK105="E",AV105&gt;=0.5,AW105=1),PTHealthBY,IF(AND(AT105=3,AK105="E",AV105&gt;=0.5),PTHealthBY*P105,0))))</f>
        <v>0</v>
      </c>
      <c r="BP105" s="462">
        <f>IF(AND(AT105&lt;&gt;0,(AX105+BA105)&gt;=MAXSSDIBY),SSDIBY*MAXSSDIBY*P105,IF(AT105&lt;&gt;0,SSDIBY*W105,0))</f>
        <v>1514.6351999999999</v>
      </c>
      <c r="BQ105" s="462">
        <f>IF(AT105&lt;&gt;0,SSHIBY*W105,0)</f>
        <v>354.22919999999999</v>
      </c>
      <c r="BR105" s="462">
        <f>IF(AND(AT105&lt;&gt;0,AN105&lt;&gt;"NE"),VLOOKUP(AN105,Retirement_Rates,4,FALSE)*W105,0)</f>
        <v>2916.8942400000001</v>
      </c>
      <c r="BS105" s="462">
        <f>IF(AND(AT105&lt;&gt;0,AJ105&lt;&gt;"PF"),LifeBY*W105,0)</f>
        <v>176.137416</v>
      </c>
      <c r="BT105" s="462">
        <f>IF(AND(AT105&lt;&gt;0,AM105="Y"),UIBY*W105,0)</f>
        <v>0</v>
      </c>
      <c r="BU105" s="462">
        <f>IF(AND(AT105&lt;&gt;0,N105&lt;&gt;"NR"),DHRBY*W105,0)</f>
        <v>74.754575999999986</v>
      </c>
      <c r="BV105" s="462">
        <f>IF(AT105&lt;&gt;0,WCBY*W105,0)</f>
        <v>847.70712000000003</v>
      </c>
      <c r="BW105" s="462">
        <f>IF(OR(AND(AT105&lt;&gt;0,AJ105&lt;&gt;"PF",AN105&lt;&gt;"NE",AG105&lt;&gt;"A"),AND(AL105="E",OR(AT105=1,AT105=3))),SickBY*W105,0)</f>
        <v>0</v>
      </c>
      <c r="BX105" s="462">
        <f t="shared" si="24"/>
        <v>5884.3577519999999</v>
      </c>
      <c r="BY105" s="462">
        <f t="shared" si="25"/>
        <v>0</v>
      </c>
      <c r="BZ105" s="462">
        <f t="shared" si="26"/>
        <v>0</v>
      </c>
      <c r="CA105" s="462">
        <f t="shared" si="27"/>
        <v>0</v>
      </c>
      <c r="CB105" s="462">
        <f t="shared" si="28"/>
        <v>0</v>
      </c>
      <c r="CC105" s="462">
        <f>IF(AT105&lt;&gt;0,SSHICHG*Y105,0)</f>
        <v>0</v>
      </c>
      <c r="CD105" s="462">
        <f>IF(AND(AT105&lt;&gt;0,AN105&lt;&gt;"NE"),VLOOKUP(AN105,Retirement_Rates,5,FALSE)*Y105,0)</f>
        <v>0</v>
      </c>
      <c r="CE105" s="462">
        <f>IF(AND(AT105&lt;&gt;0,AJ105&lt;&gt;"PF"),LifeCHG*Y105,0)</f>
        <v>0</v>
      </c>
      <c r="CF105" s="462">
        <f>IF(AND(AT105&lt;&gt;0,AM105="Y"),UICHG*Y105,0)</f>
        <v>-119.70503999999998</v>
      </c>
      <c r="CG105" s="462">
        <f>IF(AND(AT105&lt;&gt;0,N105&lt;&gt;"NR"),DHRCHG*Y105,0)</f>
        <v>0</v>
      </c>
      <c r="CH105" s="462">
        <f>IF(AT105&lt;&gt;0,WCCHG*Y105,0)</f>
        <v>190.55088000000003</v>
      </c>
      <c r="CI105" s="462">
        <f>IF(OR(AND(AT105&lt;&gt;0,AJ105&lt;&gt;"PF",AN105&lt;&gt;"NE",AG105&lt;&gt;"A"),AND(AL105="E",OR(AT105=1,AT105=3))),SickCHG*Y105,0)</f>
        <v>0</v>
      </c>
      <c r="CJ105" s="462">
        <f t="shared" si="29"/>
        <v>70.845840000000052</v>
      </c>
      <c r="CK105" s="462" t="str">
        <f t="shared" si="30"/>
        <v/>
      </c>
      <c r="CL105" s="462" t="str">
        <f t="shared" si="31"/>
        <v/>
      </c>
      <c r="CM105" s="462" t="str">
        <f t="shared" si="32"/>
        <v/>
      </c>
      <c r="CN105" s="462" t="str">
        <f t="shared" si="33"/>
        <v>0001-00</v>
      </c>
    </row>
    <row r="106" spans="1:92" ht="15" thickBot="1" x14ac:dyDescent="0.35">
      <c r="A106" s="376" t="s">
        <v>161</v>
      </c>
      <c r="B106" s="376" t="s">
        <v>162</v>
      </c>
      <c r="C106" s="376" t="s">
        <v>470</v>
      </c>
      <c r="D106" s="376" t="s">
        <v>471</v>
      </c>
      <c r="E106" s="376" t="s">
        <v>165</v>
      </c>
      <c r="F106" s="377" t="s">
        <v>166</v>
      </c>
      <c r="G106" s="376" t="s">
        <v>432</v>
      </c>
      <c r="H106" s="378"/>
      <c r="I106" s="378"/>
      <c r="J106" s="376" t="s">
        <v>168</v>
      </c>
      <c r="K106" s="376" t="s">
        <v>472</v>
      </c>
      <c r="L106" s="376" t="s">
        <v>178</v>
      </c>
      <c r="M106" s="376" t="s">
        <v>171</v>
      </c>
      <c r="N106" s="376" t="s">
        <v>172</v>
      </c>
      <c r="O106" s="379">
        <v>1</v>
      </c>
      <c r="P106" s="460">
        <v>1</v>
      </c>
      <c r="Q106" s="460">
        <v>1</v>
      </c>
      <c r="R106" s="380">
        <v>80</v>
      </c>
      <c r="S106" s="460">
        <v>1</v>
      </c>
      <c r="T106" s="380">
        <v>36508.81</v>
      </c>
      <c r="U106" s="380">
        <v>0</v>
      </c>
      <c r="V106" s="380">
        <v>21557.94</v>
      </c>
      <c r="W106" s="380">
        <v>26988</v>
      </c>
      <c r="X106" s="380">
        <v>18072.3</v>
      </c>
      <c r="Y106" s="380">
        <v>26988</v>
      </c>
      <c r="Z106" s="380">
        <v>18150.57</v>
      </c>
      <c r="AA106" s="376" t="s">
        <v>473</v>
      </c>
      <c r="AB106" s="376" t="s">
        <v>474</v>
      </c>
      <c r="AC106" s="376" t="s">
        <v>475</v>
      </c>
      <c r="AD106" s="376" t="s">
        <v>476</v>
      </c>
      <c r="AE106" s="376" t="s">
        <v>472</v>
      </c>
      <c r="AF106" s="376" t="s">
        <v>190</v>
      </c>
      <c r="AG106" s="376" t="s">
        <v>178</v>
      </c>
      <c r="AH106" s="381">
        <v>17.3</v>
      </c>
      <c r="AI106" s="381">
        <v>39309.300000000003</v>
      </c>
      <c r="AJ106" s="376" t="s">
        <v>469</v>
      </c>
      <c r="AK106" s="376" t="s">
        <v>180</v>
      </c>
      <c r="AL106" s="376" t="s">
        <v>181</v>
      </c>
      <c r="AM106" s="376" t="s">
        <v>182</v>
      </c>
      <c r="AN106" s="376" t="s">
        <v>68</v>
      </c>
      <c r="AO106" s="379">
        <v>80</v>
      </c>
      <c r="AP106" s="460">
        <v>0.75</v>
      </c>
      <c r="AQ106" s="460">
        <v>0.75</v>
      </c>
      <c r="AR106" s="458" t="s">
        <v>183</v>
      </c>
      <c r="AS106" s="462">
        <f t="shared" si="17"/>
        <v>0.75</v>
      </c>
      <c r="AT106">
        <f t="shared" si="18"/>
        <v>1</v>
      </c>
      <c r="AU106" s="462">
        <f>IF(AT106=0,"",IF(AND(AT106=1,M106="F",SUMIF(C2:C391,C106,AS2:AS391)&lt;=1),SUMIF(C2:C391,C106,AS2:AS391),IF(AND(AT106=1,M106="F",SUMIF(C2:C391,C106,AS2:AS391)&gt;1),1,"")))</f>
        <v>0.75</v>
      </c>
      <c r="AV106" s="462" t="str">
        <f>IF(AT106=0,"",IF(AND(AT106=3,M106="F",SUMIF(C2:C391,C106,AS2:AS391)&lt;=1),SUMIF(C2:C391,C106,AS2:AS391),IF(AND(AT106=3,M106="F",SUMIF(C2:C391,C106,AS2:AS391)&gt;1),1,"")))</f>
        <v/>
      </c>
      <c r="AW106" s="462">
        <f>SUMIF(C2:C391,C106,O2:O391)</f>
        <v>1</v>
      </c>
      <c r="AX106" s="462">
        <f>IF(AND(M106="F",AS106&lt;&gt;0),SUMIF(C2:C391,C106,W2:W391),0)</f>
        <v>26988</v>
      </c>
      <c r="AY106" s="462">
        <f t="shared" si="19"/>
        <v>26988</v>
      </c>
      <c r="AZ106" s="462" t="str">
        <f t="shared" si="20"/>
        <v/>
      </c>
      <c r="BA106" s="462">
        <f t="shared" si="21"/>
        <v>0</v>
      </c>
      <c r="BB106" s="462">
        <f>IF(AND(AT106=1,AK106="E",AU106&gt;=0.75,AW106=1),Health,IF(AND(AT106=1,AK106="E",AU106&gt;=0.75),Health*P106,IF(AND(AT106=1,AK106="E",AU106&gt;=0.5,AW106=1),PTHealth,IF(AND(AT106=1,AK106="E",AU106&gt;=0.5),PTHealth*P106,0))))</f>
        <v>11650</v>
      </c>
      <c r="BC106" s="462">
        <f>IF(AND(AT106=3,AK106="E",AV106&gt;=0.75,AW106=1),Health,IF(AND(AT106=3,AK106="E",AV106&gt;=0.75),Health*P106,IF(AND(AT106=3,AK106="E",AV106&gt;=0.5,AW106=1),PTHealth,IF(AND(AT106=3,AK106="E",AV106&gt;=0.5),PTHealth*P106,0))))</f>
        <v>0</v>
      </c>
      <c r="BD106" s="462">
        <f>IF(AND(AT106&lt;&gt;0,AX106&gt;=MAXSSDI),SSDI*MAXSSDI*P106,IF(AT106&lt;&gt;0,SSDI*W106,0))</f>
        <v>1673.2560000000001</v>
      </c>
      <c r="BE106" s="462">
        <f>IF(AT106&lt;&gt;0,SSHI*W106,0)</f>
        <v>391.32600000000002</v>
      </c>
      <c r="BF106" s="462">
        <f>IF(AND(AT106&lt;&gt;0,AN106&lt;&gt;"NE"),VLOOKUP(AN106,Retirement_Rates,3,FALSE)*W106,0)</f>
        <v>3222.3672000000001</v>
      </c>
      <c r="BG106" s="462">
        <f>IF(AND(AT106&lt;&gt;0,AJ106&lt;&gt;"PF"),Life*W106,0)</f>
        <v>194.58348000000001</v>
      </c>
      <c r="BH106" s="462">
        <f>IF(AND(AT106&lt;&gt;0,AM106="Y"),UI*W106,0)</f>
        <v>132.24119999999999</v>
      </c>
      <c r="BI106" s="462">
        <f>IF(AND(AT106&lt;&gt;0,N106&lt;&gt;"NR"),DHR*W106,0)</f>
        <v>82.583279999999988</v>
      </c>
      <c r="BJ106" s="462">
        <f>IF(AT106&lt;&gt;0,WC*W106,0)</f>
        <v>725.97720000000004</v>
      </c>
      <c r="BK106" s="462">
        <f>IF(OR(AND(AT106&lt;&gt;0,AJ106&lt;&gt;"PF",AN106&lt;&gt;"NE",AG106&lt;&gt;"A"),AND(AL106="E",OR(AT106=1,AT106=3))),Sick*W106,0)</f>
        <v>0</v>
      </c>
      <c r="BL106" s="462">
        <f t="shared" si="22"/>
        <v>6422.3343600000017</v>
      </c>
      <c r="BM106" s="462">
        <f t="shared" si="23"/>
        <v>0</v>
      </c>
      <c r="BN106" s="462">
        <f>IF(AND(AT106=1,AK106="E",AU106&gt;=0.75,AW106=1),HealthBY,IF(AND(AT106=1,AK106="E",AU106&gt;=0.75),HealthBY*P106,IF(AND(AT106=1,AK106="E",AU106&gt;=0.5,AW106=1),PTHealthBY,IF(AND(AT106=1,AK106="E",AU106&gt;=0.5),PTHealthBY*P106,0))))</f>
        <v>11650</v>
      </c>
      <c r="BO106" s="462">
        <f>IF(AND(AT106=3,AK106="E",AV106&gt;=0.75,AW106=1),HealthBY,IF(AND(AT106=3,AK106="E",AV106&gt;=0.75),HealthBY*P106,IF(AND(AT106=3,AK106="E",AV106&gt;=0.5,AW106=1),PTHealthBY,IF(AND(AT106=3,AK106="E",AV106&gt;=0.5),PTHealthBY*P106,0))))</f>
        <v>0</v>
      </c>
      <c r="BP106" s="462">
        <f>IF(AND(AT106&lt;&gt;0,(AX106+BA106)&gt;=MAXSSDIBY),SSDIBY*MAXSSDIBY*P106,IF(AT106&lt;&gt;0,SSDIBY*W106,0))</f>
        <v>1673.2560000000001</v>
      </c>
      <c r="BQ106" s="462">
        <f>IF(AT106&lt;&gt;0,SSHIBY*W106,0)</f>
        <v>391.32600000000002</v>
      </c>
      <c r="BR106" s="462">
        <f>IF(AND(AT106&lt;&gt;0,AN106&lt;&gt;"NE"),VLOOKUP(AN106,Retirement_Rates,4,FALSE)*W106,0)</f>
        <v>3222.3672000000001</v>
      </c>
      <c r="BS106" s="462">
        <f>IF(AND(AT106&lt;&gt;0,AJ106&lt;&gt;"PF"),LifeBY*W106,0)</f>
        <v>194.58348000000001</v>
      </c>
      <c r="BT106" s="462">
        <f>IF(AND(AT106&lt;&gt;0,AM106="Y"),UIBY*W106,0)</f>
        <v>0</v>
      </c>
      <c r="BU106" s="462">
        <f>IF(AND(AT106&lt;&gt;0,N106&lt;&gt;"NR"),DHRBY*W106,0)</f>
        <v>82.583279999999988</v>
      </c>
      <c r="BV106" s="462">
        <f>IF(AT106&lt;&gt;0,WCBY*W106,0)</f>
        <v>936.48360000000002</v>
      </c>
      <c r="BW106" s="462">
        <f>IF(OR(AND(AT106&lt;&gt;0,AJ106&lt;&gt;"PF",AN106&lt;&gt;"NE",AG106&lt;&gt;"A"),AND(AL106="E",OR(AT106=1,AT106=3))),SickBY*W106,0)</f>
        <v>0</v>
      </c>
      <c r="BX106" s="462">
        <f t="shared" si="24"/>
        <v>6500.5995600000006</v>
      </c>
      <c r="BY106" s="462">
        <f t="shared" si="25"/>
        <v>0</v>
      </c>
      <c r="BZ106" s="462">
        <f t="shared" si="26"/>
        <v>0</v>
      </c>
      <c r="CA106" s="462">
        <f t="shared" si="27"/>
        <v>0</v>
      </c>
      <c r="CB106" s="462">
        <f t="shared" si="28"/>
        <v>0</v>
      </c>
      <c r="CC106" s="462">
        <f>IF(AT106&lt;&gt;0,SSHICHG*Y106,0)</f>
        <v>0</v>
      </c>
      <c r="CD106" s="462">
        <f>IF(AND(AT106&lt;&gt;0,AN106&lt;&gt;"NE"),VLOOKUP(AN106,Retirement_Rates,5,FALSE)*Y106,0)</f>
        <v>0</v>
      </c>
      <c r="CE106" s="462">
        <f>IF(AND(AT106&lt;&gt;0,AJ106&lt;&gt;"PF"),LifeCHG*Y106,0)</f>
        <v>0</v>
      </c>
      <c r="CF106" s="462">
        <f>IF(AND(AT106&lt;&gt;0,AM106="Y"),UICHG*Y106,0)</f>
        <v>-132.24119999999999</v>
      </c>
      <c r="CG106" s="462">
        <f>IF(AND(AT106&lt;&gt;0,N106&lt;&gt;"NR"),DHRCHG*Y106,0)</f>
        <v>0</v>
      </c>
      <c r="CH106" s="462">
        <f>IF(AT106&lt;&gt;0,WCCHG*Y106,0)</f>
        <v>210.50640000000004</v>
      </c>
      <c r="CI106" s="462">
        <f>IF(OR(AND(AT106&lt;&gt;0,AJ106&lt;&gt;"PF",AN106&lt;&gt;"NE",AG106&lt;&gt;"A"),AND(AL106="E",OR(AT106=1,AT106=3))),SickCHG*Y106,0)</f>
        <v>0</v>
      </c>
      <c r="CJ106" s="462">
        <f t="shared" si="29"/>
        <v>78.26520000000005</v>
      </c>
      <c r="CK106" s="462" t="str">
        <f t="shared" si="30"/>
        <v/>
      </c>
      <c r="CL106" s="462" t="str">
        <f t="shared" si="31"/>
        <v/>
      </c>
      <c r="CM106" s="462" t="str">
        <f t="shared" si="32"/>
        <v/>
      </c>
      <c r="CN106" s="462" t="str">
        <f t="shared" si="33"/>
        <v>0001-00</v>
      </c>
    </row>
    <row r="107" spans="1:92" ht="15" thickBot="1" x14ac:dyDescent="0.35">
      <c r="A107" s="376" t="s">
        <v>161</v>
      </c>
      <c r="B107" s="376" t="s">
        <v>162</v>
      </c>
      <c r="C107" s="376" t="s">
        <v>477</v>
      </c>
      <c r="D107" s="376" t="s">
        <v>438</v>
      </c>
      <c r="E107" s="376" t="s">
        <v>165</v>
      </c>
      <c r="F107" s="377" t="s">
        <v>166</v>
      </c>
      <c r="G107" s="376" t="s">
        <v>432</v>
      </c>
      <c r="H107" s="378"/>
      <c r="I107" s="378"/>
      <c r="J107" s="376" t="s">
        <v>168</v>
      </c>
      <c r="K107" s="376" t="s">
        <v>439</v>
      </c>
      <c r="L107" s="376" t="s">
        <v>231</v>
      </c>
      <c r="M107" s="376" t="s">
        <v>171</v>
      </c>
      <c r="N107" s="376" t="s">
        <v>172</v>
      </c>
      <c r="O107" s="379">
        <v>1</v>
      </c>
      <c r="P107" s="460">
        <v>1</v>
      </c>
      <c r="Q107" s="460">
        <v>1</v>
      </c>
      <c r="R107" s="380">
        <v>80</v>
      </c>
      <c r="S107" s="460">
        <v>1</v>
      </c>
      <c r="T107" s="380">
        <v>42308</v>
      </c>
      <c r="U107" s="380">
        <v>132.87</v>
      </c>
      <c r="V107" s="380">
        <v>21453.23</v>
      </c>
      <c r="W107" s="380">
        <v>42702.400000000001</v>
      </c>
      <c r="X107" s="380">
        <v>21811.85</v>
      </c>
      <c r="Y107" s="380">
        <v>42702.400000000001</v>
      </c>
      <c r="Z107" s="380">
        <v>21935.69</v>
      </c>
      <c r="AA107" s="376" t="s">
        <v>478</v>
      </c>
      <c r="AB107" s="376" t="s">
        <v>479</v>
      </c>
      <c r="AC107" s="376" t="s">
        <v>480</v>
      </c>
      <c r="AD107" s="376" t="s">
        <v>359</v>
      </c>
      <c r="AE107" s="376" t="s">
        <v>439</v>
      </c>
      <c r="AF107" s="376" t="s">
        <v>236</v>
      </c>
      <c r="AG107" s="376" t="s">
        <v>178</v>
      </c>
      <c r="AH107" s="381">
        <v>20.53</v>
      </c>
      <c r="AI107" s="381">
        <v>16501.5</v>
      </c>
      <c r="AJ107" s="376" t="s">
        <v>179</v>
      </c>
      <c r="AK107" s="376" t="s">
        <v>180</v>
      </c>
      <c r="AL107" s="376" t="s">
        <v>181</v>
      </c>
      <c r="AM107" s="376" t="s">
        <v>182</v>
      </c>
      <c r="AN107" s="376" t="s">
        <v>68</v>
      </c>
      <c r="AO107" s="379">
        <v>80</v>
      </c>
      <c r="AP107" s="460">
        <v>1</v>
      </c>
      <c r="AQ107" s="460">
        <v>1</v>
      </c>
      <c r="AR107" s="458" t="s">
        <v>183</v>
      </c>
      <c r="AS107" s="462">
        <f t="shared" si="17"/>
        <v>1</v>
      </c>
      <c r="AT107">
        <f t="shared" si="18"/>
        <v>1</v>
      </c>
      <c r="AU107" s="462">
        <f>IF(AT107=0,"",IF(AND(AT107=1,M107="F",SUMIF(C2:C391,C107,AS2:AS391)&lt;=1),SUMIF(C2:C391,C107,AS2:AS391),IF(AND(AT107=1,M107="F",SUMIF(C2:C391,C107,AS2:AS391)&gt;1),1,"")))</f>
        <v>1</v>
      </c>
      <c r="AV107" s="462" t="str">
        <f>IF(AT107=0,"",IF(AND(AT107=3,M107="F",SUMIF(C2:C391,C107,AS2:AS391)&lt;=1),SUMIF(C2:C391,C107,AS2:AS391),IF(AND(AT107=3,M107="F",SUMIF(C2:C391,C107,AS2:AS391)&gt;1),1,"")))</f>
        <v/>
      </c>
      <c r="AW107" s="462">
        <f>SUMIF(C2:C391,C107,O2:O391)</f>
        <v>1</v>
      </c>
      <c r="AX107" s="462">
        <f>IF(AND(M107="F",AS107&lt;&gt;0),SUMIF(C2:C391,C107,W2:W391),0)</f>
        <v>42702.400000000001</v>
      </c>
      <c r="AY107" s="462">
        <f t="shared" si="19"/>
        <v>42702.400000000001</v>
      </c>
      <c r="AZ107" s="462" t="str">
        <f t="shared" si="20"/>
        <v/>
      </c>
      <c r="BA107" s="462">
        <f t="shared" si="21"/>
        <v>0</v>
      </c>
      <c r="BB107" s="462">
        <f>IF(AND(AT107=1,AK107="E",AU107&gt;=0.75,AW107=1),Health,IF(AND(AT107=1,AK107="E",AU107&gt;=0.75),Health*P107,IF(AND(AT107=1,AK107="E",AU107&gt;=0.5,AW107=1),PTHealth,IF(AND(AT107=1,AK107="E",AU107&gt;=0.5),PTHealth*P107,0))))</f>
        <v>11650</v>
      </c>
      <c r="BC107" s="462">
        <f>IF(AND(AT107=3,AK107="E",AV107&gt;=0.75,AW107=1),Health,IF(AND(AT107=3,AK107="E",AV107&gt;=0.75),Health*P107,IF(AND(AT107=3,AK107="E",AV107&gt;=0.5,AW107=1),PTHealth,IF(AND(AT107=3,AK107="E",AV107&gt;=0.5),PTHealth*P107,0))))</f>
        <v>0</v>
      </c>
      <c r="BD107" s="462">
        <f>IF(AND(AT107&lt;&gt;0,AX107&gt;=MAXSSDI),SSDI*MAXSSDI*P107,IF(AT107&lt;&gt;0,SSDI*W107,0))</f>
        <v>2647.5488</v>
      </c>
      <c r="BE107" s="462">
        <f>IF(AT107&lt;&gt;0,SSHI*W107,0)</f>
        <v>619.18480000000011</v>
      </c>
      <c r="BF107" s="462">
        <f>IF(AND(AT107&lt;&gt;0,AN107&lt;&gt;"NE"),VLOOKUP(AN107,Retirement_Rates,3,FALSE)*W107,0)</f>
        <v>5098.6665600000006</v>
      </c>
      <c r="BG107" s="462">
        <f>IF(AND(AT107&lt;&gt;0,AJ107&lt;&gt;"PF"),Life*W107,0)</f>
        <v>307.88430400000004</v>
      </c>
      <c r="BH107" s="462">
        <f>IF(AND(AT107&lt;&gt;0,AM107="Y"),UI*W107,0)</f>
        <v>209.24176</v>
      </c>
      <c r="BI107" s="462">
        <f>IF(AND(AT107&lt;&gt;0,N107&lt;&gt;"NR"),DHR*W107,0)</f>
        <v>130.669344</v>
      </c>
      <c r="BJ107" s="462">
        <f>IF(AT107&lt;&gt;0,WC*W107,0)</f>
        <v>1148.6945600000001</v>
      </c>
      <c r="BK107" s="462">
        <f>IF(OR(AND(AT107&lt;&gt;0,AJ107&lt;&gt;"PF",AN107&lt;&gt;"NE",AG107&lt;&gt;"A"),AND(AL107="E",OR(AT107=1,AT107=3))),Sick*W107,0)</f>
        <v>0</v>
      </c>
      <c r="BL107" s="462">
        <f t="shared" si="22"/>
        <v>10161.890128000001</v>
      </c>
      <c r="BM107" s="462">
        <f t="shared" si="23"/>
        <v>0</v>
      </c>
      <c r="BN107" s="462">
        <f>IF(AND(AT107=1,AK107="E",AU107&gt;=0.75,AW107=1),HealthBY,IF(AND(AT107=1,AK107="E",AU107&gt;=0.75),HealthBY*P107,IF(AND(AT107=1,AK107="E",AU107&gt;=0.5,AW107=1),PTHealthBY,IF(AND(AT107=1,AK107="E",AU107&gt;=0.5),PTHealthBY*P107,0))))</f>
        <v>11650</v>
      </c>
      <c r="BO107" s="462">
        <f>IF(AND(AT107=3,AK107="E",AV107&gt;=0.75,AW107=1),HealthBY,IF(AND(AT107=3,AK107="E",AV107&gt;=0.75),HealthBY*P107,IF(AND(AT107=3,AK107="E",AV107&gt;=0.5,AW107=1),PTHealthBY,IF(AND(AT107=3,AK107="E",AV107&gt;=0.5),PTHealthBY*P107,0))))</f>
        <v>0</v>
      </c>
      <c r="BP107" s="462">
        <f>IF(AND(AT107&lt;&gt;0,(AX107+BA107)&gt;=MAXSSDIBY),SSDIBY*MAXSSDIBY*P107,IF(AT107&lt;&gt;0,SSDIBY*W107,0))</f>
        <v>2647.5488</v>
      </c>
      <c r="BQ107" s="462">
        <f>IF(AT107&lt;&gt;0,SSHIBY*W107,0)</f>
        <v>619.18480000000011</v>
      </c>
      <c r="BR107" s="462">
        <f>IF(AND(AT107&lt;&gt;0,AN107&lt;&gt;"NE"),VLOOKUP(AN107,Retirement_Rates,4,FALSE)*W107,0)</f>
        <v>5098.6665600000006</v>
      </c>
      <c r="BS107" s="462">
        <f>IF(AND(AT107&lt;&gt;0,AJ107&lt;&gt;"PF"),LifeBY*W107,0)</f>
        <v>307.88430400000004</v>
      </c>
      <c r="BT107" s="462">
        <f>IF(AND(AT107&lt;&gt;0,AM107="Y"),UIBY*W107,0)</f>
        <v>0</v>
      </c>
      <c r="BU107" s="462">
        <f>IF(AND(AT107&lt;&gt;0,N107&lt;&gt;"NR"),DHRBY*W107,0)</f>
        <v>130.669344</v>
      </c>
      <c r="BV107" s="462">
        <f>IF(AT107&lt;&gt;0,WCBY*W107,0)</f>
        <v>1481.7732800000001</v>
      </c>
      <c r="BW107" s="462">
        <f>IF(OR(AND(AT107&lt;&gt;0,AJ107&lt;&gt;"PF",AN107&lt;&gt;"NE",AG107&lt;&gt;"A"),AND(AL107="E",OR(AT107=1,AT107=3))),SickBY*W107,0)</f>
        <v>0</v>
      </c>
      <c r="BX107" s="462">
        <f t="shared" si="24"/>
        <v>10285.727088</v>
      </c>
      <c r="BY107" s="462">
        <f t="shared" si="25"/>
        <v>0</v>
      </c>
      <c r="BZ107" s="462">
        <f t="shared" si="26"/>
        <v>0</v>
      </c>
      <c r="CA107" s="462">
        <f t="shared" si="27"/>
        <v>0</v>
      </c>
      <c r="CB107" s="462">
        <f t="shared" si="28"/>
        <v>0</v>
      </c>
      <c r="CC107" s="462">
        <f>IF(AT107&lt;&gt;0,SSHICHG*Y107,0)</f>
        <v>0</v>
      </c>
      <c r="CD107" s="462">
        <f>IF(AND(AT107&lt;&gt;0,AN107&lt;&gt;"NE"),VLOOKUP(AN107,Retirement_Rates,5,FALSE)*Y107,0)</f>
        <v>0</v>
      </c>
      <c r="CE107" s="462">
        <f>IF(AND(AT107&lt;&gt;0,AJ107&lt;&gt;"PF"),LifeCHG*Y107,0)</f>
        <v>0</v>
      </c>
      <c r="CF107" s="462">
        <f>IF(AND(AT107&lt;&gt;0,AM107="Y"),UICHG*Y107,0)</f>
        <v>-209.24176</v>
      </c>
      <c r="CG107" s="462">
        <f>IF(AND(AT107&lt;&gt;0,N107&lt;&gt;"NR"),DHRCHG*Y107,0)</f>
        <v>0</v>
      </c>
      <c r="CH107" s="462">
        <f>IF(AT107&lt;&gt;0,WCCHG*Y107,0)</f>
        <v>333.07872000000009</v>
      </c>
      <c r="CI107" s="462">
        <f>IF(OR(AND(AT107&lt;&gt;0,AJ107&lt;&gt;"PF",AN107&lt;&gt;"NE",AG107&lt;&gt;"A"),AND(AL107="E",OR(AT107=1,AT107=3))),SickCHG*Y107,0)</f>
        <v>0</v>
      </c>
      <c r="CJ107" s="462">
        <f t="shared" si="29"/>
        <v>123.83696000000009</v>
      </c>
      <c r="CK107" s="462" t="str">
        <f t="shared" si="30"/>
        <v/>
      </c>
      <c r="CL107" s="462" t="str">
        <f t="shared" si="31"/>
        <v/>
      </c>
      <c r="CM107" s="462" t="str">
        <f t="shared" si="32"/>
        <v/>
      </c>
      <c r="CN107" s="462" t="str">
        <f t="shared" si="33"/>
        <v>0001-00</v>
      </c>
    </row>
    <row r="108" spans="1:92" ht="15" thickBot="1" x14ac:dyDescent="0.35">
      <c r="A108" s="376" t="s">
        <v>161</v>
      </c>
      <c r="B108" s="376" t="s">
        <v>162</v>
      </c>
      <c r="C108" s="376" t="s">
        <v>481</v>
      </c>
      <c r="D108" s="376" t="s">
        <v>453</v>
      </c>
      <c r="E108" s="376" t="s">
        <v>165</v>
      </c>
      <c r="F108" s="377" t="s">
        <v>166</v>
      </c>
      <c r="G108" s="376" t="s">
        <v>432</v>
      </c>
      <c r="H108" s="378"/>
      <c r="I108" s="378"/>
      <c r="J108" s="376" t="s">
        <v>168</v>
      </c>
      <c r="K108" s="376" t="s">
        <v>454</v>
      </c>
      <c r="L108" s="376" t="s">
        <v>170</v>
      </c>
      <c r="M108" s="376" t="s">
        <v>171</v>
      </c>
      <c r="N108" s="376" t="s">
        <v>172</v>
      </c>
      <c r="O108" s="379">
        <v>1</v>
      </c>
      <c r="P108" s="460">
        <v>1</v>
      </c>
      <c r="Q108" s="460">
        <v>1</v>
      </c>
      <c r="R108" s="380">
        <v>80</v>
      </c>
      <c r="S108" s="460">
        <v>1</v>
      </c>
      <c r="T108" s="380">
        <v>55819.48</v>
      </c>
      <c r="U108" s="380">
        <v>0</v>
      </c>
      <c r="V108" s="380">
        <v>24242.67</v>
      </c>
      <c r="W108" s="380">
        <v>60673.599999999999</v>
      </c>
      <c r="X108" s="380">
        <v>26088.46</v>
      </c>
      <c r="Y108" s="380">
        <v>60673.599999999999</v>
      </c>
      <c r="Z108" s="380">
        <v>26264.42</v>
      </c>
      <c r="AA108" s="376" t="s">
        <v>482</v>
      </c>
      <c r="AB108" s="376" t="s">
        <v>483</v>
      </c>
      <c r="AC108" s="376" t="s">
        <v>484</v>
      </c>
      <c r="AD108" s="376" t="s">
        <v>170</v>
      </c>
      <c r="AE108" s="376" t="s">
        <v>454</v>
      </c>
      <c r="AF108" s="376" t="s">
        <v>177</v>
      </c>
      <c r="AG108" s="376" t="s">
        <v>178</v>
      </c>
      <c r="AH108" s="381">
        <v>29.17</v>
      </c>
      <c r="AI108" s="381">
        <v>50744.2</v>
      </c>
      <c r="AJ108" s="376" t="s">
        <v>179</v>
      </c>
      <c r="AK108" s="376" t="s">
        <v>180</v>
      </c>
      <c r="AL108" s="376" t="s">
        <v>181</v>
      </c>
      <c r="AM108" s="376" t="s">
        <v>182</v>
      </c>
      <c r="AN108" s="376" t="s">
        <v>68</v>
      </c>
      <c r="AO108" s="379">
        <v>80</v>
      </c>
      <c r="AP108" s="460">
        <v>1</v>
      </c>
      <c r="AQ108" s="460">
        <v>1</v>
      </c>
      <c r="AR108" s="458" t="s">
        <v>183</v>
      </c>
      <c r="AS108" s="462">
        <f t="shared" si="17"/>
        <v>1</v>
      </c>
      <c r="AT108">
        <f t="shared" si="18"/>
        <v>1</v>
      </c>
      <c r="AU108" s="462">
        <f>IF(AT108=0,"",IF(AND(AT108=1,M108="F",SUMIF(C2:C391,C108,AS2:AS391)&lt;=1),SUMIF(C2:C391,C108,AS2:AS391),IF(AND(AT108=1,M108="F",SUMIF(C2:C391,C108,AS2:AS391)&gt;1),1,"")))</f>
        <v>1</v>
      </c>
      <c r="AV108" s="462" t="str">
        <f>IF(AT108=0,"",IF(AND(AT108=3,M108="F",SUMIF(C2:C391,C108,AS2:AS391)&lt;=1),SUMIF(C2:C391,C108,AS2:AS391),IF(AND(AT108=3,M108="F",SUMIF(C2:C391,C108,AS2:AS391)&gt;1),1,"")))</f>
        <v/>
      </c>
      <c r="AW108" s="462">
        <f>SUMIF(C2:C391,C108,O2:O391)</f>
        <v>1</v>
      </c>
      <c r="AX108" s="462">
        <f>IF(AND(M108="F",AS108&lt;&gt;0),SUMIF(C2:C391,C108,W2:W391),0)</f>
        <v>60673.599999999999</v>
      </c>
      <c r="AY108" s="462">
        <f t="shared" si="19"/>
        <v>60673.599999999999</v>
      </c>
      <c r="AZ108" s="462" t="str">
        <f t="shared" si="20"/>
        <v/>
      </c>
      <c r="BA108" s="462">
        <f t="shared" si="21"/>
        <v>0</v>
      </c>
      <c r="BB108" s="462">
        <f>IF(AND(AT108=1,AK108="E",AU108&gt;=0.75,AW108=1),Health,IF(AND(AT108=1,AK108="E",AU108&gt;=0.75),Health*P108,IF(AND(AT108=1,AK108="E",AU108&gt;=0.5,AW108=1),PTHealth,IF(AND(AT108=1,AK108="E",AU108&gt;=0.5),PTHealth*P108,0))))</f>
        <v>11650</v>
      </c>
      <c r="BC108" s="462">
        <f>IF(AND(AT108=3,AK108="E",AV108&gt;=0.75,AW108=1),Health,IF(AND(AT108=3,AK108="E",AV108&gt;=0.75),Health*P108,IF(AND(AT108=3,AK108="E",AV108&gt;=0.5,AW108=1),PTHealth,IF(AND(AT108=3,AK108="E",AV108&gt;=0.5),PTHealth*P108,0))))</f>
        <v>0</v>
      </c>
      <c r="BD108" s="462">
        <f>IF(AND(AT108&lt;&gt;0,AX108&gt;=MAXSSDI),SSDI*MAXSSDI*P108,IF(AT108&lt;&gt;0,SSDI*W108,0))</f>
        <v>3761.7631999999999</v>
      </c>
      <c r="BE108" s="462">
        <f>IF(AT108&lt;&gt;0,SSHI*W108,0)</f>
        <v>879.7672</v>
      </c>
      <c r="BF108" s="462">
        <f>IF(AND(AT108&lt;&gt;0,AN108&lt;&gt;"NE"),VLOOKUP(AN108,Retirement_Rates,3,FALSE)*W108,0)</f>
        <v>7244.4278400000003</v>
      </c>
      <c r="BG108" s="462">
        <f>IF(AND(AT108&lt;&gt;0,AJ108&lt;&gt;"PF"),Life*W108,0)</f>
        <v>437.45665600000001</v>
      </c>
      <c r="BH108" s="462">
        <f>IF(AND(AT108&lt;&gt;0,AM108="Y"),UI*W108,0)</f>
        <v>297.30063999999999</v>
      </c>
      <c r="BI108" s="462">
        <f>IF(AND(AT108&lt;&gt;0,N108&lt;&gt;"NR"),DHR*W108,0)</f>
        <v>185.661216</v>
      </c>
      <c r="BJ108" s="462">
        <f>IF(AT108&lt;&gt;0,WC*W108,0)</f>
        <v>1632.1198400000001</v>
      </c>
      <c r="BK108" s="462">
        <f>IF(OR(AND(AT108&lt;&gt;0,AJ108&lt;&gt;"PF",AN108&lt;&gt;"NE",AG108&lt;&gt;"A"),AND(AL108="E",OR(AT108=1,AT108=3))),Sick*W108,0)</f>
        <v>0</v>
      </c>
      <c r="BL108" s="462">
        <f t="shared" si="22"/>
        <v>14438.496592</v>
      </c>
      <c r="BM108" s="462">
        <f t="shared" si="23"/>
        <v>0</v>
      </c>
      <c r="BN108" s="462">
        <f>IF(AND(AT108=1,AK108="E",AU108&gt;=0.75,AW108=1),HealthBY,IF(AND(AT108=1,AK108="E",AU108&gt;=0.75),HealthBY*P108,IF(AND(AT108=1,AK108="E",AU108&gt;=0.5,AW108=1),PTHealthBY,IF(AND(AT108=1,AK108="E",AU108&gt;=0.5),PTHealthBY*P108,0))))</f>
        <v>11650</v>
      </c>
      <c r="BO108" s="462">
        <f>IF(AND(AT108=3,AK108="E",AV108&gt;=0.75,AW108=1),HealthBY,IF(AND(AT108=3,AK108="E",AV108&gt;=0.75),HealthBY*P108,IF(AND(AT108=3,AK108="E",AV108&gt;=0.5,AW108=1),PTHealthBY,IF(AND(AT108=3,AK108="E",AV108&gt;=0.5),PTHealthBY*P108,0))))</f>
        <v>0</v>
      </c>
      <c r="BP108" s="462">
        <f>IF(AND(AT108&lt;&gt;0,(AX108+BA108)&gt;=MAXSSDIBY),SSDIBY*MAXSSDIBY*P108,IF(AT108&lt;&gt;0,SSDIBY*W108,0))</f>
        <v>3761.7631999999999</v>
      </c>
      <c r="BQ108" s="462">
        <f>IF(AT108&lt;&gt;0,SSHIBY*W108,0)</f>
        <v>879.7672</v>
      </c>
      <c r="BR108" s="462">
        <f>IF(AND(AT108&lt;&gt;0,AN108&lt;&gt;"NE"),VLOOKUP(AN108,Retirement_Rates,4,FALSE)*W108,0)</f>
        <v>7244.4278400000003</v>
      </c>
      <c r="BS108" s="462">
        <f>IF(AND(AT108&lt;&gt;0,AJ108&lt;&gt;"PF"),LifeBY*W108,0)</f>
        <v>437.45665600000001</v>
      </c>
      <c r="BT108" s="462">
        <f>IF(AND(AT108&lt;&gt;0,AM108="Y"),UIBY*W108,0)</f>
        <v>0</v>
      </c>
      <c r="BU108" s="462">
        <f>IF(AND(AT108&lt;&gt;0,N108&lt;&gt;"NR"),DHRBY*W108,0)</f>
        <v>185.661216</v>
      </c>
      <c r="BV108" s="462">
        <f>IF(AT108&lt;&gt;0,WCBY*W108,0)</f>
        <v>2105.37392</v>
      </c>
      <c r="BW108" s="462">
        <f>IF(OR(AND(AT108&lt;&gt;0,AJ108&lt;&gt;"PF",AN108&lt;&gt;"NE",AG108&lt;&gt;"A"),AND(AL108="E",OR(AT108=1,AT108=3))),SickBY*W108,0)</f>
        <v>0</v>
      </c>
      <c r="BX108" s="462">
        <f t="shared" si="24"/>
        <v>14614.450032000001</v>
      </c>
      <c r="BY108" s="462">
        <f t="shared" si="25"/>
        <v>0</v>
      </c>
      <c r="BZ108" s="462">
        <f t="shared" si="26"/>
        <v>0</v>
      </c>
      <c r="CA108" s="462">
        <f t="shared" si="27"/>
        <v>0</v>
      </c>
      <c r="CB108" s="462">
        <f t="shared" si="28"/>
        <v>0</v>
      </c>
      <c r="CC108" s="462">
        <f>IF(AT108&lt;&gt;0,SSHICHG*Y108,0)</f>
        <v>0</v>
      </c>
      <c r="CD108" s="462">
        <f>IF(AND(AT108&lt;&gt;0,AN108&lt;&gt;"NE"),VLOOKUP(AN108,Retirement_Rates,5,FALSE)*Y108,0)</f>
        <v>0</v>
      </c>
      <c r="CE108" s="462">
        <f>IF(AND(AT108&lt;&gt;0,AJ108&lt;&gt;"PF"),LifeCHG*Y108,0)</f>
        <v>0</v>
      </c>
      <c r="CF108" s="462">
        <f>IF(AND(AT108&lt;&gt;0,AM108="Y"),UICHG*Y108,0)</f>
        <v>-297.30063999999999</v>
      </c>
      <c r="CG108" s="462">
        <f>IF(AND(AT108&lt;&gt;0,N108&lt;&gt;"NR"),DHRCHG*Y108,0)</f>
        <v>0</v>
      </c>
      <c r="CH108" s="462">
        <f>IF(AT108&lt;&gt;0,WCCHG*Y108,0)</f>
        <v>473.25408000000004</v>
      </c>
      <c r="CI108" s="462">
        <f>IF(OR(AND(AT108&lt;&gt;0,AJ108&lt;&gt;"PF",AN108&lt;&gt;"NE",AG108&lt;&gt;"A"),AND(AL108="E",OR(AT108=1,AT108=3))),SickCHG*Y108,0)</f>
        <v>0</v>
      </c>
      <c r="CJ108" s="462">
        <f t="shared" si="29"/>
        <v>175.95344000000006</v>
      </c>
      <c r="CK108" s="462" t="str">
        <f t="shared" si="30"/>
        <v/>
      </c>
      <c r="CL108" s="462" t="str">
        <f t="shared" si="31"/>
        <v/>
      </c>
      <c r="CM108" s="462" t="str">
        <f t="shared" si="32"/>
        <v/>
      </c>
      <c r="CN108" s="462" t="str">
        <f t="shared" si="33"/>
        <v>0001-00</v>
      </c>
    </row>
    <row r="109" spans="1:92" ht="15" thickBot="1" x14ac:dyDescent="0.35">
      <c r="A109" s="376" t="s">
        <v>161</v>
      </c>
      <c r="B109" s="376" t="s">
        <v>162</v>
      </c>
      <c r="C109" s="376" t="s">
        <v>485</v>
      </c>
      <c r="D109" s="376" t="s">
        <v>185</v>
      </c>
      <c r="E109" s="376" t="s">
        <v>165</v>
      </c>
      <c r="F109" s="377" t="s">
        <v>166</v>
      </c>
      <c r="G109" s="376" t="s">
        <v>432</v>
      </c>
      <c r="H109" s="378"/>
      <c r="I109" s="378"/>
      <c r="J109" s="376" t="s">
        <v>168</v>
      </c>
      <c r="K109" s="376" t="s">
        <v>186</v>
      </c>
      <c r="L109" s="376" t="s">
        <v>178</v>
      </c>
      <c r="M109" s="376" t="s">
        <v>171</v>
      </c>
      <c r="N109" s="376" t="s">
        <v>172</v>
      </c>
      <c r="O109" s="379">
        <v>1</v>
      </c>
      <c r="P109" s="460">
        <v>1</v>
      </c>
      <c r="Q109" s="460">
        <v>1</v>
      </c>
      <c r="R109" s="380">
        <v>80</v>
      </c>
      <c r="S109" s="460">
        <v>1</v>
      </c>
      <c r="T109" s="380">
        <v>32095.87</v>
      </c>
      <c r="U109" s="380">
        <v>0</v>
      </c>
      <c r="V109" s="380">
        <v>19225.29</v>
      </c>
      <c r="W109" s="380">
        <v>24429.599999999999</v>
      </c>
      <c r="X109" s="380">
        <v>17463.47</v>
      </c>
      <c r="Y109" s="380">
        <v>24429.599999999999</v>
      </c>
      <c r="Z109" s="380">
        <v>17534.32</v>
      </c>
      <c r="AA109" s="376" t="s">
        <v>486</v>
      </c>
      <c r="AB109" s="376" t="s">
        <v>487</v>
      </c>
      <c r="AC109" s="376" t="s">
        <v>488</v>
      </c>
      <c r="AD109" s="376" t="s">
        <v>170</v>
      </c>
      <c r="AE109" s="376" t="s">
        <v>186</v>
      </c>
      <c r="AF109" s="376" t="s">
        <v>190</v>
      </c>
      <c r="AG109" s="376" t="s">
        <v>178</v>
      </c>
      <c r="AH109" s="381">
        <v>15.66</v>
      </c>
      <c r="AI109" s="381">
        <v>21359.4</v>
      </c>
      <c r="AJ109" s="376" t="s">
        <v>249</v>
      </c>
      <c r="AK109" s="376" t="s">
        <v>180</v>
      </c>
      <c r="AL109" s="376" t="s">
        <v>181</v>
      </c>
      <c r="AM109" s="376" t="s">
        <v>182</v>
      </c>
      <c r="AN109" s="376" t="s">
        <v>68</v>
      </c>
      <c r="AO109" s="379">
        <v>60</v>
      </c>
      <c r="AP109" s="460">
        <v>1</v>
      </c>
      <c r="AQ109" s="460">
        <v>0.75</v>
      </c>
      <c r="AR109" s="458" t="s">
        <v>183</v>
      </c>
      <c r="AS109" s="462">
        <f t="shared" si="17"/>
        <v>0.75</v>
      </c>
      <c r="AT109">
        <f t="shared" si="18"/>
        <v>1</v>
      </c>
      <c r="AU109" s="462">
        <f>IF(AT109=0,"",IF(AND(AT109=1,M109="F",SUMIF(C2:C391,C109,AS2:AS391)&lt;=1),SUMIF(C2:C391,C109,AS2:AS391),IF(AND(AT109=1,M109="F",SUMIF(C2:C391,C109,AS2:AS391)&gt;1),1,"")))</f>
        <v>0.75</v>
      </c>
      <c r="AV109" s="462" t="str">
        <f>IF(AT109=0,"",IF(AND(AT109=3,M109="F",SUMIF(C2:C391,C109,AS2:AS391)&lt;=1),SUMIF(C2:C391,C109,AS2:AS391),IF(AND(AT109=3,M109="F",SUMIF(C2:C391,C109,AS2:AS391)&gt;1),1,"")))</f>
        <v/>
      </c>
      <c r="AW109" s="462">
        <f>SUMIF(C2:C391,C109,O2:O391)</f>
        <v>1</v>
      </c>
      <c r="AX109" s="462">
        <f>IF(AND(M109="F",AS109&lt;&gt;0),SUMIF(C2:C391,C109,W2:W391),0)</f>
        <v>24429.599999999999</v>
      </c>
      <c r="AY109" s="462">
        <f t="shared" si="19"/>
        <v>24429.599999999999</v>
      </c>
      <c r="AZ109" s="462" t="str">
        <f t="shared" si="20"/>
        <v/>
      </c>
      <c r="BA109" s="462">
        <f t="shared" si="21"/>
        <v>0</v>
      </c>
      <c r="BB109" s="462">
        <f>IF(AND(AT109=1,AK109="E",AU109&gt;=0.75,AW109=1),Health,IF(AND(AT109=1,AK109="E",AU109&gt;=0.75),Health*P109,IF(AND(AT109=1,AK109="E",AU109&gt;=0.5,AW109=1),PTHealth,IF(AND(AT109=1,AK109="E",AU109&gt;=0.5),PTHealth*P109,0))))</f>
        <v>11650</v>
      </c>
      <c r="BC109" s="462">
        <f>IF(AND(AT109=3,AK109="E",AV109&gt;=0.75,AW109=1),Health,IF(AND(AT109=3,AK109="E",AV109&gt;=0.75),Health*P109,IF(AND(AT109=3,AK109="E",AV109&gt;=0.5,AW109=1),PTHealth,IF(AND(AT109=3,AK109="E",AV109&gt;=0.5),PTHealth*P109,0))))</f>
        <v>0</v>
      </c>
      <c r="BD109" s="462">
        <f>IF(AND(AT109&lt;&gt;0,AX109&gt;=MAXSSDI),SSDI*MAXSSDI*P109,IF(AT109&lt;&gt;0,SSDI*W109,0))</f>
        <v>1514.6351999999999</v>
      </c>
      <c r="BE109" s="462">
        <f>IF(AT109&lt;&gt;0,SSHI*W109,0)</f>
        <v>354.22919999999999</v>
      </c>
      <c r="BF109" s="462">
        <f>IF(AND(AT109&lt;&gt;0,AN109&lt;&gt;"NE"),VLOOKUP(AN109,Retirement_Rates,3,FALSE)*W109,0)</f>
        <v>2916.8942400000001</v>
      </c>
      <c r="BG109" s="462">
        <f>IF(AND(AT109&lt;&gt;0,AJ109&lt;&gt;"PF"),Life*W109,0)</f>
        <v>176.137416</v>
      </c>
      <c r="BH109" s="462">
        <f>IF(AND(AT109&lt;&gt;0,AM109="Y"),UI*W109,0)</f>
        <v>119.70503999999998</v>
      </c>
      <c r="BI109" s="462">
        <f>IF(AND(AT109&lt;&gt;0,N109&lt;&gt;"NR"),DHR*W109,0)</f>
        <v>74.754575999999986</v>
      </c>
      <c r="BJ109" s="462">
        <f>IF(AT109&lt;&gt;0,WC*W109,0)</f>
        <v>657.15623999999991</v>
      </c>
      <c r="BK109" s="462">
        <f>IF(OR(AND(AT109&lt;&gt;0,AJ109&lt;&gt;"PF",AN109&lt;&gt;"NE",AG109&lt;&gt;"A"),AND(AL109="E",OR(AT109=1,AT109=3))),Sick*W109,0)</f>
        <v>0</v>
      </c>
      <c r="BL109" s="462">
        <f t="shared" si="22"/>
        <v>5813.5119119999999</v>
      </c>
      <c r="BM109" s="462">
        <f t="shared" si="23"/>
        <v>0</v>
      </c>
      <c r="BN109" s="462">
        <f>IF(AND(AT109=1,AK109="E",AU109&gt;=0.75,AW109=1),HealthBY,IF(AND(AT109=1,AK109="E",AU109&gt;=0.75),HealthBY*P109,IF(AND(AT109=1,AK109="E",AU109&gt;=0.5,AW109=1),PTHealthBY,IF(AND(AT109=1,AK109="E",AU109&gt;=0.5),PTHealthBY*P109,0))))</f>
        <v>11650</v>
      </c>
      <c r="BO109" s="462">
        <f>IF(AND(AT109=3,AK109="E",AV109&gt;=0.75,AW109=1),HealthBY,IF(AND(AT109=3,AK109="E",AV109&gt;=0.75),HealthBY*P109,IF(AND(AT109=3,AK109="E",AV109&gt;=0.5,AW109=1),PTHealthBY,IF(AND(AT109=3,AK109="E",AV109&gt;=0.5),PTHealthBY*P109,0))))</f>
        <v>0</v>
      </c>
      <c r="BP109" s="462">
        <f>IF(AND(AT109&lt;&gt;0,(AX109+BA109)&gt;=MAXSSDIBY),SSDIBY*MAXSSDIBY*P109,IF(AT109&lt;&gt;0,SSDIBY*W109,0))</f>
        <v>1514.6351999999999</v>
      </c>
      <c r="BQ109" s="462">
        <f>IF(AT109&lt;&gt;0,SSHIBY*W109,0)</f>
        <v>354.22919999999999</v>
      </c>
      <c r="BR109" s="462">
        <f>IF(AND(AT109&lt;&gt;0,AN109&lt;&gt;"NE"),VLOOKUP(AN109,Retirement_Rates,4,FALSE)*W109,0)</f>
        <v>2916.8942400000001</v>
      </c>
      <c r="BS109" s="462">
        <f>IF(AND(AT109&lt;&gt;0,AJ109&lt;&gt;"PF"),LifeBY*W109,0)</f>
        <v>176.137416</v>
      </c>
      <c r="BT109" s="462">
        <f>IF(AND(AT109&lt;&gt;0,AM109="Y"),UIBY*W109,0)</f>
        <v>0</v>
      </c>
      <c r="BU109" s="462">
        <f>IF(AND(AT109&lt;&gt;0,N109&lt;&gt;"NR"),DHRBY*W109,0)</f>
        <v>74.754575999999986</v>
      </c>
      <c r="BV109" s="462">
        <f>IF(AT109&lt;&gt;0,WCBY*W109,0)</f>
        <v>847.70712000000003</v>
      </c>
      <c r="BW109" s="462">
        <f>IF(OR(AND(AT109&lt;&gt;0,AJ109&lt;&gt;"PF",AN109&lt;&gt;"NE",AG109&lt;&gt;"A"),AND(AL109="E",OR(AT109=1,AT109=3))),SickBY*W109,0)</f>
        <v>0</v>
      </c>
      <c r="BX109" s="462">
        <f t="shared" si="24"/>
        <v>5884.3577519999999</v>
      </c>
      <c r="BY109" s="462">
        <f t="shared" si="25"/>
        <v>0</v>
      </c>
      <c r="BZ109" s="462">
        <f t="shared" si="26"/>
        <v>0</v>
      </c>
      <c r="CA109" s="462">
        <f t="shared" si="27"/>
        <v>0</v>
      </c>
      <c r="CB109" s="462">
        <f t="shared" si="28"/>
        <v>0</v>
      </c>
      <c r="CC109" s="462">
        <f>IF(AT109&lt;&gt;0,SSHICHG*Y109,0)</f>
        <v>0</v>
      </c>
      <c r="CD109" s="462">
        <f>IF(AND(AT109&lt;&gt;0,AN109&lt;&gt;"NE"),VLOOKUP(AN109,Retirement_Rates,5,FALSE)*Y109,0)</f>
        <v>0</v>
      </c>
      <c r="CE109" s="462">
        <f>IF(AND(AT109&lt;&gt;0,AJ109&lt;&gt;"PF"),LifeCHG*Y109,0)</f>
        <v>0</v>
      </c>
      <c r="CF109" s="462">
        <f>IF(AND(AT109&lt;&gt;0,AM109="Y"),UICHG*Y109,0)</f>
        <v>-119.70503999999998</v>
      </c>
      <c r="CG109" s="462">
        <f>IF(AND(AT109&lt;&gt;0,N109&lt;&gt;"NR"),DHRCHG*Y109,0)</f>
        <v>0</v>
      </c>
      <c r="CH109" s="462">
        <f>IF(AT109&lt;&gt;0,WCCHG*Y109,0)</f>
        <v>190.55088000000003</v>
      </c>
      <c r="CI109" s="462">
        <f>IF(OR(AND(AT109&lt;&gt;0,AJ109&lt;&gt;"PF",AN109&lt;&gt;"NE",AG109&lt;&gt;"A"),AND(AL109="E",OR(AT109=1,AT109=3))),SickCHG*Y109,0)</f>
        <v>0</v>
      </c>
      <c r="CJ109" s="462">
        <f t="shared" si="29"/>
        <v>70.845840000000052</v>
      </c>
      <c r="CK109" s="462" t="str">
        <f t="shared" si="30"/>
        <v/>
      </c>
      <c r="CL109" s="462" t="str">
        <f t="shared" si="31"/>
        <v/>
      </c>
      <c r="CM109" s="462" t="str">
        <f t="shared" si="32"/>
        <v/>
      </c>
      <c r="CN109" s="462" t="str">
        <f t="shared" si="33"/>
        <v>0001-00</v>
      </c>
    </row>
    <row r="110" spans="1:92" ht="15" thickBot="1" x14ac:dyDescent="0.35">
      <c r="A110" s="376" t="s">
        <v>161</v>
      </c>
      <c r="B110" s="376" t="s">
        <v>162</v>
      </c>
      <c r="C110" s="376" t="s">
        <v>489</v>
      </c>
      <c r="D110" s="376" t="s">
        <v>438</v>
      </c>
      <c r="E110" s="376" t="s">
        <v>165</v>
      </c>
      <c r="F110" s="377" t="s">
        <v>166</v>
      </c>
      <c r="G110" s="376" t="s">
        <v>432</v>
      </c>
      <c r="H110" s="378"/>
      <c r="I110" s="378"/>
      <c r="J110" s="376" t="s">
        <v>168</v>
      </c>
      <c r="K110" s="376" t="s">
        <v>439</v>
      </c>
      <c r="L110" s="376" t="s">
        <v>231</v>
      </c>
      <c r="M110" s="376" t="s">
        <v>171</v>
      </c>
      <c r="N110" s="376" t="s">
        <v>172</v>
      </c>
      <c r="O110" s="379">
        <v>1</v>
      </c>
      <c r="P110" s="460">
        <v>1</v>
      </c>
      <c r="Q110" s="460">
        <v>1</v>
      </c>
      <c r="R110" s="380">
        <v>80</v>
      </c>
      <c r="S110" s="460">
        <v>1</v>
      </c>
      <c r="T110" s="380">
        <v>42111.4</v>
      </c>
      <c r="U110" s="380">
        <v>0</v>
      </c>
      <c r="V110" s="380">
        <v>22344.03</v>
      </c>
      <c r="W110" s="380">
        <v>41225.599999999999</v>
      </c>
      <c r="X110" s="380">
        <v>21460.42</v>
      </c>
      <c r="Y110" s="380">
        <v>41225.599999999999</v>
      </c>
      <c r="Z110" s="380">
        <v>21579.98</v>
      </c>
      <c r="AA110" s="376" t="s">
        <v>490</v>
      </c>
      <c r="AB110" s="376" t="s">
        <v>491</v>
      </c>
      <c r="AC110" s="376" t="s">
        <v>492</v>
      </c>
      <c r="AD110" s="376" t="s">
        <v>324</v>
      </c>
      <c r="AE110" s="376" t="s">
        <v>439</v>
      </c>
      <c r="AF110" s="376" t="s">
        <v>236</v>
      </c>
      <c r="AG110" s="376" t="s">
        <v>178</v>
      </c>
      <c r="AH110" s="381">
        <v>19.82</v>
      </c>
      <c r="AI110" s="381">
        <v>17388.099999999999</v>
      </c>
      <c r="AJ110" s="376" t="s">
        <v>179</v>
      </c>
      <c r="AK110" s="376" t="s">
        <v>180</v>
      </c>
      <c r="AL110" s="376" t="s">
        <v>181</v>
      </c>
      <c r="AM110" s="376" t="s">
        <v>182</v>
      </c>
      <c r="AN110" s="376" t="s">
        <v>68</v>
      </c>
      <c r="AO110" s="379">
        <v>80</v>
      </c>
      <c r="AP110" s="460">
        <v>1</v>
      </c>
      <c r="AQ110" s="460">
        <v>1</v>
      </c>
      <c r="AR110" s="458" t="s">
        <v>183</v>
      </c>
      <c r="AS110" s="462">
        <f t="shared" si="17"/>
        <v>1</v>
      </c>
      <c r="AT110">
        <f t="shared" si="18"/>
        <v>1</v>
      </c>
      <c r="AU110" s="462">
        <f>IF(AT110=0,"",IF(AND(AT110=1,M110="F",SUMIF(C2:C391,C110,AS2:AS391)&lt;=1),SUMIF(C2:C391,C110,AS2:AS391),IF(AND(AT110=1,M110="F",SUMIF(C2:C391,C110,AS2:AS391)&gt;1),1,"")))</f>
        <v>1</v>
      </c>
      <c r="AV110" s="462" t="str">
        <f>IF(AT110=0,"",IF(AND(AT110=3,M110="F",SUMIF(C2:C391,C110,AS2:AS391)&lt;=1),SUMIF(C2:C391,C110,AS2:AS391),IF(AND(AT110=3,M110="F",SUMIF(C2:C391,C110,AS2:AS391)&gt;1),1,"")))</f>
        <v/>
      </c>
      <c r="AW110" s="462">
        <f>SUMIF(C2:C391,C110,O2:O391)</f>
        <v>1</v>
      </c>
      <c r="AX110" s="462">
        <f>IF(AND(M110="F",AS110&lt;&gt;0),SUMIF(C2:C391,C110,W2:W391),0)</f>
        <v>41225.599999999999</v>
      </c>
      <c r="AY110" s="462">
        <f t="shared" si="19"/>
        <v>41225.599999999999</v>
      </c>
      <c r="AZ110" s="462" t="str">
        <f t="shared" si="20"/>
        <v/>
      </c>
      <c r="BA110" s="462">
        <f t="shared" si="21"/>
        <v>0</v>
      </c>
      <c r="BB110" s="462">
        <f>IF(AND(AT110=1,AK110="E",AU110&gt;=0.75,AW110=1),Health,IF(AND(AT110=1,AK110="E",AU110&gt;=0.75),Health*P110,IF(AND(AT110=1,AK110="E",AU110&gt;=0.5,AW110=1),PTHealth,IF(AND(AT110=1,AK110="E",AU110&gt;=0.5),PTHealth*P110,0))))</f>
        <v>11650</v>
      </c>
      <c r="BC110" s="462">
        <f>IF(AND(AT110=3,AK110="E",AV110&gt;=0.75,AW110=1),Health,IF(AND(AT110=3,AK110="E",AV110&gt;=0.75),Health*P110,IF(AND(AT110=3,AK110="E",AV110&gt;=0.5,AW110=1),PTHealth,IF(AND(AT110=3,AK110="E",AV110&gt;=0.5),PTHealth*P110,0))))</f>
        <v>0</v>
      </c>
      <c r="BD110" s="462">
        <f>IF(AND(AT110&lt;&gt;0,AX110&gt;=MAXSSDI),SSDI*MAXSSDI*P110,IF(AT110&lt;&gt;0,SSDI*W110,0))</f>
        <v>2555.9872</v>
      </c>
      <c r="BE110" s="462">
        <f>IF(AT110&lt;&gt;0,SSHI*W110,0)</f>
        <v>597.77120000000002</v>
      </c>
      <c r="BF110" s="462">
        <f>IF(AND(AT110&lt;&gt;0,AN110&lt;&gt;"NE"),VLOOKUP(AN110,Retirement_Rates,3,FALSE)*W110,0)</f>
        <v>4922.3366400000004</v>
      </c>
      <c r="BG110" s="462">
        <f>IF(AND(AT110&lt;&gt;0,AJ110&lt;&gt;"PF"),Life*W110,0)</f>
        <v>297.23657600000001</v>
      </c>
      <c r="BH110" s="462">
        <f>IF(AND(AT110&lt;&gt;0,AM110="Y"),UI*W110,0)</f>
        <v>202.00543999999999</v>
      </c>
      <c r="BI110" s="462">
        <f>IF(AND(AT110&lt;&gt;0,N110&lt;&gt;"NR"),DHR*W110,0)</f>
        <v>126.15033599999998</v>
      </c>
      <c r="BJ110" s="462">
        <f>IF(AT110&lt;&gt;0,WC*W110,0)</f>
        <v>1108.9686400000001</v>
      </c>
      <c r="BK110" s="462">
        <f>IF(OR(AND(AT110&lt;&gt;0,AJ110&lt;&gt;"PF",AN110&lt;&gt;"NE",AG110&lt;&gt;"A"),AND(AL110="E",OR(AT110=1,AT110=3))),Sick*W110,0)</f>
        <v>0</v>
      </c>
      <c r="BL110" s="462">
        <f t="shared" si="22"/>
        <v>9810.4560320000019</v>
      </c>
      <c r="BM110" s="462">
        <f t="shared" si="23"/>
        <v>0</v>
      </c>
      <c r="BN110" s="462">
        <f>IF(AND(AT110=1,AK110="E",AU110&gt;=0.75,AW110=1),HealthBY,IF(AND(AT110=1,AK110="E",AU110&gt;=0.75),HealthBY*P110,IF(AND(AT110=1,AK110="E",AU110&gt;=0.5,AW110=1),PTHealthBY,IF(AND(AT110=1,AK110="E",AU110&gt;=0.5),PTHealthBY*P110,0))))</f>
        <v>11650</v>
      </c>
      <c r="BO110" s="462">
        <f>IF(AND(AT110=3,AK110="E",AV110&gt;=0.75,AW110=1),HealthBY,IF(AND(AT110=3,AK110="E",AV110&gt;=0.75),HealthBY*P110,IF(AND(AT110=3,AK110="E",AV110&gt;=0.5,AW110=1),PTHealthBY,IF(AND(AT110=3,AK110="E",AV110&gt;=0.5),PTHealthBY*P110,0))))</f>
        <v>0</v>
      </c>
      <c r="BP110" s="462">
        <f>IF(AND(AT110&lt;&gt;0,(AX110+BA110)&gt;=MAXSSDIBY),SSDIBY*MAXSSDIBY*P110,IF(AT110&lt;&gt;0,SSDIBY*W110,0))</f>
        <v>2555.9872</v>
      </c>
      <c r="BQ110" s="462">
        <f>IF(AT110&lt;&gt;0,SSHIBY*W110,0)</f>
        <v>597.77120000000002</v>
      </c>
      <c r="BR110" s="462">
        <f>IF(AND(AT110&lt;&gt;0,AN110&lt;&gt;"NE"),VLOOKUP(AN110,Retirement_Rates,4,FALSE)*W110,0)</f>
        <v>4922.3366400000004</v>
      </c>
      <c r="BS110" s="462">
        <f>IF(AND(AT110&lt;&gt;0,AJ110&lt;&gt;"PF"),LifeBY*W110,0)</f>
        <v>297.23657600000001</v>
      </c>
      <c r="BT110" s="462">
        <f>IF(AND(AT110&lt;&gt;0,AM110="Y"),UIBY*W110,0)</f>
        <v>0</v>
      </c>
      <c r="BU110" s="462">
        <f>IF(AND(AT110&lt;&gt;0,N110&lt;&gt;"NR"),DHRBY*W110,0)</f>
        <v>126.15033599999998</v>
      </c>
      <c r="BV110" s="462">
        <f>IF(AT110&lt;&gt;0,WCBY*W110,0)</f>
        <v>1430.5283200000001</v>
      </c>
      <c r="BW110" s="462">
        <f>IF(OR(AND(AT110&lt;&gt;0,AJ110&lt;&gt;"PF",AN110&lt;&gt;"NE",AG110&lt;&gt;"A"),AND(AL110="E",OR(AT110=1,AT110=3))),SickBY*W110,0)</f>
        <v>0</v>
      </c>
      <c r="BX110" s="462">
        <f t="shared" si="24"/>
        <v>9930.0102719999995</v>
      </c>
      <c r="BY110" s="462">
        <f t="shared" si="25"/>
        <v>0</v>
      </c>
      <c r="BZ110" s="462">
        <f t="shared" si="26"/>
        <v>0</v>
      </c>
      <c r="CA110" s="462">
        <f t="shared" si="27"/>
        <v>0</v>
      </c>
      <c r="CB110" s="462">
        <f t="shared" si="28"/>
        <v>0</v>
      </c>
      <c r="CC110" s="462">
        <f>IF(AT110&lt;&gt;0,SSHICHG*Y110,0)</f>
        <v>0</v>
      </c>
      <c r="CD110" s="462">
        <f>IF(AND(AT110&lt;&gt;0,AN110&lt;&gt;"NE"),VLOOKUP(AN110,Retirement_Rates,5,FALSE)*Y110,0)</f>
        <v>0</v>
      </c>
      <c r="CE110" s="462">
        <f>IF(AND(AT110&lt;&gt;0,AJ110&lt;&gt;"PF"),LifeCHG*Y110,0)</f>
        <v>0</v>
      </c>
      <c r="CF110" s="462">
        <f>IF(AND(AT110&lt;&gt;0,AM110="Y"),UICHG*Y110,0)</f>
        <v>-202.00543999999999</v>
      </c>
      <c r="CG110" s="462">
        <f>IF(AND(AT110&lt;&gt;0,N110&lt;&gt;"NR"),DHRCHG*Y110,0)</f>
        <v>0</v>
      </c>
      <c r="CH110" s="462">
        <f>IF(AT110&lt;&gt;0,WCCHG*Y110,0)</f>
        <v>321.55968000000007</v>
      </c>
      <c r="CI110" s="462">
        <f>IF(OR(AND(AT110&lt;&gt;0,AJ110&lt;&gt;"PF",AN110&lt;&gt;"NE",AG110&lt;&gt;"A"),AND(AL110="E",OR(AT110=1,AT110=3))),SickCHG*Y110,0)</f>
        <v>0</v>
      </c>
      <c r="CJ110" s="462">
        <f t="shared" si="29"/>
        <v>119.55424000000008</v>
      </c>
      <c r="CK110" s="462" t="str">
        <f t="shared" si="30"/>
        <v/>
      </c>
      <c r="CL110" s="462" t="str">
        <f t="shared" si="31"/>
        <v/>
      </c>
      <c r="CM110" s="462" t="str">
        <f t="shared" si="32"/>
        <v/>
      </c>
      <c r="CN110" s="462" t="str">
        <f t="shared" si="33"/>
        <v>0001-00</v>
      </c>
    </row>
    <row r="111" spans="1:92" ht="15" thickBot="1" x14ac:dyDescent="0.35">
      <c r="A111" s="376" t="s">
        <v>161</v>
      </c>
      <c r="B111" s="376" t="s">
        <v>162</v>
      </c>
      <c r="C111" s="376" t="s">
        <v>493</v>
      </c>
      <c r="D111" s="376" t="s">
        <v>438</v>
      </c>
      <c r="E111" s="376" t="s">
        <v>165</v>
      </c>
      <c r="F111" s="377" t="s">
        <v>166</v>
      </c>
      <c r="G111" s="376" t="s">
        <v>432</v>
      </c>
      <c r="H111" s="378"/>
      <c r="I111" s="378"/>
      <c r="J111" s="376" t="s">
        <v>168</v>
      </c>
      <c r="K111" s="376" t="s">
        <v>439</v>
      </c>
      <c r="L111" s="376" t="s">
        <v>231</v>
      </c>
      <c r="M111" s="376" t="s">
        <v>171</v>
      </c>
      <c r="N111" s="376" t="s">
        <v>172</v>
      </c>
      <c r="O111" s="379">
        <v>1</v>
      </c>
      <c r="P111" s="460">
        <v>1</v>
      </c>
      <c r="Q111" s="460">
        <v>1</v>
      </c>
      <c r="R111" s="380">
        <v>80</v>
      </c>
      <c r="S111" s="460">
        <v>1</v>
      </c>
      <c r="T111" s="380">
        <v>41828.800000000003</v>
      </c>
      <c r="U111" s="380">
        <v>0</v>
      </c>
      <c r="V111" s="380">
        <v>21391.93</v>
      </c>
      <c r="W111" s="380">
        <v>42224</v>
      </c>
      <c r="X111" s="380">
        <v>21698</v>
      </c>
      <c r="Y111" s="380">
        <v>42224</v>
      </c>
      <c r="Z111" s="380">
        <v>21820.46</v>
      </c>
      <c r="AA111" s="376" t="s">
        <v>494</v>
      </c>
      <c r="AB111" s="376" t="s">
        <v>495</v>
      </c>
      <c r="AC111" s="376" t="s">
        <v>496</v>
      </c>
      <c r="AD111" s="376" t="s">
        <v>497</v>
      </c>
      <c r="AE111" s="376" t="s">
        <v>439</v>
      </c>
      <c r="AF111" s="376" t="s">
        <v>236</v>
      </c>
      <c r="AG111" s="376" t="s">
        <v>178</v>
      </c>
      <c r="AH111" s="381">
        <v>20.3</v>
      </c>
      <c r="AI111" s="381">
        <v>14423.9</v>
      </c>
      <c r="AJ111" s="376" t="s">
        <v>179</v>
      </c>
      <c r="AK111" s="376" t="s">
        <v>180</v>
      </c>
      <c r="AL111" s="376" t="s">
        <v>181</v>
      </c>
      <c r="AM111" s="376" t="s">
        <v>182</v>
      </c>
      <c r="AN111" s="376" t="s">
        <v>68</v>
      </c>
      <c r="AO111" s="379">
        <v>80</v>
      </c>
      <c r="AP111" s="460">
        <v>1</v>
      </c>
      <c r="AQ111" s="460">
        <v>1</v>
      </c>
      <c r="AR111" s="458" t="s">
        <v>183</v>
      </c>
      <c r="AS111" s="462">
        <f t="shared" si="17"/>
        <v>1</v>
      </c>
      <c r="AT111">
        <f t="shared" si="18"/>
        <v>1</v>
      </c>
      <c r="AU111" s="462">
        <f>IF(AT111=0,"",IF(AND(AT111=1,M111="F",SUMIF(C2:C391,C111,AS2:AS391)&lt;=1),SUMIF(C2:C391,C111,AS2:AS391),IF(AND(AT111=1,M111="F",SUMIF(C2:C391,C111,AS2:AS391)&gt;1),1,"")))</f>
        <v>1</v>
      </c>
      <c r="AV111" s="462" t="str">
        <f>IF(AT111=0,"",IF(AND(AT111=3,M111="F",SUMIF(C2:C391,C111,AS2:AS391)&lt;=1),SUMIF(C2:C391,C111,AS2:AS391),IF(AND(AT111=3,M111="F",SUMIF(C2:C391,C111,AS2:AS391)&gt;1),1,"")))</f>
        <v/>
      </c>
      <c r="AW111" s="462">
        <f>SUMIF(C2:C391,C111,O2:O391)</f>
        <v>1</v>
      </c>
      <c r="AX111" s="462">
        <f>IF(AND(M111="F",AS111&lt;&gt;0),SUMIF(C2:C391,C111,W2:W391),0)</f>
        <v>42224</v>
      </c>
      <c r="AY111" s="462">
        <f t="shared" si="19"/>
        <v>42224</v>
      </c>
      <c r="AZ111" s="462" t="str">
        <f t="shared" si="20"/>
        <v/>
      </c>
      <c r="BA111" s="462">
        <f t="shared" si="21"/>
        <v>0</v>
      </c>
      <c r="BB111" s="462">
        <f>IF(AND(AT111=1,AK111="E",AU111&gt;=0.75,AW111=1),Health,IF(AND(AT111=1,AK111="E",AU111&gt;=0.75),Health*P111,IF(AND(AT111=1,AK111="E",AU111&gt;=0.5,AW111=1),PTHealth,IF(AND(AT111=1,AK111="E",AU111&gt;=0.5),PTHealth*P111,0))))</f>
        <v>11650</v>
      </c>
      <c r="BC111" s="462">
        <f>IF(AND(AT111=3,AK111="E",AV111&gt;=0.75,AW111=1),Health,IF(AND(AT111=3,AK111="E",AV111&gt;=0.75),Health*P111,IF(AND(AT111=3,AK111="E",AV111&gt;=0.5,AW111=1),PTHealth,IF(AND(AT111=3,AK111="E",AV111&gt;=0.5),PTHealth*P111,0))))</f>
        <v>0</v>
      </c>
      <c r="BD111" s="462">
        <f>IF(AND(AT111&lt;&gt;0,AX111&gt;=MAXSSDI),SSDI*MAXSSDI*P111,IF(AT111&lt;&gt;0,SSDI*W111,0))</f>
        <v>2617.8879999999999</v>
      </c>
      <c r="BE111" s="462">
        <f>IF(AT111&lt;&gt;0,SSHI*W111,0)</f>
        <v>612.24800000000005</v>
      </c>
      <c r="BF111" s="462">
        <f>IF(AND(AT111&lt;&gt;0,AN111&lt;&gt;"NE"),VLOOKUP(AN111,Retirement_Rates,3,FALSE)*W111,0)</f>
        <v>5041.5456000000004</v>
      </c>
      <c r="BG111" s="462">
        <f>IF(AND(AT111&lt;&gt;0,AJ111&lt;&gt;"PF"),Life*W111,0)</f>
        <v>304.43504000000001</v>
      </c>
      <c r="BH111" s="462">
        <f>IF(AND(AT111&lt;&gt;0,AM111="Y"),UI*W111,0)</f>
        <v>206.89759999999998</v>
      </c>
      <c r="BI111" s="462">
        <f>IF(AND(AT111&lt;&gt;0,N111&lt;&gt;"NR"),DHR*W111,0)</f>
        <v>129.20543999999998</v>
      </c>
      <c r="BJ111" s="462">
        <f>IF(AT111&lt;&gt;0,WC*W111,0)</f>
        <v>1135.8256000000001</v>
      </c>
      <c r="BK111" s="462">
        <f>IF(OR(AND(AT111&lt;&gt;0,AJ111&lt;&gt;"PF",AN111&lt;&gt;"NE",AG111&lt;&gt;"A"),AND(AL111="E",OR(AT111=1,AT111=3))),Sick*W111,0)</f>
        <v>0</v>
      </c>
      <c r="BL111" s="462">
        <f t="shared" si="22"/>
        <v>10048.04528</v>
      </c>
      <c r="BM111" s="462">
        <f t="shared" si="23"/>
        <v>0</v>
      </c>
      <c r="BN111" s="462">
        <f>IF(AND(AT111=1,AK111="E",AU111&gt;=0.75,AW111=1),HealthBY,IF(AND(AT111=1,AK111="E",AU111&gt;=0.75),HealthBY*P111,IF(AND(AT111=1,AK111="E",AU111&gt;=0.5,AW111=1),PTHealthBY,IF(AND(AT111=1,AK111="E",AU111&gt;=0.5),PTHealthBY*P111,0))))</f>
        <v>11650</v>
      </c>
      <c r="BO111" s="462">
        <f>IF(AND(AT111=3,AK111="E",AV111&gt;=0.75,AW111=1),HealthBY,IF(AND(AT111=3,AK111="E",AV111&gt;=0.75),HealthBY*P111,IF(AND(AT111=3,AK111="E",AV111&gt;=0.5,AW111=1),PTHealthBY,IF(AND(AT111=3,AK111="E",AV111&gt;=0.5),PTHealthBY*P111,0))))</f>
        <v>0</v>
      </c>
      <c r="BP111" s="462">
        <f>IF(AND(AT111&lt;&gt;0,(AX111+BA111)&gt;=MAXSSDIBY),SSDIBY*MAXSSDIBY*P111,IF(AT111&lt;&gt;0,SSDIBY*W111,0))</f>
        <v>2617.8879999999999</v>
      </c>
      <c r="BQ111" s="462">
        <f>IF(AT111&lt;&gt;0,SSHIBY*W111,0)</f>
        <v>612.24800000000005</v>
      </c>
      <c r="BR111" s="462">
        <f>IF(AND(AT111&lt;&gt;0,AN111&lt;&gt;"NE"),VLOOKUP(AN111,Retirement_Rates,4,FALSE)*W111,0)</f>
        <v>5041.5456000000004</v>
      </c>
      <c r="BS111" s="462">
        <f>IF(AND(AT111&lt;&gt;0,AJ111&lt;&gt;"PF"),LifeBY*W111,0)</f>
        <v>304.43504000000001</v>
      </c>
      <c r="BT111" s="462">
        <f>IF(AND(AT111&lt;&gt;0,AM111="Y"),UIBY*W111,0)</f>
        <v>0</v>
      </c>
      <c r="BU111" s="462">
        <f>IF(AND(AT111&lt;&gt;0,N111&lt;&gt;"NR"),DHRBY*W111,0)</f>
        <v>129.20543999999998</v>
      </c>
      <c r="BV111" s="462">
        <f>IF(AT111&lt;&gt;0,WCBY*W111,0)</f>
        <v>1465.1728000000001</v>
      </c>
      <c r="BW111" s="462">
        <f>IF(OR(AND(AT111&lt;&gt;0,AJ111&lt;&gt;"PF",AN111&lt;&gt;"NE",AG111&lt;&gt;"A"),AND(AL111="E",OR(AT111=1,AT111=3))),SickBY*W111,0)</f>
        <v>0</v>
      </c>
      <c r="BX111" s="462">
        <f t="shared" si="24"/>
        <v>10170.49488</v>
      </c>
      <c r="BY111" s="462">
        <f t="shared" si="25"/>
        <v>0</v>
      </c>
      <c r="BZ111" s="462">
        <f t="shared" si="26"/>
        <v>0</v>
      </c>
      <c r="CA111" s="462">
        <f t="shared" si="27"/>
        <v>0</v>
      </c>
      <c r="CB111" s="462">
        <f t="shared" si="28"/>
        <v>0</v>
      </c>
      <c r="CC111" s="462">
        <f>IF(AT111&lt;&gt;0,SSHICHG*Y111,0)</f>
        <v>0</v>
      </c>
      <c r="CD111" s="462">
        <f>IF(AND(AT111&lt;&gt;0,AN111&lt;&gt;"NE"),VLOOKUP(AN111,Retirement_Rates,5,FALSE)*Y111,0)</f>
        <v>0</v>
      </c>
      <c r="CE111" s="462">
        <f>IF(AND(AT111&lt;&gt;0,AJ111&lt;&gt;"PF"),LifeCHG*Y111,0)</f>
        <v>0</v>
      </c>
      <c r="CF111" s="462">
        <f>IF(AND(AT111&lt;&gt;0,AM111="Y"),UICHG*Y111,0)</f>
        <v>-206.89759999999998</v>
      </c>
      <c r="CG111" s="462">
        <f>IF(AND(AT111&lt;&gt;0,N111&lt;&gt;"NR"),DHRCHG*Y111,0)</f>
        <v>0</v>
      </c>
      <c r="CH111" s="462">
        <f>IF(AT111&lt;&gt;0,WCCHG*Y111,0)</f>
        <v>329.34720000000004</v>
      </c>
      <c r="CI111" s="462">
        <f>IF(OR(AND(AT111&lt;&gt;0,AJ111&lt;&gt;"PF",AN111&lt;&gt;"NE",AG111&lt;&gt;"A"),AND(AL111="E",OR(AT111=1,AT111=3))),SickCHG*Y111,0)</f>
        <v>0</v>
      </c>
      <c r="CJ111" s="462">
        <f t="shared" si="29"/>
        <v>122.44960000000006</v>
      </c>
      <c r="CK111" s="462" t="str">
        <f t="shared" si="30"/>
        <v/>
      </c>
      <c r="CL111" s="462" t="str">
        <f t="shared" si="31"/>
        <v/>
      </c>
      <c r="CM111" s="462" t="str">
        <f t="shared" si="32"/>
        <v/>
      </c>
      <c r="CN111" s="462" t="str">
        <f t="shared" si="33"/>
        <v>0001-00</v>
      </c>
    </row>
    <row r="112" spans="1:92" ht="15" thickBot="1" x14ac:dyDescent="0.35">
      <c r="A112" s="376" t="s">
        <v>161</v>
      </c>
      <c r="B112" s="376" t="s">
        <v>162</v>
      </c>
      <c r="C112" s="376" t="s">
        <v>498</v>
      </c>
      <c r="D112" s="376" t="s">
        <v>221</v>
      </c>
      <c r="E112" s="376" t="s">
        <v>165</v>
      </c>
      <c r="F112" s="377" t="s">
        <v>166</v>
      </c>
      <c r="G112" s="376" t="s">
        <v>432</v>
      </c>
      <c r="H112" s="378"/>
      <c r="I112" s="378"/>
      <c r="J112" s="376" t="s">
        <v>168</v>
      </c>
      <c r="K112" s="376" t="s">
        <v>222</v>
      </c>
      <c r="L112" s="376" t="s">
        <v>166</v>
      </c>
      <c r="M112" s="376" t="s">
        <v>225</v>
      </c>
      <c r="N112" s="376" t="s">
        <v>223</v>
      </c>
      <c r="O112" s="379">
        <v>0</v>
      </c>
      <c r="P112" s="460">
        <v>1</v>
      </c>
      <c r="Q112" s="460">
        <v>0</v>
      </c>
      <c r="R112" s="380">
        <v>0</v>
      </c>
      <c r="S112" s="460">
        <v>0</v>
      </c>
      <c r="T112" s="380">
        <v>0</v>
      </c>
      <c r="U112" s="380">
        <v>0</v>
      </c>
      <c r="V112" s="380">
        <v>0</v>
      </c>
      <c r="W112" s="380">
        <v>0</v>
      </c>
      <c r="X112" s="380">
        <v>0</v>
      </c>
      <c r="Y112" s="380">
        <v>0</v>
      </c>
      <c r="Z112" s="380">
        <v>0</v>
      </c>
      <c r="AA112" s="378"/>
      <c r="AB112" s="376" t="s">
        <v>45</v>
      </c>
      <c r="AC112" s="376" t="s">
        <v>45</v>
      </c>
      <c r="AD112" s="378"/>
      <c r="AE112" s="378"/>
      <c r="AF112" s="378"/>
      <c r="AG112" s="378"/>
      <c r="AH112" s="379">
        <v>0</v>
      </c>
      <c r="AI112" s="379">
        <v>0</v>
      </c>
      <c r="AJ112" s="378"/>
      <c r="AK112" s="378"/>
      <c r="AL112" s="376" t="s">
        <v>181</v>
      </c>
      <c r="AM112" s="378"/>
      <c r="AN112" s="378"/>
      <c r="AO112" s="379">
        <v>0</v>
      </c>
      <c r="AP112" s="460">
        <v>0</v>
      </c>
      <c r="AQ112" s="460">
        <v>0</v>
      </c>
      <c r="AR112" s="459"/>
      <c r="AS112" s="462">
        <f t="shared" si="17"/>
        <v>0</v>
      </c>
      <c r="AT112">
        <f t="shared" si="18"/>
        <v>0</v>
      </c>
      <c r="AU112" s="462" t="str">
        <f>IF(AT112=0,"",IF(AND(AT112=1,M112="F",SUMIF(C2:C391,C112,AS2:AS391)&lt;=1),SUMIF(C2:C391,C112,AS2:AS391),IF(AND(AT112=1,M112="F",SUMIF(C2:C391,C112,AS2:AS391)&gt;1),1,"")))</f>
        <v/>
      </c>
      <c r="AV112" s="462" t="str">
        <f>IF(AT112=0,"",IF(AND(AT112=3,M112="F",SUMIF(C2:C391,C112,AS2:AS391)&lt;=1),SUMIF(C2:C391,C112,AS2:AS391),IF(AND(AT112=3,M112="F",SUMIF(C2:C391,C112,AS2:AS391)&gt;1),1,"")))</f>
        <v/>
      </c>
      <c r="AW112" s="462">
        <f>SUMIF(C2:C391,C112,O2:O391)</f>
        <v>0</v>
      </c>
      <c r="AX112" s="462">
        <f>IF(AND(M112="F",AS112&lt;&gt;0),SUMIF(C2:C391,C112,W2:W391),0)</f>
        <v>0</v>
      </c>
      <c r="AY112" s="462" t="str">
        <f t="shared" si="19"/>
        <v/>
      </c>
      <c r="AZ112" s="462" t="str">
        <f t="shared" si="20"/>
        <v/>
      </c>
      <c r="BA112" s="462">
        <f t="shared" si="21"/>
        <v>0</v>
      </c>
      <c r="BB112" s="462">
        <f>IF(AND(AT112=1,AK112="E",AU112&gt;=0.75,AW112=1),Health,IF(AND(AT112=1,AK112="E",AU112&gt;=0.75),Health*P112,IF(AND(AT112=1,AK112="E",AU112&gt;=0.5,AW112=1),PTHealth,IF(AND(AT112=1,AK112="E",AU112&gt;=0.5),PTHealth*P112,0))))</f>
        <v>0</v>
      </c>
      <c r="BC112" s="462">
        <f>IF(AND(AT112=3,AK112="E",AV112&gt;=0.75,AW112=1),Health,IF(AND(AT112=3,AK112="E",AV112&gt;=0.75),Health*P112,IF(AND(AT112=3,AK112="E",AV112&gt;=0.5,AW112=1),PTHealth,IF(AND(AT112=3,AK112="E",AV112&gt;=0.5),PTHealth*P112,0))))</f>
        <v>0</v>
      </c>
      <c r="BD112" s="462">
        <f>IF(AND(AT112&lt;&gt;0,AX112&gt;=MAXSSDI),SSDI*MAXSSDI*P112,IF(AT112&lt;&gt;0,SSDI*W112,0))</f>
        <v>0</v>
      </c>
      <c r="BE112" s="462">
        <f>IF(AT112&lt;&gt;0,SSHI*W112,0)</f>
        <v>0</v>
      </c>
      <c r="BF112" s="462">
        <f>IF(AND(AT112&lt;&gt;0,AN112&lt;&gt;"NE"),VLOOKUP(AN112,Retirement_Rates,3,FALSE)*W112,0)</f>
        <v>0</v>
      </c>
      <c r="BG112" s="462">
        <f>IF(AND(AT112&lt;&gt;0,AJ112&lt;&gt;"PF"),Life*W112,0)</f>
        <v>0</v>
      </c>
      <c r="BH112" s="462">
        <f>IF(AND(AT112&lt;&gt;0,AM112="Y"),UI*W112,0)</f>
        <v>0</v>
      </c>
      <c r="BI112" s="462">
        <f>IF(AND(AT112&lt;&gt;0,N112&lt;&gt;"NR"),DHR*W112,0)</f>
        <v>0</v>
      </c>
      <c r="BJ112" s="462">
        <f>IF(AT112&lt;&gt;0,WC*W112,0)</f>
        <v>0</v>
      </c>
      <c r="BK112" s="462">
        <f>IF(OR(AND(AT112&lt;&gt;0,AJ112&lt;&gt;"PF",AN112&lt;&gt;"NE",AG112&lt;&gt;"A"),AND(AL112="E",OR(AT112=1,AT112=3))),Sick*W112,0)</f>
        <v>0</v>
      </c>
      <c r="BL112" s="462">
        <f t="shared" si="22"/>
        <v>0</v>
      </c>
      <c r="BM112" s="462">
        <f t="shared" si="23"/>
        <v>0</v>
      </c>
      <c r="BN112" s="462">
        <f>IF(AND(AT112=1,AK112="E",AU112&gt;=0.75,AW112=1),HealthBY,IF(AND(AT112=1,AK112="E",AU112&gt;=0.75),HealthBY*P112,IF(AND(AT112=1,AK112="E",AU112&gt;=0.5,AW112=1),PTHealthBY,IF(AND(AT112=1,AK112="E",AU112&gt;=0.5),PTHealthBY*P112,0))))</f>
        <v>0</v>
      </c>
      <c r="BO112" s="462">
        <f>IF(AND(AT112=3,AK112="E",AV112&gt;=0.75,AW112=1),HealthBY,IF(AND(AT112=3,AK112="E",AV112&gt;=0.75),HealthBY*P112,IF(AND(AT112=3,AK112="E",AV112&gt;=0.5,AW112=1),PTHealthBY,IF(AND(AT112=3,AK112="E",AV112&gt;=0.5),PTHealthBY*P112,0))))</f>
        <v>0</v>
      </c>
      <c r="BP112" s="462">
        <f>IF(AND(AT112&lt;&gt;0,(AX112+BA112)&gt;=MAXSSDIBY),SSDIBY*MAXSSDIBY*P112,IF(AT112&lt;&gt;0,SSDIBY*W112,0))</f>
        <v>0</v>
      </c>
      <c r="BQ112" s="462">
        <f>IF(AT112&lt;&gt;0,SSHIBY*W112,0)</f>
        <v>0</v>
      </c>
      <c r="BR112" s="462">
        <f>IF(AND(AT112&lt;&gt;0,AN112&lt;&gt;"NE"),VLOOKUP(AN112,Retirement_Rates,4,FALSE)*W112,0)</f>
        <v>0</v>
      </c>
      <c r="BS112" s="462">
        <f>IF(AND(AT112&lt;&gt;0,AJ112&lt;&gt;"PF"),LifeBY*W112,0)</f>
        <v>0</v>
      </c>
      <c r="BT112" s="462">
        <f>IF(AND(AT112&lt;&gt;0,AM112="Y"),UIBY*W112,0)</f>
        <v>0</v>
      </c>
      <c r="BU112" s="462">
        <f>IF(AND(AT112&lt;&gt;0,N112&lt;&gt;"NR"),DHRBY*W112,0)</f>
        <v>0</v>
      </c>
      <c r="BV112" s="462">
        <f>IF(AT112&lt;&gt;0,WCBY*W112,0)</f>
        <v>0</v>
      </c>
      <c r="BW112" s="462">
        <f>IF(OR(AND(AT112&lt;&gt;0,AJ112&lt;&gt;"PF",AN112&lt;&gt;"NE",AG112&lt;&gt;"A"),AND(AL112="E",OR(AT112=1,AT112=3))),SickBY*W112,0)</f>
        <v>0</v>
      </c>
      <c r="BX112" s="462">
        <f t="shared" si="24"/>
        <v>0</v>
      </c>
      <c r="BY112" s="462">
        <f t="shared" si="25"/>
        <v>0</v>
      </c>
      <c r="BZ112" s="462">
        <f t="shared" si="26"/>
        <v>0</v>
      </c>
      <c r="CA112" s="462">
        <f t="shared" si="27"/>
        <v>0</v>
      </c>
      <c r="CB112" s="462">
        <f t="shared" si="28"/>
        <v>0</v>
      </c>
      <c r="CC112" s="462">
        <f>IF(AT112&lt;&gt;0,SSHICHG*Y112,0)</f>
        <v>0</v>
      </c>
      <c r="CD112" s="462">
        <f>IF(AND(AT112&lt;&gt;0,AN112&lt;&gt;"NE"),VLOOKUP(AN112,Retirement_Rates,5,FALSE)*Y112,0)</f>
        <v>0</v>
      </c>
      <c r="CE112" s="462">
        <f>IF(AND(AT112&lt;&gt;0,AJ112&lt;&gt;"PF"),LifeCHG*Y112,0)</f>
        <v>0</v>
      </c>
      <c r="CF112" s="462">
        <f>IF(AND(AT112&lt;&gt;0,AM112="Y"),UICHG*Y112,0)</f>
        <v>0</v>
      </c>
      <c r="CG112" s="462">
        <f>IF(AND(AT112&lt;&gt;0,N112&lt;&gt;"NR"),DHRCHG*Y112,0)</f>
        <v>0</v>
      </c>
      <c r="CH112" s="462">
        <f>IF(AT112&lt;&gt;0,WCCHG*Y112,0)</f>
        <v>0</v>
      </c>
      <c r="CI112" s="462">
        <f>IF(OR(AND(AT112&lt;&gt;0,AJ112&lt;&gt;"PF",AN112&lt;&gt;"NE",AG112&lt;&gt;"A"),AND(AL112="E",OR(AT112=1,AT112=3))),SickCHG*Y112,0)</f>
        <v>0</v>
      </c>
      <c r="CJ112" s="462">
        <f t="shared" si="29"/>
        <v>0</v>
      </c>
      <c r="CK112" s="462" t="str">
        <f t="shared" si="30"/>
        <v/>
      </c>
      <c r="CL112" s="462">
        <f t="shared" si="31"/>
        <v>0</v>
      </c>
      <c r="CM112" s="462">
        <f t="shared" si="32"/>
        <v>0</v>
      </c>
      <c r="CN112" s="462" t="str">
        <f t="shared" si="33"/>
        <v>0001-00</v>
      </c>
    </row>
    <row r="113" spans="1:92" ht="15" thickBot="1" x14ac:dyDescent="0.35">
      <c r="A113" s="376" t="s">
        <v>161</v>
      </c>
      <c r="B113" s="376" t="s">
        <v>162</v>
      </c>
      <c r="C113" s="376" t="s">
        <v>499</v>
      </c>
      <c r="D113" s="376" t="s">
        <v>500</v>
      </c>
      <c r="E113" s="376" t="s">
        <v>165</v>
      </c>
      <c r="F113" s="377" t="s">
        <v>166</v>
      </c>
      <c r="G113" s="376" t="s">
        <v>432</v>
      </c>
      <c r="H113" s="378"/>
      <c r="I113" s="378"/>
      <c r="J113" s="376" t="s">
        <v>168</v>
      </c>
      <c r="K113" s="376" t="s">
        <v>501</v>
      </c>
      <c r="L113" s="376" t="s">
        <v>316</v>
      </c>
      <c r="M113" s="376" t="s">
        <v>171</v>
      </c>
      <c r="N113" s="376" t="s">
        <v>172</v>
      </c>
      <c r="O113" s="379">
        <v>1</v>
      </c>
      <c r="P113" s="460">
        <v>1</v>
      </c>
      <c r="Q113" s="460">
        <v>1</v>
      </c>
      <c r="R113" s="380">
        <v>60</v>
      </c>
      <c r="S113" s="460">
        <v>0.75</v>
      </c>
      <c r="T113" s="380">
        <v>22759.24</v>
      </c>
      <c r="U113" s="380">
        <v>0</v>
      </c>
      <c r="V113" s="380">
        <v>17400.099999999999</v>
      </c>
      <c r="W113" s="380">
        <v>17362.8</v>
      </c>
      <c r="X113" s="380">
        <v>15781.79</v>
      </c>
      <c r="Y113" s="380">
        <v>17362.8</v>
      </c>
      <c r="Z113" s="380">
        <v>15832.15</v>
      </c>
      <c r="AA113" s="376" t="s">
        <v>502</v>
      </c>
      <c r="AB113" s="376" t="s">
        <v>503</v>
      </c>
      <c r="AC113" s="376" t="s">
        <v>504</v>
      </c>
      <c r="AD113" s="376" t="s">
        <v>176</v>
      </c>
      <c r="AE113" s="376" t="s">
        <v>501</v>
      </c>
      <c r="AF113" s="376" t="s">
        <v>320</v>
      </c>
      <c r="AG113" s="376" t="s">
        <v>178</v>
      </c>
      <c r="AH113" s="381">
        <v>14.84</v>
      </c>
      <c r="AI113" s="379">
        <v>9227</v>
      </c>
      <c r="AJ113" s="376" t="s">
        <v>469</v>
      </c>
      <c r="AK113" s="376" t="s">
        <v>180</v>
      </c>
      <c r="AL113" s="376" t="s">
        <v>181</v>
      </c>
      <c r="AM113" s="376" t="s">
        <v>182</v>
      </c>
      <c r="AN113" s="376" t="s">
        <v>68</v>
      </c>
      <c r="AO113" s="379">
        <v>60</v>
      </c>
      <c r="AP113" s="460">
        <v>0.75</v>
      </c>
      <c r="AQ113" s="460">
        <v>0.56000000000000005</v>
      </c>
      <c r="AR113" s="458" t="s">
        <v>183</v>
      </c>
      <c r="AS113" s="462">
        <f t="shared" si="17"/>
        <v>0.5625</v>
      </c>
      <c r="AT113">
        <f t="shared" si="18"/>
        <v>1</v>
      </c>
      <c r="AU113" s="462">
        <f>IF(AT113=0,"",IF(AND(AT113=1,M113="F",SUMIF(C2:C391,C113,AS2:AS391)&lt;=1),SUMIF(C2:C391,C113,AS2:AS391),IF(AND(AT113=1,M113="F",SUMIF(C2:C391,C113,AS2:AS391)&gt;1),1,"")))</f>
        <v>0.5625</v>
      </c>
      <c r="AV113" s="462" t="str">
        <f>IF(AT113=0,"",IF(AND(AT113=3,M113="F",SUMIF(C2:C391,C113,AS2:AS391)&lt;=1),SUMIF(C2:C391,C113,AS2:AS391),IF(AND(AT113=3,M113="F",SUMIF(C2:C391,C113,AS2:AS391)&gt;1),1,"")))</f>
        <v/>
      </c>
      <c r="AW113" s="462">
        <f>SUMIF(C2:C391,C113,O2:O391)</f>
        <v>1</v>
      </c>
      <c r="AX113" s="462">
        <f>IF(AND(M113="F",AS113&lt;&gt;0),SUMIF(C2:C391,C113,W2:W391),0)</f>
        <v>17362.8</v>
      </c>
      <c r="AY113" s="462">
        <f t="shared" si="19"/>
        <v>17362.8</v>
      </c>
      <c r="AZ113" s="462" t="str">
        <f t="shared" si="20"/>
        <v/>
      </c>
      <c r="BA113" s="462">
        <f t="shared" si="21"/>
        <v>0</v>
      </c>
      <c r="BB113" s="462">
        <f>IF(AND(AT113=1,AK113="E",AU113&gt;=0.75,AW113=1),Health,IF(AND(AT113=1,AK113="E",AU113&gt;=0.75),Health*P113,IF(AND(AT113=1,AK113="E",AU113&gt;=0.5,AW113=1),PTHealth,IF(AND(AT113=1,AK113="E",AU113&gt;=0.5),PTHealth*P113,0))))</f>
        <v>9320</v>
      </c>
      <c r="BC113" s="462">
        <f>IF(AND(AT113=3,AK113="E",AV113&gt;=0.75,AW113=1),Health,IF(AND(AT113=3,AK113="E",AV113&gt;=0.75),Health*P113,IF(AND(AT113=3,AK113="E",AV113&gt;=0.5,AW113=1),PTHealth,IF(AND(AT113=3,AK113="E",AV113&gt;=0.5),PTHealth*P113,0))))</f>
        <v>0</v>
      </c>
      <c r="BD113" s="462">
        <f>IF(AND(AT113&lt;&gt;0,AX113&gt;=MAXSSDI),SSDI*MAXSSDI*P113,IF(AT113&lt;&gt;0,SSDI*W113,0))</f>
        <v>1076.4936</v>
      </c>
      <c r="BE113" s="462">
        <f>IF(AT113&lt;&gt;0,SSHI*W113,0)</f>
        <v>251.76060000000001</v>
      </c>
      <c r="BF113" s="462">
        <f>IF(AND(AT113&lt;&gt;0,AN113&lt;&gt;"NE"),VLOOKUP(AN113,Retirement_Rates,3,FALSE)*W113,0)</f>
        <v>2073.11832</v>
      </c>
      <c r="BG113" s="462">
        <f>IF(AND(AT113&lt;&gt;0,AJ113&lt;&gt;"PF"),Life*W113,0)</f>
        <v>125.185788</v>
      </c>
      <c r="BH113" s="462">
        <f>IF(AND(AT113&lt;&gt;0,AM113="Y"),UI*W113,0)</f>
        <v>85.077719999999999</v>
      </c>
      <c r="BI113" s="462">
        <f>IF(AND(AT113&lt;&gt;0,N113&lt;&gt;"NR"),DHR*W113,0)</f>
        <v>53.130167999999991</v>
      </c>
      <c r="BJ113" s="462">
        <f>IF(AT113&lt;&gt;0,WC*W113,0)</f>
        <v>467.05932000000001</v>
      </c>
      <c r="BK113" s="462">
        <f>IF(OR(AND(AT113&lt;&gt;0,AJ113&lt;&gt;"PF",AN113&lt;&gt;"NE",AG113&lt;&gt;"A"),AND(AL113="E",OR(AT113=1,AT113=3))),Sick*W113,0)</f>
        <v>0</v>
      </c>
      <c r="BL113" s="462">
        <f t="shared" si="22"/>
        <v>4131.8255159999999</v>
      </c>
      <c r="BM113" s="462">
        <f t="shared" si="23"/>
        <v>0</v>
      </c>
      <c r="BN113" s="462">
        <f>IF(AND(AT113=1,AK113="E",AU113&gt;=0.75,AW113=1),HealthBY,IF(AND(AT113=1,AK113="E",AU113&gt;=0.75),HealthBY*P113,IF(AND(AT113=1,AK113="E",AU113&gt;=0.5,AW113=1),PTHealthBY,IF(AND(AT113=1,AK113="E",AU113&gt;=0.5),PTHealthBY*P113,0))))</f>
        <v>9320</v>
      </c>
      <c r="BO113" s="462">
        <f>IF(AND(AT113=3,AK113="E",AV113&gt;=0.75,AW113=1),HealthBY,IF(AND(AT113=3,AK113="E",AV113&gt;=0.75),HealthBY*P113,IF(AND(AT113=3,AK113="E",AV113&gt;=0.5,AW113=1),PTHealthBY,IF(AND(AT113=3,AK113="E",AV113&gt;=0.5),PTHealthBY*P113,0))))</f>
        <v>0</v>
      </c>
      <c r="BP113" s="462">
        <f>IF(AND(AT113&lt;&gt;0,(AX113+BA113)&gt;=MAXSSDIBY),SSDIBY*MAXSSDIBY*P113,IF(AT113&lt;&gt;0,SSDIBY*W113,0))</f>
        <v>1076.4936</v>
      </c>
      <c r="BQ113" s="462">
        <f>IF(AT113&lt;&gt;0,SSHIBY*W113,0)</f>
        <v>251.76060000000001</v>
      </c>
      <c r="BR113" s="462">
        <f>IF(AND(AT113&lt;&gt;0,AN113&lt;&gt;"NE"),VLOOKUP(AN113,Retirement_Rates,4,FALSE)*W113,0)</f>
        <v>2073.11832</v>
      </c>
      <c r="BS113" s="462">
        <f>IF(AND(AT113&lt;&gt;0,AJ113&lt;&gt;"PF"),LifeBY*W113,0)</f>
        <v>125.185788</v>
      </c>
      <c r="BT113" s="462">
        <f>IF(AND(AT113&lt;&gt;0,AM113="Y"),UIBY*W113,0)</f>
        <v>0</v>
      </c>
      <c r="BU113" s="462">
        <f>IF(AND(AT113&lt;&gt;0,N113&lt;&gt;"NR"),DHRBY*W113,0)</f>
        <v>53.130167999999991</v>
      </c>
      <c r="BV113" s="462">
        <f>IF(AT113&lt;&gt;0,WCBY*W113,0)</f>
        <v>602.48915999999997</v>
      </c>
      <c r="BW113" s="462">
        <f>IF(OR(AND(AT113&lt;&gt;0,AJ113&lt;&gt;"PF",AN113&lt;&gt;"NE",AG113&lt;&gt;"A"),AND(AL113="E",OR(AT113=1,AT113=3))),SickBY*W113,0)</f>
        <v>0</v>
      </c>
      <c r="BX113" s="462">
        <f t="shared" si="24"/>
        <v>4182.1776359999994</v>
      </c>
      <c r="BY113" s="462">
        <f t="shared" si="25"/>
        <v>0</v>
      </c>
      <c r="BZ113" s="462">
        <f t="shared" si="26"/>
        <v>0</v>
      </c>
      <c r="CA113" s="462">
        <f t="shared" si="27"/>
        <v>0</v>
      </c>
      <c r="CB113" s="462">
        <f t="shared" si="28"/>
        <v>0</v>
      </c>
      <c r="CC113" s="462">
        <f>IF(AT113&lt;&gt;0,SSHICHG*Y113,0)</f>
        <v>0</v>
      </c>
      <c r="CD113" s="462">
        <f>IF(AND(AT113&lt;&gt;0,AN113&lt;&gt;"NE"),VLOOKUP(AN113,Retirement_Rates,5,FALSE)*Y113,0)</f>
        <v>0</v>
      </c>
      <c r="CE113" s="462">
        <f>IF(AND(AT113&lt;&gt;0,AJ113&lt;&gt;"PF"),LifeCHG*Y113,0)</f>
        <v>0</v>
      </c>
      <c r="CF113" s="462">
        <f>IF(AND(AT113&lt;&gt;0,AM113="Y"),UICHG*Y113,0)</f>
        <v>-85.077719999999999</v>
      </c>
      <c r="CG113" s="462">
        <f>IF(AND(AT113&lt;&gt;0,N113&lt;&gt;"NR"),DHRCHG*Y113,0)</f>
        <v>0</v>
      </c>
      <c r="CH113" s="462">
        <f>IF(AT113&lt;&gt;0,WCCHG*Y113,0)</f>
        <v>135.42984000000001</v>
      </c>
      <c r="CI113" s="462">
        <f>IF(OR(AND(AT113&lt;&gt;0,AJ113&lt;&gt;"PF",AN113&lt;&gt;"NE",AG113&lt;&gt;"A"),AND(AL113="E",OR(AT113=1,AT113=3))),SickCHG*Y113,0)</f>
        <v>0</v>
      </c>
      <c r="CJ113" s="462">
        <f t="shared" si="29"/>
        <v>50.352120000000014</v>
      </c>
      <c r="CK113" s="462" t="str">
        <f t="shared" si="30"/>
        <v/>
      </c>
      <c r="CL113" s="462" t="str">
        <f t="shared" si="31"/>
        <v/>
      </c>
      <c r="CM113" s="462" t="str">
        <f t="shared" si="32"/>
        <v/>
      </c>
      <c r="CN113" s="462" t="str">
        <f t="shared" si="33"/>
        <v>0001-00</v>
      </c>
    </row>
    <row r="114" spans="1:92" ht="15" thickBot="1" x14ac:dyDescent="0.35">
      <c r="A114" s="376" t="s">
        <v>161</v>
      </c>
      <c r="B114" s="376" t="s">
        <v>162</v>
      </c>
      <c r="C114" s="376" t="s">
        <v>505</v>
      </c>
      <c r="D114" s="376" t="s">
        <v>431</v>
      </c>
      <c r="E114" s="376" t="s">
        <v>165</v>
      </c>
      <c r="F114" s="377" t="s">
        <v>166</v>
      </c>
      <c r="G114" s="376" t="s">
        <v>432</v>
      </c>
      <c r="H114" s="378"/>
      <c r="I114" s="378"/>
      <c r="J114" s="376" t="s">
        <v>168</v>
      </c>
      <c r="K114" s="376" t="s">
        <v>433</v>
      </c>
      <c r="L114" s="376" t="s">
        <v>195</v>
      </c>
      <c r="M114" s="376" t="s">
        <v>171</v>
      </c>
      <c r="N114" s="376" t="s">
        <v>172</v>
      </c>
      <c r="O114" s="379">
        <v>1</v>
      </c>
      <c r="P114" s="460">
        <v>1</v>
      </c>
      <c r="Q114" s="460">
        <v>1</v>
      </c>
      <c r="R114" s="380">
        <v>80</v>
      </c>
      <c r="S114" s="460">
        <v>1</v>
      </c>
      <c r="T114" s="380">
        <v>49010.92</v>
      </c>
      <c r="U114" s="380">
        <v>0</v>
      </c>
      <c r="V114" s="380">
        <v>22795.01</v>
      </c>
      <c r="W114" s="380">
        <v>51937.599999999999</v>
      </c>
      <c r="X114" s="380">
        <v>24009.56</v>
      </c>
      <c r="Y114" s="380">
        <v>51937.599999999999</v>
      </c>
      <c r="Z114" s="380">
        <v>24160.18</v>
      </c>
      <c r="AA114" s="376" t="s">
        <v>506</v>
      </c>
      <c r="AB114" s="376" t="s">
        <v>507</v>
      </c>
      <c r="AC114" s="376" t="s">
        <v>508</v>
      </c>
      <c r="AD114" s="376" t="s">
        <v>359</v>
      </c>
      <c r="AE114" s="376" t="s">
        <v>433</v>
      </c>
      <c r="AF114" s="376" t="s">
        <v>199</v>
      </c>
      <c r="AG114" s="376" t="s">
        <v>178</v>
      </c>
      <c r="AH114" s="381">
        <v>24.97</v>
      </c>
      <c r="AI114" s="381">
        <v>22286.1</v>
      </c>
      <c r="AJ114" s="376" t="s">
        <v>179</v>
      </c>
      <c r="AK114" s="376" t="s">
        <v>180</v>
      </c>
      <c r="AL114" s="376" t="s">
        <v>181</v>
      </c>
      <c r="AM114" s="376" t="s">
        <v>182</v>
      </c>
      <c r="AN114" s="376" t="s">
        <v>68</v>
      </c>
      <c r="AO114" s="379">
        <v>80</v>
      </c>
      <c r="AP114" s="460">
        <v>1</v>
      </c>
      <c r="AQ114" s="460">
        <v>1</v>
      </c>
      <c r="AR114" s="458" t="s">
        <v>183</v>
      </c>
      <c r="AS114" s="462">
        <f t="shared" si="17"/>
        <v>1</v>
      </c>
      <c r="AT114">
        <f t="shared" si="18"/>
        <v>1</v>
      </c>
      <c r="AU114" s="462">
        <f>IF(AT114=0,"",IF(AND(AT114=1,M114="F",SUMIF(C2:C391,C114,AS2:AS391)&lt;=1),SUMIF(C2:C391,C114,AS2:AS391),IF(AND(AT114=1,M114="F",SUMIF(C2:C391,C114,AS2:AS391)&gt;1),1,"")))</f>
        <v>1</v>
      </c>
      <c r="AV114" s="462" t="str">
        <f>IF(AT114=0,"",IF(AND(AT114=3,M114="F",SUMIF(C2:C391,C114,AS2:AS391)&lt;=1),SUMIF(C2:C391,C114,AS2:AS391),IF(AND(AT114=3,M114="F",SUMIF(C2:C391,C114,AS2:AS391)&gt;1),1,"")))</f>
        <v/>
      </c>
      <c r="AW114" s="462">
        <f>SUMIF(C2:C391,C114,O2:O391)</f>
        <v>1</v>
      </c>
      <c r="AX114" s="462">
        <f>IF(AND(M114="F",AS114&lt;&gt;0),SUMIF(C2:C391,C114,W2:W391),0)</f>
        <v>51937.599999999999</v>
      </c>
      <c r="AY114" s="462">
        <f t="shared" si="19"/>
        <v>51937.599999999999</v>
      </c>
      <c r="AZ114" s="462" t="str">
        <f t="shared" si="20"/>
        <v/>
      </c>
      <c r="BA114" s="462">
        <f t="shared" si="21"/>
        <v>0</v>
      </c>
      <c r="BB114" s="462">
        <f>IF(AND(AT114=1,AK114="E",AU114&gt;=0.75,AW114=1),Health,IF(AND(AT114=1,AK114="E",AU114&gt;=0.75),Health*P114,IF(AND(AT114=1,AK114="E",AU114&gt;=0.5,AW114=1),PTHealth,IF(AND(AT114=1,AK114="E",AU114&gt;=0.5),PTHealth*P114,0))))</f>
        <v>11650</v>
      </c>
      <c r="BC114" s="462">
        <f>IF(AND(AT114=3,AK114="E",AV114&gt;=0.75,AW114=1),Health,IF(AND(AT114=3,AK114="E",AV114&gt;=0.75),Health*P114,IF(AND(AT114=3,AK114="E",AV114&gt;=0.5,AW114=1),PTHealth,IF(AND(AT114=3,AK114="E",AV114&gt;=0.5),PTHealth*P114,0))))</f>
        <v>0</v>
      </c>
      <c r="BD114" s="462">
        <f>IF(AND(AT114&lt;&gt;0,AX114&gt;=MAXSSDI),SSDI*MAXSSDI*P114,IF(AT114&lt;&gt;0,SSDI*W114,0))</f>
        <v>3220.1311999999998</v>
      </c>
      <c r="BE114" s="462">
        <f>IF(AT114&lt;&gt;0,SSHI*W114,0)</f>
        <v>753.09519999999998</v>
      </c>
      <c r="BF114" s="462">
        <f>IF(AND(AT114&lt;&gt;0,AN114&lt;&gt;"NE"),VLOOKUP(AN114,Retirement_Rates,3,FALSE)*W114,0)</f>
        <v>6201.34944</v>
      </c>
      <c r="BG114" s="462">
        <f>IF(AND(AT114&lt;&gt;0,AJ114&lt;&gt;"PF"),Life*W114,0)</f>
        <v>374.47009600000001</v>
      </c>
      <c r="BH114" s="462">
        <f>IF(AND(AT114&lt;&gt;0,AM114="Y"),UI*W114,0)</f>
        <v>254.49423999999999</v>
      </c>
      <c r="BI114" s="462">
        <f>IF(AND(AT114&lt;&gt;0,N114&lt;&gt;"NR"),DHR*W114,0)</f>
        <v>158.92905599999997</v>
      </c>
      <c r="BJ114" s="462">
        <f>IF(AT114&lt;&gt;0,WC*W114,0)</f>
        <v>1397.1214399999999</v>
      </c>
      <c r="BK114" s="462">
        <f>IF(OR(AND(AT114&lt;&gt;0,AJ114&lt;&gt;"PF",AN114&lt;&gt;"NE",AG114&lt;&gt;"A"),AND(AL114="E",OR(AT114=1,AT114=3))),Sick*W114,0)</f>
        <v>0</v>
      </c>
      <c r="BL114" s="462">
        <f t="shared" si="22"/>
        <v>12359.590671999998</v>
      </c>
      <c r="BM114" s="462">
        <f t="shared" si="23"/>
        <v>0</v>
      </c>
      <c r="BN114" s="462">
        <f>IF(AND(AT114=1,AK114="E",AU114&gt;=0.75,AW114=1),HealthBY,IF(AND(AT114=1,AK114="E",AU114&gt;=0.75),HealthBY*P114,IF(AND(AT114=1,AK114="E",AU114&gt;=0.5,AW114=1),PTHealthBY,IF(AND(AT114=1,AK114="E",AU114&gt;=0.5),PTHealthBY*P114,0))))</f>
        <v>11650</v>
      </c>
      <c r="BO114" s="462">
        <f>IF(AND(AT114=3,AK114="E",AV114&gt;=0.75,AW114=1),HealthBY,IF(AND(AT114=3,AK114="E",AV114&gt;=0.75),HealthBY*P114,IF(AND(AT114=3,AK114="E",AV114&gt;=0.5,AW114=1),PTHealthBY,IF(AND(AT114=3,AK114="E",AV114&gt;=0.5),PTHealthBY*P114,0))))</f>
        <v>0</v>
      </c>
      <c r="BP114" s="462">
        <f>IF(AND(AT114&lt;&gt;0,(AX114+BA114)&gt;=MAXSSDIBY),SSDIBY*MAXSSDIBY*P114,IF(AT114&lt;&gt;0,SSDIBY*W114,0))</f>
        <v>3220.1311999999998</v>
      </c>
      <c r="BQ114" s="462">
        <f>IF(AT114&lt;&gt;0,SSHIBY*W114,0)</f>
        <v>753.09519999999998</v>
      </c>
      <c r="BR114" s="462">
        <f>IF(AND(AT114&lt;&gt;0,AN114&lt;&gt;"NE"),VLOOKUP(AN114,Retirement_Rates,4,FALSE)*W114,0)</f>
        <v>6201.34944</v>
      </c>
      <c r="BS114" s="462">
        <f>IF(AND(AT114&lt;&gt;0,AJ114&lt;&gt;"PF"),LifeBY*W114,0)</f>
        <v>374.47009600000001</v>
      </c>
      <c r="BT114" s="462">
        <f>IF(AND(AT114&lt;&gt;0,AM114="Y"),UIBY*W114,0)</f>
        <v>0</v>
      </c>
      <c r="BU114" s="462">
        <f>IF(AND(AT114&lt;&gt;0,N114&lt;&gt;"NR"),DHRBY*W114,0)</f>
        <v>158.92905599999997</v>
      </c>
      <c r="BV114" s="462">
        <f>IF(AT114&lt;&gt;0,WCBY*W114,0)</f>
        <v>1802.2347199999999</v>
      </c>
      <c r="BW114" s="462">
        <f>IF(OR(AND(AT114&lt;&gt;0,AJ114&lt;&gt;"PF",AN114&lt;&gt;"NE",AG114&lt;&gt;"A"),AND(AL114="E",OR(AT114=1,AT114=3))),SickBY*W114,0)</f>
        <v>0</v>
      </c>
      <c r="BX114" s="462">
        <f t="shared" si="24"/>
        <v>12510.209712</v>
      </c>
      <c r="BY114" s="462">
        <f t="shared" si="25"/>
        <v>0</v>
      </c>
      <c r="BZ114" s="462">
        <f t="shared" si="26"/>
        <v>0</v>
      </c>
      <c r="CA114" s="462">
        <f t="shared" si="27"/>
        <v>0</v>
      </c>
      <c r="CB114" s="462">
        <f t="shared" si="28"/>
        <v>0</v>
      </c>
      <c r="CC114" s="462">
        <f>IF(AT114&lt;&gt;0,SSHICHG*Y114,0)</f>
        <v>0</v>
      </c>
      <c r="CD114" s="462">
        <f>IF(AND(AT114&lt;&gt;0,AN114&lt;&gt;"NE"),VLOOKUP(AN114,Retirement_Rates,5,FALSE)*Y114,0)</f>
        <v>0</v>
      </c>
      <c r="CE114" s="462">
        <f>IF(AND(AT114&lt;&gt;0,AJ114&lt;&gt;"PF"),LifeCHG*Y114,0)</f>
        <v>0</v>
      </c>
      <c r="CF114" s="462">
        <f>IF(AND(AT114&lt;&gt;0,AM114="Y"),UICHG*Y114,0)</f>
        <v>-254.49423999999999</v>
      </c>
      <c r="CG114" s="462">
        <f>IF(AND(AT114&lt;&gt;0,N114&lt;&gt;"NR"),DHRCHG*Y114,0)</f>
        <v>0</v>
      </c>
      <c r="CH114" s="462">
        <f>IF(AT114&lt;&gt;0,WCCHG*Y114,0)</f>
        <v>405.11328000000009</v>
      </c>
      <c r="CI114" s="462">
        <f>IF(OR(AND(AT114&lt;&gt;0,AJ114&lt;&gt;"PF",AN114&lt;&gt;"NE",AG114&lt;&gt;"A"),AND(AL114="E",OR(AT114=1,AT114=3))),SickCHG*Y114,0)</f>
        <v>0</v>
      </c>
      <c r="CJ114" s="462">
        <f t="shared" si="29"/>
        <v>150.6190400000001</v>
      </c>
      <c r="CK114" s="462" t="str">
        <f t="shared" si="30"/>
        <v/>
      </c>
      <c r="CL114" s="462" t="str">
        <f t="shared" si="31"/>
        <v/>
      </c>
      <c r="CM114" s="462" t="str">
        <f t="shared" si="32"/>
        <v/>
      </c>
      <c r="CN114" s="462" t="str">
        <f t="shared" si="33"/>
        <v>0001-00</v>
      </c>
    </row>
    <row r="115" spans="1:92" ht="15" thickBot="1" x14ac:dyDescent="0.35">
      <c r="A115" s="376" t="s">
        <v>161</v>
      </c>
      <c r="B115" s="376" t="s">
        <v>162</v>
      </c>
      <c r="C115" s="376" t="s">
        <v>509</v>
      </c>
      <c r="D115" s="376" t="s">
        <v>221</v>
      </c>
      <c r="E115" s="376" t="s">
        <v>165</v>
      </c>
      <c r="F115" s="377" t="s">
        <v>166</v>
      </c>
      <c r="G115" s="376" t="s">
        <v>432</v>
      </c>
      <c r="H115" s="378"/>
      <c r="I115" s="378"/>
      <c r="J115" s="376" t="s">
        <v>168</v>
      </c>
      <c r="K115" s="376" t="s">
        <v>222</v>
      </c>
      <c r="L115" s="376" t="s">
        <v>166</v>
      </c>
      <c r="M115" s="376" t="s">
        <v>171</v>
      </c>
      <c r="N115" s="376" t="s">
        <v>223</v>
      </c>
      <c r="O115" s="379">
        <v>0</v>
      </c>
      <c r="P115" s="460">
        <v>0</v>
      </c>
      <c r="Q115" s="460">
        <v>0</v>
      </c>
      <c r="R115" s="380">
        <v>0</v>
      </c>
      <c r="S115" s="460">
        <v>0</v>
      </c>
      <c r="T115" s="380">
        <v>25508.06</v>
      </c>
      <c r="U115" s="380">
        <v>774</v>
      </c>
      <c r="V115" s="380">
        <v>4337.88</v>
      </c>
      <c r="W115" s="380">
        <v>0</v>
      </c>
      <c r="X115" s="380">
        <v>0</v>
      </c>
      <c r="Y115" s="380">
        <v>0</v>
      </c>
      <c r="Z115" s="380">
        <v>0</v>
      </c>
      <c r="AA115" s="378"/>
      <c r="AB115" s="376" t="s">
        <v>45</v>
      </c>
      <c r="AC115" s="376" t="s">
        <v>45</v>
      </c>
      <c r="AD115" s="378"/>
      <c r="AE115" s="378"/>
      <c r="AF115" s="378"/>
      <c r="AG115" s="378"/>
      <c r="AH115" s="379">
        <v>0</v>
      </c>
      <c r="AI115" s="379">
        <v>0</v>
      </c>
      <c r="AJ115" s="378"/>
      <c r="AK115" s="378"/>
      <c r="AL115" s="376" t="s">
        <v>181</v>
      </c>
      <c r="AM115" s="378"/>
      <c r="AN115" s="378"/>
      <c r="AO115" s="379">
        <v>0</v>
      </c>
      <c r="AP115" s="460">
        <v>0</v>
      </c>
      <c r="AQ115" s="460">
        <v>0</v>
      </c>
      <c r="AR115" s="459"/>
      <c r="AS115" s="462">
        <f t="shared" si="17"/>
        <v>0</v>
      </c>
      <c r="AT115">
        <f t="shared" si="18"/>
        <v>0</v>
      </c>
      <c r="AU115" s="462" t="str">
        <f>IF(AT115=0,"",IF(AND(AT115=1,M115="F",SUMIF(C2:C391,C115,AS2:AS391)&lt;=1),SUMIF(C2:C391,C115,AS2:AS391),IF(AND(AT115=1,M115="F",SUMIF(C2:C391,C115,AS2:AS391)&gt;1),1,"")))</f>
        <v/>
      </c>
      <c r="AV115" s="462" t="str">
        <f>IF(AT115=0,"",IF(AND(AT115=3,M115="F",SUMIF(C2:C391,C115,AS2:AS391)&lt;=1),SUMIF(C2:C391,C115,AS2:AS391),IF(AND(AT115=3,M115="F",SUMIF(C2:C391,C115,AS2:AS391)&gt;1),1,"")))</f>
        <v/>
      </c>
      <c r="AW115" s="462">
        <f>SUMIF(C2:C391,C115,O2:O391)</f>
        <v>0</v>
      </c>
      <c r="AX115" s="462">
        <f>IF(AND(M115="F",AS115&lt;&gt;0),SUMIF(C2:C391,C115,W2:W391),0)</f>
        <v>0</v>
      </c>
      <c r="AY115" s="462" t="str">
        <f t="shared" si="19"/>
        <v/>
      </c>
      <c r="AZ115" s="462" t="str">
        <f t="shared" si="20"/>
        <v/>
      </c>
      <c r="BA115" s="462">
        <f t="shared" si="21"/>
        <v>0</v>
      </c>
      <c r="BB115" s="462">
        <f>IF(AND(AT115=1,AK115="E",AU115&gt;=0.75,AW115=1),Health,IF(AND(AT115=1,AK115="E",AU115&gt;=0.75),Health*P115,IF(AND(AT115=1,AK115="E",AU115&gt;=0.5,AW115=1),PTHealth,IF(AND(AT115=1,AK115="E",AU115&gt;=0.5),PTHealth*P115,0))))</f>
        <v>0</v>
      </c>
      <c r="BC115" s="462">
        <f>IF(AND(AT115=3,AK115="E",AV115&gt;=0.75,AW115=1),Health,IF(AND(AT115=3,AK115="E",AV115&gt;=0.75),Health*P115,IF(AND(AT115=3,AK115="E",AV115&gt;=0.5,AW115=1),PTHealth,IF(AND(AT115=3,AK115="E",AV115&gt;=0.5),PTHealth*P115,0))))</f>
        <v>0</v>
      </c>
      <c r="BD115" s="462">
        <f>IF(AND(AT115&lt;&gt;0,AX115&gt;=MAXSSDI),SSDI*MAXSSDI*P115,IF(AT115&lt;&gt;0,SSDI*W115,0))</f>
        <v>0</v>
      </c>
      <c r="BE115" s="462">
        <f>IF(AT115&lt;&gt;0,SSHI*W115,0)</f>
        <v>0</v>
      </c>
      <c r="BF115" s="462">
        <f>IF(AND(AT115&lt;&gt;0,AN115&lt;&gt;"NE"),VLOOKUP(AN115,Retirement_Rates,3,FALSE)*W115,0)</f>
        <v>0</v>
      </c>
      <c r="BG115" s="462">
        <f>IF(AND(AT115&lt;&gt;0,AJ115&lt;&gt;"PF"),Life*W115,0)</f>
        <v>0</v>
      </c>
      <c r="BH115" s="462">
        <f>IF(AND(AT115&lt;&gt;0,AM115="Y"),UI*W115,0)</f>
        <v>0</v>
      </c>
      <c r="BI115" s="462">
        <f>IF(AND(AT115&lt;&gt;0,N115&lt;&gt;"NR"),DHR*W115,0)</f>
        <v>0</v>
      </c>
      <c r="BJ115" s="462">
        <f>IF(AT115&lt;&gt;0,WC*W115,0)</f>
        <v>0</v>
      </c>
      <c r="BK115" s="462">
        <f>IF(OR(AND(AT115&lt;&gt;0,AJ115&lt;&gt;"PF",AN115&lt;&gt;"NE",AG115&lt;&gt;"A"),AND(AL115="E",OR(AT115=1,AT115=3))),Sick*W115,0)</f>
        <v>0</v>
      </c>
      <c r="BL115" s="462">
        <f t="shared" si="22"/>
        <v>0</v>
      </c>
      <c r="BM115" s="462">
        <f t="shared" si="23"/>
        <v>0</v>
      </c>
      <c r="BN115" s="462">
        <f>IF(AND(AT115=1,AK115="E",AU115&gt;=0.75,AW115=1),HealthBY,IF(AND(AT115=1,AK115="E",AU115&gt;=0.75),HealthBY*P115,IF(AND(AT115=1,AK115="E",AU115&gt;=0.5,AW115=1),PTHealthBY,IF(AND(AT115=1,AK115="E",AU115&gt;=0.5),PTHealthBY*P115,0))))</f>
        <v>0</v>
      </c>
      <c r="BO115" s="462">
        <f>IF(AND(AT115=3,AK115="E",AV115&gt;=0.75,AW115=1),HealthBY,IF(AND(AT115=3,AK115="E",AV115&gt;=0.75),HealthBY*P115,IF(AND(AT115=3,AK115="E",AV115&gt;=0.5,AW115=1),PTHealthBY,IF(AND(AT115=3,AK115="E",AV115&gt;=0.5),PTHealthBY*P115,0))))</f>
        <v>0</v>
      </c>
      <c r="BP115" s="462">
        <f>IF(AND(AT115&lt;&gt;0,(AX115+BA115)&gt;=MAXSSDIBY),SSDIBY*MAXSSDIBY*P115,IF(AT115&lt;&gt;0,SSDIBY*W115,0))</f>
        <v>0</v>
      </c>
      <c r="BQ115" s="462">
        <f>IF(AT115&lt;&gt;0,SSHIBY*W115,0)</f>
        <v>0</v>
      </c>
      <c r="BR115" s="462">
        <f>IF(AND(AT115&lt;&gt;0,AN115&lt;&gt;"NE"),VLOOKUP(AN115,Retirement_Rates,4,FALSE)*W115,0)</f>
        <v>0</v>
      </c>
      <c r="BS115" s="462">
        <f>IF(AND(AT115&lt;&gt;0,AJ115&lt;&gt;"PF"),LifeBY*W115,0)</f>
        <v>0</v>
      </c>
      <c r="BT115" s="462">
        <f>IF(AND(AT115&lt;&gt;0,AM115="Y"),UIBY*W115,0)</f>
        <v>0</v>
      </c>
      <c r="BU115" s="462">
        <f>IF(AND(AT115&lt;&gt;0,N115&lt;&gt;"NR"),DHRBY*W115,0)</f>
        <v>0</v>
      </c>
      <c r="BV115" s="462">
        <f>IF(AT115&lt;&gt;0,WCBY*W115,0)</f>
        <v>0</v>
      </c>
      <c r="BW115" s="462">
        <f>IF(OR(AND(AT115&lt;&gt;0,AJ115&lt;&gt;"PF",AN115&lt;&gt;"NE",AG115&lt;&gt;"A"),AND(AL115="E",OR(AT115=1,AT115=3))),SickBY*W115,0)</f>
        <v>0</v>
      </c>
      <c r="BX115" s="462">
        <f t="shared" si="24"/>
        <v>0</v>
      </c>
      <c r="BY115" s="462">
        <f t="shared" si="25"/>
        <v>0</v>
      </c>
      <c r="BZ115" s="462">
        <f t="shared" si="26"/>
        <v>0</v>
      </c>
      <c r="CA115" s="462">
        <f t="shared" si="27"/>
        <v>0</v>
      </c>
      <c r="CB115" s="462">
        <f t="shared" si="28"/>
        <v>0</v>
      </c>
      <c r="CC115" s="462">
        <f>IF(AT115&lt;&gt;0,SSHICHG*Y115,0)</f>
        <v>0</v>
      </c>
      <c r="CD115" s="462">
        <f>IF(AND(AT115&lt;&gt;0,AN115&lt;&gt;"NE"),VLOOKUP(AN115,Retirement_Rates,5,FALSE)*Y115,0)</f>
        <v>0</v>
      </c>
      <c r="CE115" s="462">
        <f>IF(AND(AT115&lt;&gt;0,AJ115&lt;&gt;"PF"),LifeCHG*Y115,0)</f>
        <v>0</v>
      </c>
      <c r="CF115" s="462">
        <f>IF(AND(AT115&lt;&gt;0,AM115="Y"),UICHG*Y115,0)</f>
        <v>0</v>
      </c>
      <c r="CG115" s="462">
        <f>IF(AND(AT115&lt;&gt;0,N115&lt;&gt;"NR"),DHRCHG*Y115,0)</f>
        <v>0</v>
      </c>
      <c r="CH115" s="462">
        <f>IF(AT115&lt;&gt;0,WCCHG*Y115,0)</f>
        <v>0</v>
      </c>
      <c r="CI115" s="462">
        <f>IF(OR(AND(AT115&lt;&gt;0,AJ115&lt;&gt;"PF",AN115&lt;&gt;"NE",AG115&lt;&gt;"A"),AND(AL115="E",OR(AT115=1,AT115=3))),SickCHG*Y115,0)</f>
        <v>0</v>
      </c>
      <c r="CJ115" s="462">
        <f t="shared" si="29"/>
        <v>0</v>
      </c>
      <c r="CK115" s="462" t="str">
        <f t="shared" si="30"/>
        <v/>
      </c>
      <c r="CL115" s="462">
        <f t="shared" si="31"/>
        <v>26282.06</v>
      </c>
      <c r="CM115" s="462">
        <f t="shared" si="32"/>
        <v>4337.88</v>
      </c>
      <c r="CN115" s="462" t="str">
        <f t="shared" si="33"/>
        <v>0001-00</v>
      </c>
    </row>
    <row r="116" spans="1:92" ht="15" thickBot="1" x14ac:dyDescent="0.35">
      <c r="A116" s="376" t="s">
        <v>161</v>
      </c>
      <c r="B116" s="376" t="s">
        <v>162</v>
      </c>
      <c r="C116" s="376" t="s">
        <v>510</v>
      </c>
      <c r="D116" s="376" t="s">
        <v>438</v>
      </c>
      <c r="E116" s="376" t="s">
        <v>165</v>
      </c>
      <c r="F116" s="377" t="s">
        <v>166</v>
      </c>
      <c r="G116" s="376" t="s">
        <v>432</v>
      </c>
      <c r="H116" s="378"/>
      <c r="I116" s="378"/>
      <c r="J116" s="376" t="s">
        <v>168</v>
      </c>
      <c r="K116" s="376" t="s">
        <v>439</v>
      </c>
      <c r="L116" s="376" t="s">
        <v>231</v>
      </c>
      <c r="M116" s="376" t="s">
        <v>171</v>
      </c>
      <c r="N116" s="376" t="s">
        <v>172</v>
      </c>
      <c r="O116" s="379">
        <v>1</v>
      </c>
      <c r="P116" s="460">
        <v>1</v>
      </c>
      <c r="Q116" s="460">
        <v>1</v>
      </c>
      <c r="R116" s="380">
        <v>80</v>
      </c>
      <c r="S116" s="460">
        <v>1</v>
      </c>
      <c r="T116" s="380">
        <v>25035.72</v>
      </c>
      <c r="U116" s="380">
        <v>0</v>
      </c>
      <c r="V116" s="380">
        <v>15078.02</v>
      </c>
      <c r="W116" s="380">
        <v>30139.200000000001</v>
      </c>
      <c r="X116" s="380">
        <v>18822.2</v>
      </c>
      <c r="Y116" s="380">
        <v>30139.200000000001</v>
      </c>
      <c r="Z116" s="380">
        <v>18909.61</v>
      </c>
      <c r="AA116" s="376" t="s">
        <v>511</v>
      </c>
      <c r="AB116" s="376" t="s">
        <v>512</v>
      </c>
      <c r="AC116" s="376" t="s">
        <v>513</v>
      </c>
      <c r="AD116" s="376" t="s">
        <v>514</v>
      </c>
      <c r="AE116" s="376" t="s">
        <v>439</v>
      </c>
      <c r="AF116" s="376" t="s">
        <v>236</v>
      </c>
      <c r="AG116" s="376" t="s">
        <v>178</v>
      </c>
      <c r="AH116" s="381">
        <v>19.32</v>
      </c>
      <c r="AI116" s="379">
        <v>481</v>
      </c>
      <c r="AJ116" s="376" t="s">
        <v>249</v>
      </c>
      <c r="AK116" s="376" t="s">
        <v>180</v>
      </c>
      <c r="AL116" s="376" t="s">
        <v>181</v>
      </c>
      <c r="AM116" s="376" t="s">
        <v>182</v>
      </c>
      <c r="AN116" s="376" t="s">
        <v>68</v>
      </c>
      <c r="AO116" s="379">
        <v>60</v>
      </c>
      <c r="AP116" s="460">
        <v>1</v>
      </c>
      <c r="AQ116" s="460">
        <v>0.75</v>
      </c>
      <c r="AR116" s="458" t="s">
        <v>183</v>
      </c>
      <c r="AS116" s="462">
        <f t="shared" si="17"/>
        <v>0.75</v>
      </c>
      <c r="AT116">
        <f t="shared" si="18"/>
        <v>1</v>
      </c>
      <c r="AU116" s="462">
        <f>IF(AT116=0,"",IF(AND(AT116=1,M116="F",SUMIF(C2:C391,C116,AS2:AS391)&lt;=1),SUMIF(C2:C391,C116,AS2:AS391),IF(AND(AT116=1,M116="F",SUMIF(C2:C391,C116,AS2:AS391)&gt;1),1,"")))</f>
        <v>0.75</v>
      </c>
      <c r="AV116" s="462" t="str">
        <f>IF(AT116=0,"",IF(AND(AT116=3,M116="F",SUMIF(C2:C391,C116,AS2:AS391)&lt;=1),SUMIF(C2:C391,C116,AS2:AS391),IF(AND(AT116=3,M116="F",SUMIF(C2:C391,C116,AS2:AS391)&gt;1),1,"")))</f>
        <v/>
      </c>
      <c r="AW116" s="462">
        <f>SUMIF(C2:C391,C116,O2:O391)</f>
        <v>1</v>
      </c>
      <c r="AX116" s="462">
        <f>IF(AND(M116="F",AS116&lt;&gt;0),SUMIF(C2:C391,C116,W2:W391),0)</f>
        <v>30139.200000000001</v>
      </c>
      <c r="AY116" s="462">
        <f t="shared" si="19"/>
        <v>30139.200000000001</v>
      </c>
      <c r="AZ116" s="462" t="str">
        <f t="shared" si="20"/>
        <v/>
      </c>
      <c r="BA116" s="462">
        <f t="shared" si="21"/>
        <v>0</v>
      </c>
      <c r="BB116" s="462">
        <f>IF(AND(AT116=1,AK116="E",AU116&gt;=0.75,AW116=1),Health,IF(AND(AT116=1,AK116="E",AU116&gt;=0.75),Health*P116,IF(AND(AT116=1,AK116="E",AU116&gt;=0.5,AW116=1),PTHealth,IF(AND(AT116=1,AK116="E",AU116&gt;=0.5),PTHealth*P116,0))))</f>
        <v>11650</v>
      </c>
      <c r="BC116" s="462">
        <f>IF(AND(AT116=3,AK116="E",AV116&gt;=0.75,AW116=1),Health,IF(AND(AT116=3,AK116="E",AV116&gt;=0.75),Health*P116,IF(AND(AT116=3,AK116="E",AV116&gt;=0.5,AW116=1),PTHealth,IF(AND(AT116=3,AK116="E",AV116&gt;=0.5),PTHealth*P116,0))))</f>
        <v>0</v>
      </c>
      <c r="BD116" s="462">
        <f>IF(AND(AT116&lt;&gt;0,AX116&gt;=MAXSSDI),SSDI*MAXSSDI*P116,IF(AT116&lt;&gt;0,SSDI*W116,0))</f>
        <v>1868.6304</v>
      </c>
      <c r="BE116" s="462">
        <f>IF(AT116&lt;&gt;0,SSHI*W116,0)</f>
        <v>437.01840000000004</v>
      </c>
      <c r="BF116" s="462">
        <f>IF(AND(AT116&lt;&gt;0,AN116&lt;&gt;"NE"),VLOOKUP(AN116,Retirement_Rates,3,FALSE)*W116,0)</f>
        <v>3598.6204800000005</v>
      </c>
      <c r="BG116" s="462">
        <f>IF(AND(AT116&lt;&gt;0,AJ116&lt;&gt;"PF"),Life*W116,0)</f>
        <v>217.30363200000002</v>
      </c>
      <c r="BH116" s="462">
        <f>IF(AND(AT116&lt;&gt;0,AM116="Y"),UI*W116,0)</f>
        <v>147.68207999999998</v>
      </c>
      <c r="BI116" s="462">
        <f>IF(AND(AT116&lt;&gt;0,N116&lt;&gt;"NR"),DHR*W116,0)</f>
        <v>92.225951999999992</v>
      </c>
      <c r="BJ116" s="462">
        <f>IF(AT116&lt;&gt;0,WC*W116,0)</f>
        <v>810.74448000000007</v>
      </c>
      <c r="BK116" s="462">
        <f>IF(OR(AND(AT116&lt;&gt;0,AJ116&lt;&gt;"PF",AN116&lt;&gt;"NE",AG116&lt;&gt;"A"),AND(AL116="E",OR(AT116=1,AT116=3))),Sick*W116,0)</f>
        <v>0</v>
      </c>
      <c r="BL116" s="462">
        <f t="shared" si="22"/>
        <v>7172.2254240000002</v>
      </c>
      <c r="BM116" s="462">
        <f t="shared" si="23"/>
        <v>0</v>
      </c>
      <c r="BN116" s="462">
        <f>IF(AND(AT116=1,AK116="E",AU116&gt;=0.75,AW116=1),HealthBY,IF(AND(AT116=1,AK116="E",AU116&gt;=0.75),HealthBY*P116,IF(AND(AT116=1,AK116="E",AU116&gt;=0.5,AW116=1),PTHealthBY,IF(AND(AT116=1,AK116="E",AU116&gt;=0.5),PTHealthBY*P116,0))))</f>
        <v>11650</v>
      </c>
      <c r="BO116" s="462">
        <f>IF(AND(AT116=3,AK116="E",AV116&gt;=0.75,AW116=1),HealthBY,IF(AND(AT116=3,AK116="E",AV116&gt;=0.75),HealthBY*P116,IF(AND(AT116=3,AK116="E",AV116&gt;=0.5,AW116=1),PTHealthBY,IF(AND(AT116=3,AK116="E",AV116&gt;=0.5),PTHealthBY*P116,0))))</f>
        <v>0</v>
      </c>
      <c r="BP116" s="462">
        <f>IF(AND(AT116&lt;&gt;0,(AX116+BA116)&gt;=MAXSSDIBY),SSDIBY*MAXSSDIBY*P116,IF(AT116&lt;&gt;0,SSDIBY*W116,0))</f>
        <v>1868.6304</v>
      </c>
      <c r="BQ116" s="462">
        <f>IF(AT116&lt;&gt;0,SSHIBY*W116,0)</f>
        <v>437.01840000000004</v>
      </c>
      <c r="BR116" s="462">
        <f>IF(AND(AT116&lt;&gt;0,AN116&lt;&gt;"NE"),VLOOKUP(AN116,Retirement_Rates,4,FALSE)*W116,0)</f>
        <v>3598.6204800000005</v>
      </c>
      <c r="BS116" s="462">
        <f>IF(AND(AT116&lt;&gt;0,AJ116&lt;&gt;"PF"),LifeBY*W116,0)</f>
        <v>217.30363200000002</v>
      </c>
      <c r="BT116" s="462">
        <f>IF(AND(AT116&lt;&gt;0,AM116="Y"),UIBY*W116,0)</f>
        <v>0</v>
      </c>
      <c r="BU116" s="462">
        <f>IF(AND(AT116&lt;&gt;0,N116&lt;&gt;"NR"),DHRBY*W116,0)</f>
        <v>92.225951999999992</v>
      </c>
      <c r="BV116" s="462">
        <f>IF(AT116&lt;&gt;0,WCBY*W116,0)</f>
        <v>1045.83024</v>
      </c>
      <c r="BW116" s="462">
        <f>IF(OR(AND(AT116&lt;&gt;0,AJ116&lt;&gt;"PF",AN116&lt;&gt;"NE",AG116&lt;&gt;"A"),AND(AL116="E",OR(AT116=1,AT116=3))),SickBY*W116,0)</f>
        <v>0</v>
      </c>
      <c r="BX116" s="462">
        <f t="shared" si="24"/>
        <v>7259.6291040000006</v>
      </c>
      <c r="BY116" s="462">
        <f t="shared" si="25"/>
        <v>0</v>
      </c>
      <c r="BZ116" s="462">
        <f t="shared" si="26"/>
        <v>0</v>
      </c>
      <c r="CA116" s="462">
        <f t="shared" si="27"/>
        <v>0</v>
      </c>
      <c r="CB116" s="462">
        <f t="shared" si="28"/>
        <v>0</v>
      </c>
      <c r="CC116" s="462">
        <f>IF(AT116&lt;&gt;0,SSHICHG*Y116,0)</f>
        <v>0</v>
      </c>
      <c r="CD116" s="462">
        <f>IF(AND(AT116&lt;&gt;0,AN116&lt;&gt;"NE"),VLOOKUP(AN116,Retirement_Rates,5,FALSE)*Y116,0)</f>
        <v>0</v>
      </c>
      <c r="CE116" s="462">
        <f>IF(AND(AT116&lt;&gt;0,AJ116&lt;&gt;"PF"),LifeCHG*Y116,0)</f>
        <v>0</v>
      </c>
      <c r="CF116" s="462">
        <f>IF(AND(AT116&lt;&gt;0,AM116="Y"),UICHG*Y116,0)</f>
        <v>-147.68207999999998</v>
      </c>
      <c r="CG116" s="462">
        <f>IF(AND(AT116&lt;&gt;0,N116&lt;&gt;"NR"),DHRCHG*Y116,0)</f>
        <v>0</v>
      </c>
      <c r="CH116" s="462">
        <f>IF(AT116&lt;&gt;0,WCCHG*Y116,0)</f>
        <v>235.08576000000005</v>
      </c>
      <c r="CI116" s="462">
        <f>IF(OR(AND(AT116&lt;&gt;0,AJ116&lt;&gt;"PF",AN116&lt;&gt;"NE",AG116&lt;&gt;"A"),AND(AL116="E",OR(AT116=1,AT116=3))),SickCHG*Y116,0)</f>
        <v>0</v>
      </c>
      <c r="CJ116" s="462">
        <f t="shared" si="29"/>
        <v>87.403680000000065</v>
      </c>
      <c r="CK116" s="462" t="str">
        <f t="shared" si="30"/>
        <v/>
      </c>
      <c r="CL116" s="462" t="str">
        <f t="shared" si="31"/>
        <v/>
      </c>
      <c r="CM116" s="462" t="str">
        <f t="shared" si="32"/>
        <v/>
      </c>
      <c r="CN116" s="462" t="str">
        <f t="shared" si="33"/>
        <v>0001-00</v>
      </c>
    </row>
    <row r="117" spans="1:92" ht="15" thickBot="1" x14ac:dyDescent="0.35">
      <c r="A117" s="376" t="s">
        <v>161</v>
      </c>
      <c r="B117" s="376" t="s">
        <v>162</v>
      </c>
      <c r="C117" s="376" t="s">
        <v>515</v>
      </c>
      <c r="D117" s="376" t="s">
        <v>221</v>
      </c>
      <c r="E117" s="376" t="s">
        <v>165</v>
      </c>
      <c r="F117" s="377" t="s">
        <v>166</v>
      </c>
      <c r="G117" s="376" t="s">
        <v>432</v>
      </c>
      <c r="H117" s="378"/>
      <c r="I117" s="378"/>
      <c r="J117" s="376" t="s">
        <v>168</v>
      </c>
      <c r="K117" s="376" t="s">
        <v>222</v>
      </c>
      <c r="L117" s="376" t="s">
        <v>166</v>
      </c>
      <c r="M117" s="376" t="s">
        <v>171</v>
      </c>
      <c r="N117" s="376" t="s">
        <v>223</v>
      </c>
      <c r="O117" s="379">
        <v>0</v>
      </c>
      <c r="P117" s="460">
        <v>0</v>
      </c>
      <c r="Q117" s="460">
        <v>0</v>
      </c>
      <c r="R117" s="380">
        <v>0</v>
      </c>
      <c r="S117" s="460">
        <v>0</v>
      </c>
      <c r="T117" s="380">
        <v>1344</v>
      </c>
      <c r="U117" s="380">
        <v>0</v>
      </c>
      <c r="V117" s="380">
        <v>136.06</v>
      </c>
      <c r="W117" s="380">
        <v>0</v>
      </c>
      <c r="X117" s="380">
        <v>0</v>
      </c>
      <c r="Y117" s="380">
        <v>0</v>
      </c>
      <c r="Z117" s="380">
        <v>0</v>
      </c>
      <c r="AA117" s="378"/>
      <c r="AB117" s="376" t="s">
        <v>45</v>
      </c>
      <c r="AC117" s="376" t="s">
        <v>45</v>
      </c>
      <c r="AD117" s="378"/>
      <c r="AE117" s="378"/>
      <c r="AF117" s="378"/>
      <c r="AG117" s="378"/>
      <c r="AH117" s="379">
        <v>0</v>
      </c>
      <c r="AI117" s="379">
        <v>0</v>
      </c>
      <c r="AJ117" s="378"/>
      <c r="AK117" s="378"/>
      <c r="AL117" s="376" t="s">
        <v>181</v>
      </c>
      <c r="AM117" s="378"/>
      <c r="AN117" s="378"/>
      <c r="AO117" s="379">
        <v>0</v>
      </c>
      <c r="AP117" s="460">
        <v>0</v>
      </c>
      <c r="AQ117" s="460">
        <v>0</v>
      </c>
      <c r="AR117" s="459"/>
      <c r="AS117" s="462">
        <f t="shared" si="17"/>
        <v>0</v>
      </c>
      <c r="AT117">
        <f t="shared" si="18"/>
        <v>0</v>
      </c>
      <c r="AU117" s="462" t="str">
        <f>IF(AT117=0,"",IF(AND(AT117=1,M117="F",SUMIF(C2:C391,C117,AS2:AS391)&lt;=1),SUMIF(C2:C391,C117,AS2:AS391),IF(AND(AT117=1,M117="F",SUMIF(C2:C391,C117,AS2:AS391)&gt;1),1,"")))</f>
        <v/>
      </c>
      <c r="AV117" s="462" t="str">
        <f>IF(AT117=0,"",IF(AND(AT117=3,M117="F",SUMIF(C2:C391,C117,AS2:AS391)&lt;=1),SUMIF(C2:C391,C117,AS2:AS391),IF(AND(AT117=3,M117="F",SUMIF(C2:C391,C117,AS2:AS391)&gt;1),1,"")))</f>
        <v/>
      </c>
      <c r="AW117" s="462">
        <f>SUMIF(C2:C391,C117,O2:O391)</f>
        <v>0</v>
      </c>
      <c r="AX117" s="462">
        <f>IF(AND(M117="F",AS117&lt;&gt;0),SUMIF(C2:C391,C117,W2:W391),0)</f>
        <v>0</v>
      </c>
      <c r="AY117" s="462" t="str">
        <f t="shared" si="19"/>
        <v/>
      </c>
      <c r="AZ117" s="462" t="str">
        <f t="shared" si="20"/>
        <v/>
      </c>
      <c r="BA117" s="462">
        <f t="shared" si="21"/>
        <v>0</v>
      </c>
      <c r="BB117" s="462">
        <f>IF(AND(AT117=1,AK117="E",AU117&gt;=0.75,AW117=1),Health,IF(AND(AT117=1,AK117="E",AU117&gt;=0.75),Health*P117,IF(AND(AT117=1,AK117="E",AU117&gt;=0.5,AW117=1),PTHealth,IF(AND(AT117=1,AK117="E",AU117&gt;=0.5),PTHealth*P117,0))))</f>
        <v>0</v>
      </c>
      <c r="BC117" s="462">
        <f>IF(AND(AT117=3,AK117="E",AV117&gt;=0.75,AW117=1),Health,IF(AND(AT117=3,AK117="E",AV117&gt;=0.75),Health*P117,IF(AND(AT117=3,AK117="E",AV117&gt;=0.5,AW117=1),PTHealth,IF(AND(AT117=3,AK117="E",AV117&gt;=0.5),PTHealth*P117,0))))</f>
        <v>0</v>
      </c>
      <c r="BD117" s="462">
        <f>IF(AND(AT117&lt;&gt;0,AX117&gt;=MAXSSDI),SSDI*MAXSSDI*P117,IF(AT117&lt;&gt;0,SSDI*W117,0))</f>
        <v>0</v>
      </c>
      <c r="BE117" s="462">
        <f>IF(AT117&lt;&gt;0,SSHI*W117,0)</f>
        <v>0</v>
      </c>
      <c r="BF117" s="462">
        <f>IF(AND(AT117&lt;&gt;0,AN117&lt;&gt;"NE"),VLOOKUP(AN117,Retirement_Rates,3,FALSE)*W117,0)</f>
        <v>0</v>
      </c>
      <c r="BG117" s="462">
        <f>IF(AND(AT117&lt;&gt;0,AJ117&lt;&gt;"PF"),Life*W117,0)</f>
        <v>0</v>
      </c>
      <c r="BH117" s="462">
        <f>IF(AND(AT117&lt;&gt;0,AM117="Y"),UI*W117,0)</f>
        <v>0</v>
      </c>
      <c r="BI117" s="462">
        <f>IF(AND(AT117&lt;&gt;0,N117&lt;&gt;"NR"),DHR*W117,0)</f>
        <v>0</v>
      </c>
      <c r="BJ117" s="462">
        <f>IF(AT117&lt;&gt;0,WC*W117,0)</f>
        <v>0</v>
      </c>
      <c r="BK117" s="462">
        <f>IF(OR(AND(AT117&lt;&gt;0,AJ117&lt;&gt;"PF",AN117&lt;&gt;"NE",AG117&lt;&gt;"A"),AND(AL117="E",OR(AT117=1,AT117=3))),Sick*W117,0)</f>
        <v>0</v>
      </c>
      <c r="BL117" s="462">
        <f t="shared" si="22"/>
        <v>0</v>
      </c>
      <c r="BM117" s="462">
        <f t="shared" si="23"/>
        <v>0</v>
      </c>
      <c r="BN117" s="462">
        <f>IF(AND(AT117=1,AK117="E",AU117&gt;=0.75,AW117=1),HealthBY,IF(AND(AT117=1,AK117="E",AU117&gt;=0.75),HealthBY*P117,IF(AND(AT117=1,AK117="E",AU117&gt;=0.5,AW117=1),PTHealthBY,IF(AND(AT117=1,AK117="E",AU117&gt;=0.5),PTHealthBY*P117,0))))</f>
        <v>0</v>
      </c>
      <c r="BO117" s="462">
        <f>IF(AND(AT117=3,AK117="E",AV117&gt;=0.75,AW117=1),HealthBY,IF(AND(AT117=3,AK117="E",AV117&gt;=0.75),HealthBY*P117,IF(AND(AT117=3,AK117="E",AV117&gt;=0.5,AW117=1),PTHealthBY,IF(AND(AT117=3,AK117="E",AV117&gt;=0.5),PTHealthBY*P117,0))))</f>
        <v>0</v>
      </c>
      <c r="BP117" s="462">
        <f>IF(AND(AT117&lt;&gt;0,(AX117+BA117)&gt;=MAXSSDIBY),SSDIBY*MAXSSDIBY*P117,IF(AT117&lt;&gt;0,SSDIBY*W117,0))</f>
        <v>0</v>
      </c>
      <c r="BQ117" s="462">
        <f>IF(AT117&lt;&gt;0,SSHIBY*W117,0)</f>
        <v>0</v>
      </c>
      <c r="BR117" s="462">
        <f>IF(AND(AT117&lt;&gt;0,AN117&lt;&gt;"NE"),VLOOKUP(AN117,Retirement_Rates,4,FALSE)*W117,0)</f>
        <v>0</v>
      </c>
      <c r="BS117" s="462">
        <f>IF(AND(AT117&lt;&gt;0,AJ117&lt;&gt;"PF"),LifeBY*W117,0)</f>
        <v>0</v>
      </c>
      <c r="BT117" s="462">
        <f>IF(AND(AT117&lt;&gt;0,AM117="Y"),UIBY*W117,0)</f>
        <v>0</v>
      </c>
      <c r="BU117" s="462">
        <f>IF(AND(AT117&lt;&gt;0,N117&lt;&gt;"NR"),DHRBY*W117,0)</f>
        <v>0</v>
      </c>
      <c r="BV117" s="462">
        <f>IF(AT117&lt;&gt;0,WCBY*W117,0)</f>
        <v>0</v>
      </c>
      <c r="BW117" s="462">
        <f>IF(OR(AND(AT117&lt;&gt;0,AJ117&lt;&gt;"PF",AN117&lt;&gt;"NE",AG117&lt;&gt;"A"),AND(AL117="E",OR(AT117=1,AT117=3))),SickBY*W117,0)</f>
        <v>0</v>
      </c>
      <c r="BX117" s="462">
        <f t="shared" si="24"/>
        <v>0</v>
      </c>
      <c r="BY117" s="462">
        <f t="shared" si="25"/>
        <v>0</v>
      </c>
      <c r="BZ117" s="462">
        <f t="shared" si="26"/>
        <v>0</v>
      </c>
      <c r="CA117" s="462">
        <f t="shared" si="27"/>
        <v>0</v>
      </c>
      <c r="CB117" s="462">
        <f t="shared" si="28"/>
        <v>0</v>
      </c>
      <c r="CC117" s="462">
        <f>IF(AT117&lt;&gt;0,SSHICHG*Y117,0)</f>
        <v>0</v>
      </c>
      <c r="CD117" s="462">
        <f>IF(AND(AT117&lt;&gt;0,AN117&lt;&gt;"NE"),VLOOKUP(AN117,Retirement_Rates,5,FALSE)*Y117,0)</f>
        <v>0</v>
      </c>
      <c r="CE117" s="462">
        <f>IF(AND(AT117&lt;&gt;0,AJ117&lt;&gt;"PF"),LifeCHG*Y117,0)</f>
        <v>0</v>
      </c>
      <c r="CF117" s="462">
        <f>IF(AND(AT117&lt;&gt;0,AM117="Y"),UICHG*Y117,0)</f>
        <v>0</v>
      </c>
      <c r="CG117" s="462">
        <f>IF(AND(AT117&lt;&gt;0,N117&lt;&gt;"NR"),DHRCHG*Y117,0)</f>
        <v>0</v>
      </c>
      <c r="CH117" s="462">
        <f>IF(AT117&lt;&gt;0,WCCHG*Y117,0)</f>
        <v>0</v>
      </c>
      <c r="CI117" s="462">
        <f>IF(OR(AND(AT117&lt;&gt;0,AJ117&lt;&gt;"PF",AN117&lt;&gt;"NE",AG117&lt;&gt;"A"),AND(AL117="E",OR(AT117=1,AT117=3))),SickCHG*Y117,0)</f>
        <v>0</v>
      </c>
      <c r="CJ117" s="462">
        <f t="shared" si="29"/>
        <v>0</v>
      </c>
      <c r="CK117" s="462" t="str">
        <f t="shared" si="30"/>
        <v/>
      </c>
      <c r="CL117" s="462">
        <f t="shared" si="31"/>
        <v>1344</v>
      </c>
      <c r="CM117" s="462">
        <f t="shared" si="32"/>
        <v>136.06</v>
      </c>
      <c r="CN117" s="462" t="str">
        <f t="shared" si="33"/>
        <v>0001-00</v>
      </c>
    </row>
    <row r="118" spans="1:92" ht="15" thickBot="1" x14ac:dyDescent="0.35">
      <c r="A118" s="376" t="s">
        <v>161</v>
      </c>
      <c r="B118" s="376" t="s">
        <v>162</v>
      </c>
      <c r="C118" s="376" t="s">
        <v>516</v>
      </c>
      <c r="D118" s="376" t="s">
        <v>185</v>
      </c>
      <c r="E118" s="376" t="s">
        <v>165</v>
      </c>
      <c r="F118" s="377" t="s">
        <v>166</v>
      </c>
      <c r="G118" s="376" t="s">
        <v>432</v>
      </c>
      <c r="H118" s="378"/>
      <c r="I118" s="378"/>
      <c r="J118" s="376" t="s">
        <v>168</v>
      </c>
      <c r="K118" s="376" t="s">
        <v>186</v>
      </c>
      <c r="L118" s="376" t="s">
        <v>178</v>
      </c>
      <c r="M118" s="376" t="s">
        <v>171</v>
      </c>
      <c r="N118" s="376" t="s">
        <v>172</v>
      </c>
      <c r="O118" s="379">
        <v>1</v>
      </c>
      <c r="P118" s="460">
        <v>0</v>
      </c>
      <c r="Q118" s="460">
        <v>0</v>
      </c>
      <c r="R118" s="380">
        <v>80</v>
      </c>
      <c r="S118" s="460">
        <v>0</v>
      </c>
      <c r="T118" s="380">
        <v>17861.36</v>
      </c>
      <c r="U118" s="380">
        <v>0</v>
      </c>
      <c r="V118" s="380">
        <v>10475.209999999999</v>
      </c>
      <c r="W118" s="380">
        <v>0</v>
      </c>
      <c r="X118" s="380">
        <v>0</v>
      </c>
      <c r="Y118" s="380">
        <v>0</v>
      </c>
      <c r="Z118" s="380">
        <v>0</v>
      </c>
      <c r="AA118" s="376" t="s">
        <v>517</v>
      </c>
      <c r="AB118" s="376" t="s">
        <v>518</v>
      </c>
      <c r="AC118" s="376" t="s">
        <v>519</v>
      </c>
      <c r="AD118" s="376" t="s">
        <v>170</v>
      </c>
      <c r="AE118" s="376" t="s">
        <v>186</v>
      </c>
      <c r="AF118" s="376" t="s">
        <v>190</v>
      </c>
      <c r="AG118" s="376" t="s">
        <v>178</v>
      </c>
      <c r="AH118" s="381">
        <v>15.61</v>
      </c>
      <c r="AI118" s="381">
        <v>25395.8</v>
      </c>
      <c r="AJ118" s="376" t="s">
        <v>179</v>
      </c>
      <c r="AK118" s="376" t="s">
        <v>180</v>
      </c>
      <c r="AL118" s="376" t="s">
        <v>181</v>
      </c>
      <c r="AM118" s="376" t="s">
        <v>182</v>
      </c>
      <c r="AN118" s="376" t="s">
        <v>68</v>
      </c>
      <c r="AO118" s="379">
        <v>80</v>
      </c>
      <c r="AP118" s="460">
        <v>1</v>
      </c>
      <c r="AQ118" s="460">
        <v>0</v>
      </c>
      <c r="AR118" s="458" t="s">
        <v>183</v>
      </c>
      <c r="AS118" s="462">
        <f t="shared" si="17"/>
        <v>0</v>
      </c>
      <c r="AT118">
        <f t="shared" si="18"/>
        <v>0</v>
      </c>
      <c r="AU118" s="462" t="str">
        <f>IF(AT118=0,"",IF(AND(AT118=1,M118="F",SUMIF(C2:C391,C118,AS2:AS391)&lt;=1),SUMIF(C2:C391,C118,AS2:AS391),IF(AND(AT118=1,M118="F",SUMIF(C2:C391,C118,AS2:AS391)&gt;1),1,"")))</f>
        <v/>
      </c>
      <c r="AV118" s="462" t="str">
        <f>IF(AT118=0,"",IF(AND(AT118=3,M118="F",SUMIF(C2:C391,C118,AS2:AS391)&lt;=1),SUMIF(C2:C391,C118,AS2:AS391),IF(AND(AT118=3,M118="F",SUMIF(C2:C391,C118,AS2:AS391)&gt;1),1,"")))</f>
        <v/>
      </c>
      <c r="AW118" s="462">
        <f>SUMIF(C2:C391,C118,O2:O391)</f>
        <v>2</v>
      </c>
      <c r="AX118" s="462">
        <f>IF(AND(M118="F",AS118&lt;&gt;0),SUMIF(C2:C391,C118,W2:W391),0)</f>
        <v>0</v>
      </c>
      <c r="AY118" s="462" t="str">
        <f t="shared" si="19"/>
        <v/>
      </c>
      <c r="AZ118" s="462" t="str">
        <f t="shared" si="20"/>
        <v/>
      </c>
      <c r="BA118" s="462">
        <f t="shared" si="21"/>
        <v>0</v>
      </c>
      <c r="BB118" s="462">
        <f>IF(AND(AT118=1,AK118="E",AU118&gt;=0.75,AW118=1),Health,IF(AND(AT118=1,AK118="E",AU118&gt;=0.75),Health*P118,IF(AND(AT118=1,AK118="E",AU118&gt;=0.5,AW118=1),PTHealth,IF(AND(AT118=1,AK118="E",AU118&gt;=0.5),PTHealth*P118,0))))</f>
        <v>0</v>
      </c>
      <c r="BC118" s="462">
        <f>IF(AND(AT118=3,AK118="E",AV118&gt;=0.75,AW118=1),Health,IF(AND(AT118=3,AK118="E",AV118&gt;=0.75),Health*P118,IF(AND(AT118=3,AK118="E",AV118&gt;=0.5,AW118=1),PTHealth,IF(AND(AT118=3,AK118="E",AV118&gt;=0.5),PTHealth*P118,0))))</f>
        <v>0</v>
      </c>
      <c r="BD118" s="462">
        <f>IF(AND(AT118&lt;&gt;0,AX118&gt;=MAXSSDI),SSDI*MAXSSDI*P118,IF(AT118&lt;&gt;0,SSDI*W118,0))</f>
        <v>0</v>
      </c>
      <c r="BE118" s="462">
        <f>IF(AT118&lt;&gt;0,SSHI*W118,0)</f>
        <v>0</v>
      </c>
      <c r="BF118" s="462">
        <f>IF(AND(AT118&lt;&gt;0,AN118&lt;&gt;"NE"),VLOOKUP(AN118,Retirement_Rates,3,FALSE)*W118,0)</f>
        <v>0</v>
      </c>
      <c r="BG118" s="462">
        <f>IF(AND(AT118&lt;&gt;0,AJ118&lt;&gt;"PF"),Life*W118,0)</f>
        <v>0</v>
      </c>
      <c r="BH118" s="462">
        <f>IF(AND(AT118&lt;&gt;0,AM118="Y"),UI*W118,0)</f>
        <v>0</v>
      </c>
      <c r="BI118" s="462">
        <f>IF(AND(AT118&lt;&gt;0,N118&lt;&gt;"NR"),DHR*W118,0)</f>
        <v>0</v>
      </c>
      <c r="BJ118" s="462">
        <f>IF(AT118&lt;&gt;0,WC*W118,0)</f>
        <v>0</v>
      </c>
      <c r="BK118" s="462">
        <f>IF(OR(AND(AT118&lt;&gt;0,AJ118&lt;&gt;"PF",AN118&lt;&gt;"NE",AG118&lt;&gt;"A"),AND(AL118="E",OR(AT118=1,AT118=3))),Sick*W118,0)</f>
        <v>0</v>
      </c>
      <c r="BL118" s="462">
        <f t="shared" si="22"/>
        <v>0</v>
      </c>
      <c r="BM118" s="462">
        <f t="shared" si="23"/>
        <v>0</v>
      </c>
      <c r="BN118" s="462">
        <f>IF(AND(AT118=1,AK118="E",AU118&gt;=0.75,AW118=1),HealthBY,IF(AND(AT118=1,AK118="E",AU118&gt;=0.75),HealthBY*P118,IF(AND(AT118=1,AK118="E",AU118&gt;=0.5,AW118=1),PTHealthBY,IF(AND(AT118=1,AK118="E",AU118&gt;=0.5),PTHealthBY*P118,0))))</f>
        <v>0</v>
      </c>
      <c r="BO118" s="462">
        <f>IF(AND(AT118=3,AK118="E",AV118&gt;=0.75,AW118=1),HealthBY,IF(AND(AT118=3,AK118="E",AV118&gt;=0.75),HealthBY*P118,IF(AND(AT118=3,AK118="E",AV118&gt;=0.5,AW118=1),PTHealthBY,IF(AND(AT118=3,AK118="E",AV118&gt;=0.5),PTHealthBY*P118,0))))</f>
        <v>0</v>
      </c>
      <c r="BP118" s="462">
        <f>IF(AND(AT118&lt;&gt;0,(AX118+BA118)&gt;=MAXSSDIBY),SSDIBY*MAXSSDIBY*P118,IF(AT118&lt;&gt;0,SSDIBY*W118,0))</f>
        <v>0</v>
      </c>
      <c r="BQ118" s="462">
        <f>IF(AT118&lt;&gt;0,SSHIBY*W118,0)</f>
        <v>0</v>
      </c>
      <c r="BR118" s="462">
        <f>IF(AND(AT118&lt;&gt;0,AN118&lt;&gt;"NE"),VLOOKUP(AN118,Retirement_Rates,4,FALSE)*W118,0)</f>
        <v>0</v>
      </c>
      <c r="BS118" s="462">
        <f>IF(AND(AT118&lt;&gt;0,AJ118&lt;&gt;"PF"),LifeBY*W118,0)</f>
        <v>0</v>
      </c>
      <c r="BT118" s="462">
        <f>IF(AND(AT118&lt;&gt;0,AM118="Y"),UIBY*W118,0)</f>
        <v>0</v>
      </c>
      <c r="BU118" s="462">
        <f>IF(AND(AT118&lt;&gt;0,N118&lt;&gt;"NR"),DHRBY*W118,0)</f>
        <v>0</v>
      </c>
      <c r="BV118" s="462">
        <f>IF(AT118&lt;&gt;0,WCBY*W118,0)</f>
        <v>0</v>
      </c>
      <c r="BW118" s="462">
        <f>IF(OR(AND(AT118&lt;&gt;0,AJ118&lt;&gt;"PF",AN118&lt;&gt;"NE",AG118&lt;&gt;"A"),AND(AL118="E",OR(AT118=1,AT118=3))),SickBY*W118,0)</f>
        <v>0</v>
      </c>
      <c r="BX118" s="462">
        <f t="shared" si="24"/>
        <v>0</v>
      </c>
      <c r="BY118" s="462">
        <f t="shared" si="25"/>
        <v>0</v>
      </c>
      <c r="BZ118" s="462">
        <f t="shared" si="26"/>
        <v>0</v>
      </c>
      <c r="CA118" s="462">
        <f t="shared" si="27"/>
        <v>0</v>
      </c>
      <c r="CB118" s="462">
        <f t="shared" si="28"/>
        <v>0</v>
      </c>
      <c r="CC118" s="462">
        <f>IF(AT118&lt;&gt;0,SSHICHG*Y118,0)</f>
        <v>0</v>
      </c>
      <c r="CD118" s="462">
        <f>IF(AND(AT118&lt;&gt;0,AN118&lt;&gt;"NE"),VLOOKUP(AN118,Retirement_Rates,5,FALSE)*Y118,0)</f>
        <v>0</v>
      </c>
      <c r="CE118" s="462">
        <f>IF(AND(AT118&lt;&gt;0,AJ118&lt;&gt;"PF"),LifeCHG*Y118,0)</f>
        <v>0</v>
      </c>
      <c r="CF118" s="462">
        <f>IF(AND(AT118&lt;&gt;0,AM118="Y"),UICHG*Y118,0)</f>
        <v>0</v>
      </c>
      <c r="CG118" s="462">
        <f>IF(AND(AT118&lt;&gt;0,N118&lt;&gt;"NR"),DHRCHG*Y118,0)</f>
        <v>0</v>
      </c>
      <c r="CH118" s="462">
        <f>IF(AT118&lt;&gt;0,WCCHG*Y118,0)</f>
        <v>0</v>
      </c>
      <c r="CI118" s="462">
        <f>IF(OR(AND(AT118&lt;&gt;0,AJ118&lt;&gt;"PF",AN118&lt;&gt;"NE",AG118&lt;&gt;"A"),AND(AL118="E",OR(AT118=1,AT118=3))),SickCHG*Y118,0)</f>
        <v>0</v>
      </c>
      <c r="CJ118" s="462">
        <f t="shared" si="29"/>
        <v>0</v>
      </c>
      <c r="CK118" s="462" t="str">
        <f t="shared" si="30"/>
        <v/>
      </c>
      <c r="CL118" s="462" t="str">
        <f t="shared" si="31"/>
        <v/>
      </c>
      <c r="CM118" s="462" t="str">
        <f t="shared" si="32"/>
        <v/>
      </c>
      <c r="CN118" s="462" t="str">
        <f t="shared" si="33"/>
        <v>0001-00</v>
      </c>
    </row>
    <row r="119" spans="1:92" ht="15" thickBot="1" x14ac:dyDescent="0.35">
      <c r="A119" s="376" t="s">
        <v>161</v>
      </c>
      <c r="B119" s="376" t="s">
        <v>162</v>
      </c>
      <c r="C119" s="376" t="s">
        <v>520</v>
      </c>
      <c r="D119" s="376" t="s">
        <v>438</v>
      </c>
      <c r="E119" s="376" t="s">
        <v>165</v>
      </c>
      <c r="F119" s="377" t="s">
        <v>166</v>
      </c>
      <c r="G119" s="376" t="s">
        <v>432</v>
      </c>
      <c r="H119" s="378"/>
      <c r="I119" s="378"/>
      <c r="J119" s="376" t="s">
        <v>168</v>
      </c>
      <c r="K119" s="376" t="s">
        <v>439</v>
      </c>
      <c r="L119" s="376" t="s">
        <v>231</v>
      </c>
      <c r="M119" s="376" t="s">
        <v>171</v>
      </c>
      <c r="N119" s="376" t="s">
        <v>172</v>
      </c>
      <c r="O119" s="379">
        <v>1</v>
      </c>
      <c r="P119" s="460">
        <v>1</v>
      </c>
      <c r="Q119" s="460">
        <v>1</v>
      </c>
      <c r="R119" s="380">
        <v>80</v>
      </c>
      <c r="S119" s="460">
        <v>1</v>
      </c>
      <c r="T119" s="380">
        <v>41743.839999999997</v>
      </c>
      <c r="U119" s="380">
        <v>0</v>
      </c>
      <c r="V119" s="380">
        <v>21298</v>
      </c>
      <c r="W119" s="380">
        <v>42140.800000000003</v>
      </c>
      <c r="X119" s="380">
        <v>21678.21</v>
      </c>
      <c r="Y119" s="380">
        <v>42140.800000000003</v>
      </c>
      <c r="Z119" s="380">
        <v>21800.43</v>
      </c>
      <c r="AA119" s="376" t="s">
        <v>521</v>
      </c>
      <c r="AB119" s="376" t="s">
        <v>522</v>
      </c>
      <c r="AC119" s="376" t="s">
        <v>523</v>
      </c>
      <c r="AD119" s="376" t="s">
        <v>176</v>
      </c>
      <c r="AE119" s="376" t="s">
        <v>439</v>
      </c>
      <c r="AF119" s="376" t="s">
        <v>236</v>
      </c>
      <c r="AG119" s="376" t="s">
        <v>178</v>
      </c>
      <c r="AH119" s="381">
        <v>20.260000000000002</v>
      </c>
      <c r="AI119" s="381">
        <v>37797.199999999997</v>
      </c>
      <c r="AJ119" s="376" t="s">
        <v>179</v>
      </c>
      <c r="AK119" s="376" t="s">
        <v>180</v>
      </c>
      <c r="AL119" s="376" t="s">
        <v>181</v>
      </c>
      <c r="AM119" s="376" t="s">
        <v>182</v>
      </c>
      <c r="AN119" s="376" t="s">
        <v>68</v>
      </c>
      <c r="AO119" s="379">
        <v>80</v>
      </c>
      <c r="AP119" s="460">
        <v>1</v>
      </c>
      <c r="AQ119" s="460">
        <v>1</v>
      </c>
      <c r="AR119" s="458" t="s">
        <v>183</v>
      </c>
      <c r="AS119" s="462">
        <f t="shared" si="17"/>
        <v>1</v>
      </c>
      <c r="AT119">
        <f t="shared" si="18"/>
        <v>1</v>
      </c>
      <c r="AU119" s="462">
        <f>IF(AT119=0,"",IF(AND(AT119=1,M119="F",SUMIF(C2:C391,C119,AS2:AS391)&lt;=1),SUMIF(C2:C391,C119,AS2:AS391),IF(AND(AT119=1,M119="F",SUMIF(C2:C391,C119,AS2:AS391)&gt;1),1,"")))</f>
        <v>1</v>
      </c>
      <c r="AV119" s="462" t="str">
        <f>IF(AT119=0,"",IF(AND(AT119=3,M119="F",SUMIF(C2:C391,C119,AS2:AS391)&lt;=1),SUMIF(C2:C391,C119,AS2:AS391),IF(AND(AT119=3,M119="F",SUMIF(C2:C391,C119,AS2:AS391)&gt;1),1,"")))</f>
        <v/>
      </c>
      <c r="AW119" s="462">
        <f>SUMIF(C2:C391,C119,O2:O391)</f>
        <v>1</v>
      </c>
      <c r="AX119" s="462">
        <f>IF(AND(M119="F",AS119&lt;&gt;0),SUMIF(C2:C391,C119,W2:W391),0)</f>
        <v>42140.800000000003</v>
      </c>
      <c r="AY119" s="462">
        <f t="shared" si="19"/>
        <v>42140.800000000003</v>
      </c>
      <c r="AZ119" s="462" t="str">
        <f t="shared" si="20"/>
        <v/>
      </c>
      <c r="BA119" s="462">
        <f t="shared" si="21"/>
        <v>0</v>
      </c>
      <c r="BB119" s="462">
        <f>IF(AND(AT119=1,AK119="E",AU119&gt;=0.75,AW119=1),Health,IF(AND(AT119=1,AK119="E",AU119&gt;=0.75),Health*P119,IF(AND(AT119=1,AK119="E",AU119&gt;=0.5,AW119=1),PTHealth,IF(AND(AT119=1,AK119="E",AU119&gt;=0.5),PTHealth*P119,0))))</f>
        <v>11650</v>
      </c>
      <c r="BC119" s="462">
        <f>IF(AND(AT119=3,AK119="E",AV119&gt;=0.75,AW119=1),Health,IF(AND(AT119=3,AK119="E",AV119&gt;=0.75),Health*P119,IF(AND(AT119=3,AK119="E",AV119&gt;=0.5,AW119=1),PTHealth,IF(AND(AT119=3,AK119="E",AV119&gt;=0.5),PTHealth*P119,0))))</f>
        <v>0</v>
      </c>
      <c r="BD119" s="462">
        <f>IF(AND(AT119&lt;&gt;0,AX119&gt;=MAXSSDI),SSDI*MAXSSDI*P119,IF(AT119&lt;&gt;0,SSDI*W119,0))</f>
        <v>2612.7296000000001</v>
      </c>
      <c r="BE119" s="462">
        <f>IF(AT119&lt;&gt;0,SSHI*W119,0)</f>
        <v>611.04160000000002</v>
      </c>
      <c r="BF119" s="462">
        <f>IF(AND(AT119&lt;&gt;0,AN119&lt;&gt;"NE"),VLOOKUP(AN119,Retirement_Rates,3,FALSE)*W119,0)</f>
        <v>5031.6115200000004</v>
      </c>
      <c r="BG119" s="462">
        <f>IF(AND(AT119&lt;&gt;0,AJ119&lt;&gt;"PF"),Life*W119,0)</f>
        <v>303.83516800000001</v>
      </c>
      <c r="BH119" s="462">
        <f>IF(AND(AT119&lt;&gt;0,AM119="Y"),UI*W119,0)</f>
        <v>206.48992000000001</v>
      </c>
      <c r="BI119" s="462">
        <f>IF(AND(AT119&lt;&gt;0,N119&lt;&gt;"NR"),DHR*W119,0)</f>
        <v>128.95084800000001</v>
      </c>
      <c r="BJ119" s="462">
        <f>IF(AT119&lt;&gt;0,WC*W119,0)</f>
        <v>1133.58752</v>
      </c>
      <c r="BK119" s="462">
        <f>IF(OR(AND(AT119&lt;&gt;0,AJ119&lt;&gt;"PF",AN119&lt;&gt;"NE",AG119&lt;&gt;"A"),AND(AL119="E",OR(AT119=1,AT119=3))),Sick*W119,0)</f>
        <v>0</v>
      </c>
      <c r="BL119" s="462">
        <f t="shared" si="22"/>
        <v>10028.246176000001</v>
      </c>
      <c r="BM119" s="462">
        <f t="shared" si="23"/>
        <v>0</v>
      </c>
      <c r="BN119" s="462">
        <f>IF(AND(AT119=1,AK119="E",AU119&gt;=0.75,AW119=1),HealthBY,IF(AND(AT119=1,AK119="E",AU119&gt;=0.75),HealthBY*P119,IF(AND(AT119=1,AK119="E",AU119&gt;=0.5,AW119=1),PTHealthBY,IF(AND(AT119=1,AK119="E",AU119&gt;=0.5),PTHealthBY*P119,0))))</f>
        <v>11650</v>
      </c>
      <c r="BO119" s="462">
        <f>IF(AND(AT119=3,AK119="E",AV119&gt;=0.75,AW119=1),HealthBY,IF(AND(AT119=3,AK119="E",AV119&gt;=0.75),HealthBY*P119,IF(AND(AT119=3,AK119="E",AV119&gt;=0.5,AW119=1),PTHealthBY,IF(AND(AT119=3,AK119="E",AV119&gt;=0.5),PTHealthBY*P119,0))))</f>
        <v>0</v>
      </c>
      <c r="BP119" s="462">
        <f>IF(AND(AT119&lt;&gt;0,(AX119+BA119)&gt;=MAXSSDIBY),SSDIBY*MAXSSDIBY*P119,IF(AT119&lt;&gt;0,SSDIBY*W119,0))</f>
        <v>2612.7296000000001</v>
      </c>
      <c r="BQ119" s="462">
        <f>IF(AT119&lt;&gt;0,SSHIBY*W119,0)</f>
        <v>611.04160000000002</v>
      </c>
      <c r="BR119" s="462">
        <f>IF(AND(AT119&lt;&gt;0,AN119&lt;&gt;"NE"),VLOOKUP(AN119,Retirement_Rates,4,FALSE)*W119,0)</f>
        <v>5031.6115200000004</v>
      </c>
      <c r="BS119" s="462">
        <f>IF(AND(AT119&lt;&gt;0,AJ119&lt;&gt;"PF"),LifeBY*W119,0)</f>
        <v>303.83516800000001</v>
      </c>
      <c r="BT119" s="462">
        <f>IF(AND(AT119&lt;&gt;0,AM119="Y"),UIBY*W119,0)</f>
        <v>0</v>
      </c>
      <c r="BU119" s="462">
        <f>IF(AND(AT119&lt;&gt;0,N119&lt;&gt;"NR"),DHRBY*W119,0)</f>
        <v>128.95084800000001</v>
      </c>
      <c r="BV119" s="462">
        <f>IF(AT119&lt;&gt;0,WCBY*W119,0)</f>
        <v>1462.2857600000002</v>
      </c>
      <c r="BW119" s="462">
        <f>IF(OR(AND(AT119&lt;&gt;0,AJ119&lt;&gt;"PF",AN119&lt;&gt;"NE",AG119&lt;&gt;"A"),AND(AL119="E",OR(AT119=1,AT119=3))),SickBY*W119,0)</f>
        <v>0</v>
      </c>
      <c r="BX119" s="462">
        <f t="shared" si="24"/>
        <v>10150.454496000002</v>
      </c>
      <c r="BY119" s="462">
        <f t="shared" si="25"/>
        <v>0</v>
      </c>
      <c r="BZ119" s="462">
        <f t="shared" si="26"/>
        <v>0</v>
      </c>
      <c r="CA119" s="462">
        <f t="shared" si="27"/>
        <v>0</v>
      </c>
      <c r="CB119" s="462">
        <f t="shared" si="28"/>
        <v>0</v>
      </c>
      <c r="CC119" s="462">
        <f>IF(AT119&lt;&gt;0,SSHICHG*Y119,0)</f>
        <v>0</v>
      </c>
      <c r="CD119" s="462">
        <f>IF(AND(AT119&lt;&gt;0,AN119&lt;&gt;"NE"),VLOOKUP(AN119,Retirement_Rates,5,FALSE)*Y119,0)</f>
        <v>0</v>
      </c>
      <c r="CE119" s="462">
        <f>IF(AND(AT119&lt;&gt;0,AJ119&lt;&gt;"PF"),LifeCHG*Y119,0)</f>
        <v>0</v>
      </c>
      <c r="CF119" s="462">
        <f>IF(AND(AT119&lt;&gt;0,AM119="Y"),UICHG*Y119,0)</f>
        <v>-206.48992000000001</v>
      </c>
      <c r="CG119" s="462">
        <f>IF(AND(AT119&lt;&gt;0,N119&lt;&gt;"NR"),DHRCHG*Y119,0)</f>
        <v>0</v>
      </c>
      <c r="CH119" s="462">
        <f>IF(AT119&lt;&gt;0,WCCHG*Y119,0)</f>
        <v>328.69824000000006</v>
      </c>
      <c r="CI119" s="462">
        <f>IF(OR(AND(AT119&lt;&gt;0,AJ119&lt;&gt;"PF",AN119&lt;&gt;"NE",AG119&lt;&gt;"A"),AND(AL119="E",OR(AT119=1,AT119=3))),SickCHG*Y119,0)</f>
        <v>0</v>
      </c>
      <c r="CJ119" s="462">
        <f t="shared" si="29"/>
        <v>122.20832000000004</v>
      </c>
      <c r="CK119" s="462" t="str">
        <f t="shared" si="30"/>
        <v/>
      </c>
      <c r="CL119" s="462" t="str">
        <f t="shared" si="31"/>
        <v/>
      </c>
      <c r="CM119" s="462" t="str">
        <f t="shared" si="32"/>
        <v/>
      </c>
      <c r="CN119" s="462" t="str">
        <f t="shared" si="33"/>
        <v>0001-00</v>
      </c>
    </row>
    <row r="120" spans="1:92" ht="15" thickBot="1" x14ac:dyDescent="0.35">
      <c r="A120" s="376" t="s">
        <v>161</v>
      </c>
      <c r="B120" s="376" t="s">
        <v>162</v>
      </c>
      <c r="C120" s="376" t="s">
        <v>524</v>
      </c>
      <c r="D120" s="376" t="s">
        <v>438</v>
      </c>
      <c r="E120" s="376" t="s">
        <v>165</v>
      </c>
      <c r="F120" s="377" t="s">
        <v>166</v>
      </c>
      <c r="G120" s="376" t="s">
        <v>432</v>
      </c>
      <c r="H120" s="378"/>
      <c r="I120" s="378"/>
      <c r="J120" s="376" t="s">
        <v>168</v>
      </c>
      <c r="K120" s="376" t="s">
        <v>439</v>
      </c>
      <c r="L120" s="376" t="s">
        <v>231</v>
      </c>
      <c r="M120" s="376" t="s">
        <v>171</v>
      </c>
      <c r="N120" s="376" t="s">
        <v>172</v>
      </c>
      <c r="O120" s="379">
        <v>1</v>
      </c>
      <c r="P120" s="460">
        <v>1</v>
      </c>
      <c r="Q120" s="460">
        <v>1</v>
      </c>
      <c r="R120" s="380">
        <v>80</v>
      </c>
      <c r="S120" s="460">
        <v>1</v>
      </c>
      <c r="T120" s="380">
        <v>42019.62</v>
      </c>
      <c r="U120" s="380">
        <v>232.92</v>
      </c>
      <c r="V120" s="380">
        <v>21318.880000000001</v>
      </c>
      <c r="W120" s="380">
        <v>42411.199999999997</v>
      </c>
      <c r="X120" s="380">
        <v>21742.560000000001</v>
      </c>
      <c r="Y120" s="380">
        <v>42411.199999999997</v>
      </c>
      <c r="Z120" s="380">
        <v>21865.55</v>
      </c>
      <c r="AA120" s="376" t="s">
        <v>525</v>
      </c>
      <c r="AB120" s="376" t="s">
        <v>526</v>
      </c>
      <c r="AC120" s="376" t="s">
        <v>527</v>
      </c>
      <c r="AD120" s="376" t="s">
        <v>359</v>
      </c>
      <c r="AE120" s="376" t="s">
        <v>439</v>
      </c>
      <c r="AF120" s="376" t="s">
        <v>236</v>
      </c>
      <c r="AG120" s="376" t="s">
        <v>178</v>
      </c>
      <c r="AH120" s="381">
        <v>20.39</v>
      </c>
      <c r="AI120" s="381">
        <v>23857.8</v>
      </c>
      <c r="AJ120" s="376" t="s">
        <v>179</v>
      </c>
      <c r="AK120" s="376" t="s">
        <v>180</v>
      </c>
      <c r="AL120" s="376" t="s">
        <v>181</v>
      </c>
      <c r="AM120" s="376" t="s">
        <v>182</v>
      </c>
      <c r="AN120" s="376" t="s">
        <v>68</v>
      </c>
      <c r="AO120" s="379">
        <v>80</v>
      </c>
      <c r="AP120" s="460">
        <v>1</v>
      </c>
      <c r="AQ120" s="460">
        <v>1</v>
      </c>
      <c r="AR120" s="458" t="s">
        <v>183</v>
      </c>
      <c r="AS120" s="462">
        <f t="shared" si="17"/>
        <v>1</v>
      </c>
      <c r="AT120">
        <f t="shared" si="18"/>
        <v>1</v>
      </c>
      <c r="AU120" s="462">
        <f>IF(AT120=0,"",IF(AND(AT120=1,M120="F",SUMIF(C2:C391,C120,AS2:AS391)&lt;=1),SUMIF(C2:C391,C120,AS2:AS391),IF(AND(AT120=1,M120="F",SUMIF(C2:C391,C120,AS2:AS391)&gt;1),1,"")))</f>
        <v>1</v>
      </c>
      <c r="AV120" s="462" t="str">
        <f>IF(AT120=0,"",IF(AND(AT120=3,M120="F",SUMIF(C2:C391,C120,AS2:AS391)&lt;=1),SUMIF(C2:C391,C120,AS2:AS391),IF(AND(AT120=3,M120="F",SUMIF(C2:C391,C120,AS2:AS391)&gt;1),1,"")))</f>
        <v/>
      </c>
      <c r="AW120" s="462">
        <f>SUMIF(C2:C391,C120,O2:O391)</f>
        <v>1</v>
      </c>
      <c r="AX120" s="462">
        <f>IF(AND(M120="F",AS120&lt;&gt;0),SUMIF(C2:C391,C120,W2:W391),0)</f>
        <v>42411.199999999997</v>
      </c>
      <c r="AY120" s="462">
        <f t="shared" si="19"/>
        <v>42411.199999999997</v>
      </c>
      <c r="AZ120" s="462" t="str">
        <f t="shared" si="20"/>
        <v/>
      </c>
      <c r="BA120" s="462">
        <f t="shared" si="21"/>
        <v>0</v>
      </c>
      <c r="BB120" s="462">
        <f>IF(AND(AT120=1,AK120="E",AU120&gt;=0.75,AW120=1),Health,IF(AND(AT120=1,AK120="E",AU120&gt;=0.75),Health*P120,IF(AND(AT120=1,AK120="E",AU120&gt;=0.5,AW120=1),PTHealth,IF(AND(AT120=1,AK120="E",AU120&gt;=0.5),PTHealth*P120,0))))</f>
        <v>11650</v>
      </c>
      <c r="BC120" s="462">
        <f>IF(AND(AT120=3,AK120="E",AV120&gt;=0.75,AW120=1),Health,IF(AND(AT120=3,AK120="E",AV120&gt;=0.75),Health*P120,IF(AND(AT120=3,AK120="E",AV120&gt;=0.5,AW120=1),PTHealth,IF(AND(AT120=3,AK120="E",AV120&gt;=0.5),PTHealth*P120,0))))</f>
        <v>0</v>
      </c>
      <c r="BD120" s="462">
        <f>IF(AND(AT120&lt;&gt;0,AX120&gt;=MAXSSDI),SSDI*MAXSSDI*P120,IF(AT120&lt;&gt;0,SSDI*W120,0))</f>
        <v>2629.4943999999996</v>
      </c>
      <c r="BE120" s="462">
        <f>IF(AT120&lt;&gt;0,SSHI*W120,0)</f>
        <v>614.9624</v>
      </c>
      <c r="BF120" s="462">
        <f>IF(AND(AT120&lt;&gt;0,AN120&lt;&gt;"NE"),VLOOKUP(AN120,Retirement_Rates,3,FALSE)*W120,0)</f>
        <v>5063.8972800000001</v>
      </c>
      <c r="BG120" s="462">
        <f>IF(AND(AT120&lt;&gt;0,AJ120&lt;&gt;"PF"),Life*W120,0)</f>
        <v>305.78475199999997</v>
      </c>
      <c r="BH120" s="462">
        <f>IF(AND(AT120&lt;&gt;0,AM120="Y"),UI*W120,0)</f>
        <v>207.81487999999999</v>
      </c>
      <c r="BI120" s="462">
        <f>IF(AND(AT120&lt;&gt;0,N120&lt;&gt;"NR"),DHR*W120,0)</f>
        <v>129.77827199999999</v>
      </c>
      <c r="BJ120" s="462">
        <f>IF(AT120&lt;&gt;0,WC*W120,0)</f>
        <v>1140.8612799999999</v>
      </c>
      <c r="BK120" s="462">
        <f>IF(OR(AND(AT120&lt;&gt;0,AJ120&lt;&gt;"PF",AN120&lt;&gt;"NE",AG120&lt;&gt;"A"),AND(AL120="E",OR(AT120=1,AT120=3))),Sick*W120,0)</f>
        <v>0</v>
      </c>
      <c r="BL120" s="462">
        <f t="shared" si="22"/>
        <v>10092.593263999997</v>
      </c>
      <c r="BM120" s="462">
        <f t="shared" si="23"/>
        <v>0</v>
      </c>
      <c r="BN120" s="462">
        <f>IF(AND(AT120=1,AK120="E",AU120&gt;=0.75,AW120=1),HealthBY,IF(AND(AT120=1,AK120="E",AU120&gt;=0.75),HealthBY*P120,IF(AND(AT120=1,AK120="E",AU120&gt;=0.5,AW120=1),PTHealthBY,IF(AND(AT120=1,AK120="E",AU120&gt;=0.5),PTHealthBY*P120,0))))</f>
        <v>11650</v>
      </c>
      <c r="BO120" s="462">
        <f>IF(AND(AT120=3,AK120="E",AV120&gt;=0.75,AW120=1),HealthBY,IF(AND(AT120=3,AK120="E",AV120&gt;=0.75),HealthBY*P120,IF(AND(AT120=3,AK120="E",AV120&gt;=0.5,AW120=1),PTHealthBY,IF(AND(AT120=3,AK120="E",AV120&gt;=0.5),PTHealthBY*P120,0))))</f>
        <v>0</v>
      </c>
      <c r="BP120" s="462">
        <f>IF(AND(AT120&lt;&gt;0,(AX120+BA120)&gt;=MAXSSDIBY),SSDIBY*MAXSSDIBY*P120,IF(AT120&lt;&gt;0,SSDIBY*W120,0))</f>
        <v>2629.4943999999996</v>
      </c>
      <c r="BQ120" s="462">
        <f>IF(AT120&lt;&gt;0,SSHIBY*W120,0)</f>
        <v>614.9624</v>
      </c>
      <c r="BR120" s="462">
        <f>IF(AND(AT120&lt;&gt;0,AN120&lt;&gt;"NE"),VLOOKUP(AN120,Retirement_Rates,4,FALSE)*W120,0)</f>
        <v>5063.8972800000001</v>
      </c>
      <c r="BS120" s="462">
        <f>IF(AND(AT120&lt;&gt;0,AJ120&lt;&gt;"PF"),LifeBY*W120,0)</f>
        <v>305.78475199999997</v>
      </c>
      <c r="BT120" s="462">
        <f>IF(AND(AT120&lt;&gt;0,AM120="Y"),UIBY*W120,0)</f>
        <v>0</v>
      </c>
      <c r="BU120" s="462">
        <f>IF(AND(AT120&lt;&gt;0,N120&lt;&gt;"NR"),DHRBY*W120,0)</f>
        <v>129.77827199999999</v>
      </c>
      <c r="BV120" s="462">
        <f>IF(AT120&lt;&gt;0,WCBY*W120,0)</f>
        <v>1471.6686399999999</v>
      </c>
      <c r="BW120" s="462">
        <f>IF(OR(AND(AT120&lt;&gt;0,AJ120&lt;&gt;"PF",AN120&lt;&gt;"NE",AG120&lt;&gt;"A"),AND(AL120="E",OR(AT120=1,AT120=3))),SickBY*W120,0)</f>
        <v>0</v>
      </c>
      <c r="BX120" s="462">
        <f t="shared" si="24"/>
        <v>10215.585743999998</v>
      </c>
      <c r="BY120" s="462">
        <f t="shared" si="25"/>
        <v>0</v>
      </c>
      <c r="BZ120" s="462">
        <f t="shared" si="26"/>
        <v>0</v>
      </c>
      <c r="CA120" s="462">
        <f t="shared" si="27"/>
        <v>0</v>
      </c>
      <c r="CB120" s="462">
        <f t="shared" si="28"/>
        <v>0</v>
      </c>
      <c r="CC120" s="462">
        <f>IF(AT120&lt;&gt;0,SSHICHG*Y120,0)</f>
        <v>0</v>
      </c>
      <c r="CD120" s="462">
        <f>IF(AND(AT120&lt;&gt;0,AN120&lt;&gt;"NE"),VLOOKUP(AN120,Retirement_Rates,5,FALSE)*Y120,0)</f>
        <v>0</v>
      </c>
      <c r="CE120" s="462">
        <f>IF(AND(AT120&lt;&gt;0,AJ120&lt;&gt;"PF"),LifeCHG*Y120,0)</f>
        <v>0</v>
      </c>
      <c r="CF120" s="462">
        <f>IF(AND(AT120&lt;&gt;0,AM120="Y"),UICHG*Y120,0)</f>
        <v>-207.81487999999999</v>
      </c>
      <c r="CG120" s="462">
        <f>IF(AND(AT120&lt;&gt;0,N120&lt;&gt;"NR"),DHRCHG*Y120,0)</f>
        <v>0</v>
      </c>
      <c r="CH120" s="462">
        <f>IF(AT120&lt;&gt;0,WCCHG*Y120,0)</f>
        <v>330.80736000000002</v>
      </c>
      <c r="CI120" s="462">
        <f>IF(OR(AND(AT120&lt;&gt;0,AJ120&lt;&gt;"PF",AN120&lt;&gt;"NE",AG120&lt;&gt;"A"),AND(AL120="E",OR(AT120=1,AT120=3))),SickCHG*Y120,0)</f>
        <v>0</v>
      </c>
      <c r="CJ120" s="462">
        <f t="shared" si="29"/>
        <v>122.99248000000003</v>
      </c>
      <c r="CK120" s="462" t="str">
        <f t="shared" si="30"/>
        <v/>
      </c>
      <c r="CL120" s="462" t="str">
        <f t="shared" si="31"/>
        <v/>
      </c>
      <c r="CM120" s="462" t="str">
        <f t="shared" si="32"/>
        <v/>
      </c>
      <c r="CN120" s="462" t="str">
        <f t="shared" si="33"/>
        <v>0001-00</v>
      </c>
    </row>
    <row r="121" spans="1:92" ht="15" thickBot="1" x14ac:dyDescent="0.35">
      <c r="A121" s="376" t="s">
        <v>161</v>
      </c>
      <c r="B121" s="376" t="s">
        <v>162</v>
      </c>
      <c r="C121" s="376" t="s">
        <v>528</v>
      </c>
      <c r="D121" s="376" t="s">
        <v>221</v>
      </c>
      <c r="E121" s="376" t="s">
        <v>165</v>
      </c>
      <c r="F121" s="377" t="s">
        <v>166</v>
      </c>
      <c r="G121" s="376" t="s">
        <v>432</v>
      </c>
      <c r="H121" s="378"/>
      <c r="I121" s="378"/>
      <c r="J121" s="376" t="s">
        <v>168</v>
      </c>
      <c r="K121" s="376" t="s">
        <v>222</v>
      </c>
      <c r="L121" s="376" t="s">
        <v>166</v>
      </c>
      <c r="M121" s="376" t="s">
        <v>171</v>
      </c>
      <c r="N121" s="376" t="s">
        <v>223</v>
      </c>
      <c r="O121" s="379">
        <v>0</v>
      </c>
      <c r="P121" s="460">
        <v>0</v>
      </c>
      <c r="Q121" s="460">
        <v>0</v>
      </c>
      <c r="R121" s="380">
        <v>0</v>
      </c>
      <c r="S121" s="460">
        <v>0</v>
      </c>
      <c r="T121" s="380">
        <v>14706</v>
      </c>
      <c r="U121" s="380">
        <v>108</v>
      </c>
      <c r="V121" s="380">
        <v>1974.18</v>
      </c>
      <c r="W121" s="380">
        <v>0</v>
      </c>
      <c r="X121" s="380">
        <v>0</v>
      </c>
      <c r="Y121" s="380">
        <v>0</v>
      </c>
      <c r="Z121" s="380">
        <v>0</v>
      </c>
      <c r="AA121" s="378"/>
      <c r="AB121" s="376" t="s">
        <v>45</v>
      </c>
      <c r="AC121" s="376" t="s">
        <v>45</v>
      </c>
      <c r="AD121" s="378"/>
      <c r="AE121" s="378"/>
      <c r="AF121" s="378"/>
      <c r="AG121" s="378"/>
      <c r="AH121" s="379">
        <v>0</v>
      </c>
      <c r="AI121" s="379">
        <v>0</v>
      </c>
      <c r="AJ121" s="378"/>
      <c r="AK121" s="378"/>
      <c r="AL121" s="376" t="s">
        <v>181</v>
      </c>
      <c r="AM121" s="378"/>
      <c r="AN121" s="378"/>
      <c r="AO121" s="379">
        <v>0</v>
      </c>
      <c r="AP121" s="460">
        <v>0</v>
      </c>
      <c r="AQ121" s="460">
        <v>0</v>
      </c>
      <c r="AR121" s="459"/>
      <c r="AS121" s="462">
        <f t="shared" si="17"/>
        <v>0</v>
      </c>
      <c r="AT121">
        <f t="shared" si="18"/>
        <v>0</v>
      </c>
      <c r="AU121" s="462" t="str">
        <f>IF(AT121=0,"",IF(AND(AT121=1,M121="F",SUMIF(C2:C391,C121,AS2:AS391)&lt;=1),SUMIF(C2:C391,C121,AS2:AS391),IF(AND(AT121=1,M121="F",SUMIF(C2:C391,C121,AS2:AS391)&gt;1),1,"")))</f>
        <v/>
      </c>
      <c r="AV121" s="462" t="str">
        <f>IF(AT121=0,"",IF(AND(AT121=3,M121="F",SUMIF(C2:C391,C121,AS2:AS391)&lt;=1),SUMIF(C2:C391,C121,AS2:AS391),IF(AND(AT121=3,M121="F",SUMIF(C2:C391,C121,AS2:AS391)&gt;1),1,"")))</f>
        <v/>
      </c>
      <c r="AW121" s="462">
        <f>SUMIF(C2:C391,C121,O2:O391)</f>
        <v>0</v>
      </c>
      <c r="AX121" s="462">
        <f>IF(AND(M121="F",AS121&lt;&gt;0),SUMIF(C2:C391,C121,W2:W391),0)</f>
        <v>0</v>
      </c>
      <c r="AY121" s="462" t="str">
        <f t="shared" si="19"/>
        <v/>
      </c>
      <c r="AZ121" s="462" t="str">
        <f t="shared" si="20"/>
        <v/>
      </c>
      <c r="BA121" s="462">
        <f t="shared" si="21"/>
        <v>0</v>
      </c>
      <c r="BB121" s="462">
        <f>IF(AND(AT121=1,AK121="E",AU121&gt;=0.75,AW121=1),Health,IF(AND(AT121=1,AK121="E",AU121&gt;=0.75),Health*P121,IF(AND(AT121=1,AK121="E",AU121&gt;=0.5,AW121=1),PTHealth,IF(AND(AT121=1,AK121="E",AU121&gt;=0.5),PTHealth*P121,0))))</f>
        <v>0</v>
      </c>
      <c r="BC121" s="462">
        <f>IF(AND(AT121=3,AK121="E",AV121&gt;=0.75,AW121=1),Health,IF(AND(AT121=3,AK121="E",AV121&gt;=0.75),Health*P121,IF(AND(AT121=3,AK121="E",AV121&gt;=0.5,AW121=1),PTHealth,IF(AND(AT121=3,AK121="E",AV121&gt;=0.5),PTHealth*P121,0))))</f>
        <v>0</v>
      </c>
      <c r="BD121" s="462">
        <f>IF(AND(AT121&lt;&gt;0,AX121&gt;=MAXSSDI),SSDI*MAXSSDI*P121,IF(AT121&lt;&gt;0,SSDI*W121,0))</f>
        <v>0</v>
      </c>
      <c r="BE121" s="462">
        <f>IF(AT121&lt;&gt;0,SSHI*W121,0)</f>
        <v>0</v>
      </c>
      <c r="BF121" s="462">
        <f>IF(AND(AT121&lt;&gt;0,AN121&lt;&gt;"NE"),VLOOKUP(AN121,Retirement_Rates,3,FALSE)*W121,0)</f>
        <v>0</v>
      </c>
      <c r="BG121" s="462">
        <f>IF(AND(AT121&lt;&gt;0,AJ121&lt;&gt;"PF"),Life*W121,0)</f>
        <v>0</v>
      </c>
      <c r="BH121" s="462">
        <f>IF(AND(AT121&lt;&gt;0,AM121="Y"),UI*W121,0)</f>
        <v>0</v>
      </c>
      <c r="BI121" s="462">
        <f>IF(AND(AT121&lt;&gt;0,N121&lt;&gt;"NR"),DHR*W121,0)</f>
        <v>0</v>
      </c>
      <c r="BJ121" s="462">
        <f>IF(AT121&lt;&gt;0,WC*W121,0)</f>
        <v>0</v>
      </c>
      <c r="BK121" s="462">
        <f>IF(OR(AND(AT121&lt;&gt;0,AJ121&lt;&gt;"PF",AN121&lt;&gt;"NE",AG121&lt;&gt;"A"),AND(AL121="E",OR(AT121=1,AT121=3))),Sick*W121,0)</f>
        <v>0</v>
      </c>
      <c r="BL121" s="462">
        <f t="shared" si="22"/>
        <v>0</v>
      </c>
      <c r="BM121" s="462">
        <f t="shared" si="23"/>
        <v>0</v>
      </c>
      <c r="BN121" s="462">
        <f>IF(AND(AT121=1,AK121="E",AU121&gt;=0.75,AW121=1),HealthBY,IF(AND(AT121=1,AK121="E",AU121&gt;=0.75),HealthBY*P121,IF(AND(AT121=1,AK121="E",AU121&gt;=0.5,AW121=1),PTHealthBY,IF(AND(AT121=1,AK121="E",AU121&gt;=0.5),PTHealthBY*P121,0))))</f>
        <v>0</v>
      </c>
      <c r="BO121" s="462">
        <f>IF(AND(AT121=3,AK121="E",AV121&gt;=0.75,AW121=1),HealthBY,IF(AND(AT121=3,AK121="E",AV121&gt;=0.75),HealthBY*P121,IF(AND(AT121=3,AK121="E",AV121&gt;=0.5,AW121=1),PTHealthBY,IF(AND(AT121=3,AK121="E",AV121&gt;=0.5),PTHealthBY*P121,0))))</f>
        <v>0</v>
      </c>
      <c r="BP121" s="462">
        <f>IF(AND(AT121&lt;&gt;0,(AX121+BA121)&gt;=MAXSSDIBY),SSDIBY*MAXSSDIBY*P121,IF(AT121&lt;&gt;0,SSDIBY*W121,0))</f>
        <v>0</v>
      </c>
      <c r="BQ121" s="462">
        <f>IF(AT121&lt;&gt;0,SSHIBY*W121,0)</f>
        <v>0</v>
      </c>
      <c r="BR121" s="462">
        <f>IF(AND(AT121&lt;&gt;0,AN121&lt;&gt;"NE"),VLOOKUP(AN121,Retirement_Rates,4,FALSE)*W121,0)</f>
        <v>0</v>
      </c>
      <c r="BS121" s="462">
        <f>IF(AND(AT121&lt;&gt;0,AJ121&lt;&gt;"PF"),LifeBY*W121,0)</f>
        <v>0</v>
      </c>
      <c r="BT121" s="462">
        <f>IF(AND(AT121&lt;&gt;0,AM121="Y"),UIBY*W121,0)</f>
        <v>0</v>
      </c>
      <c r="BU121" s="462">
        <f>IF(AND(AT121&lt;&gt;0,N121&lt;&gt;"NR"),DHRBY*W121,0)</f>
        <v>0</v>
      </c>
      <c r="BV121" s="462">
        <f>IF(AT121&lt;&gt;0,WCBY*W121,0)</f>
        <v>0</v>
      </c>
      <c r="BW121" s="462">
        <f>IF(OR(AND(AT121&lt;&gt;0,AJ121&lt;&gt;"PF",AN121&lt;&gt;"NE",AG121&lt;&gt;"A"),AND(AL121="E",OR(AT121=1,AT121=3))),SickBY*W121,0)</f>
        <v>0</v>
      </c>
      <c r="BX121" s="462">
        <f t="shared" si="24"/>
        <v>0</v>
      </c>
      <c r="BY121" s="462">
        <f t="shared" si="25"/>
        <v>0</v>
      </c>
      <c r="BZ121" s="462">
        <f t="shared" si="26"/>
        <v>0</v>
      </c>
      <c r="CA121" s="462">
        <f t="shared" si="27"/>
        <v>0</v>
      </c>
      <c r="CB121" s="462">
        <f t="shared" si="28"/>
        <v>0</v>
      </c>
      <c r="CC121" s="462">
        <f>IF(AT121&lt;&gt;0,SSHICHG*Y121,0)</f>
        <v>0</v>
      </c>
      <c r="CD121" s="462">
        <f>IF(AND(AT121&lt;&gt;0,AN121&lt;&gt;"NE"),VLOOKUP(AN121,Retirement_Rates,5,FALSE)*Y121,0)</f>
        <v>0</v>
      </c>
      <c r="CE121" s="462">
        <f>IF(AND(AT121&lt;&gt;0,AJ121&lt;&gt;"PF"),LifeCHG*Y121,0)</f>
        <v>0</v>
      </c>
      <c r="CF121" s="462">
        <f>IF(AND(AT121&lt;&gt;0,AM121="Y"),UICHG*Y121,0)</f>
        <v>0</v>
      </c>
      <c r="CG121" s="462">
        <f>IF(AND(AT121&lt;&gt;0,N121&lt;&gt;"NR"),DHRCHG*Y121,0)</f>
        <v>0</v>
      </c>
      <c r="CH121" s="462">
        <f>IF(AT121&lt;&gt;0,WCCHG*Y121,0)</f>
        <v>0</v>
      </c>
      <c r="CI121" s="462">
        <f>IF(OR(AND(AT121&lt;&gt;0,AJ121&lt;&gt;"PF",AN121&lt;&gt;"NE",AG121&lt;&gt;"A"),AND(AL121="E",OR(AT121=1,AT121=3))),SickCHG*Y121,0)</f>
        <v>0</v>
      </c>
      <c r="CJ121" s="462">
        <f t="shared" si="29"/>
        <v>0</v>
      </c>
      <c r="CK121" s="462" t="str">
        <f t="shared" si="30"/>
        <v/>
      </c>
      <c r="CL121" s="462">
        <f t="shared" si="31"/>
        <v>14814</v>
      </c>
      <c r="CM121" s="462">
        <f t="shared" si="32"/>
        <v>1974.18</v>
      </c>
      <c r="CN121" s="462" t="str">
        <f t="shared" si="33"/>
        <v>0001-00</v>
      </c>
    </row>
    <row r="122" spans="1:92" ht="15" thickBot="1" x14ac:dyDescent="0.35">
      <c r="A122" s="376" t="s">
        <v>161</v>
      </c>
      <c r="B122" s="376" t="s">
        <v>162</v>
      </c>
      <c r="C122" s="376" t="s">
        <v>529</v>
      </c>
      <c r="D122" s="376" t="s">
        <v>431</v>
      </c>
      <c r="E122" s="376" t="s">
        <v>165</v>
      </c>
      <c r="F122" s="377" t="s">
        <v>166</v>
      </c>
      <c r="G122" s="376" t="s">
        <v>432</v>
      </c>
      <c r="H122" s="378"/>
      <c r="I122" s="378"/>
      <c r="J122" s="376" t="s">
        <v>168</v>
      </c>
      <c r="K122" s="376" t="s">
        <v>433</v>
      </c>
      <c r="L122" s="376" t="s">
        <v>195</v>
      </c>
      <c r="M122" s="376" t="s">
        <v>171</v>
      </c>
      <c r="N122" s="376" t="s">
        <v>172</v>
      </c>
      <c r="O122" s="379">
        <v>1</v>
      </c>
      <c r="P122" s="460">
        <v>1</v>
      </c>
      <c r="Q122" s="460">
        <v>1</v>
      </c>
      <c r="R122" s="380">
        <v>80</v>
      </c>
      <c r="S122" s="460">
        <v>1</v>
      </c>
      <c r="T122" s="380">
        <v>49855.16</v>
      </c>
      <c r="U122" s="380">
        <v>0</v>
      </c>
      <c r="V122" s="380">
        <v>22773.51</v>
      </c>
      <c r="W122" s="380">
        <v>51937.599999999999</v>
      </c>
      <c r="X122" s="380">
        <v>24009.56</v>
      </c>
      <c r="Y122" s="380">
        <v>51937.599999999999</v>
      </c>
      <c r="Z122" s="380">
        <v>24160.18</v>
      </c>
      <c r="AA122" s="376" t="s">
        <v>530</v>
      </c>
      <c r="AB122" s="376" t="s">
        <v>531</v>
      </c>
      <c r="AC122" s="376" t="s">
        <v>292</v>
      </c>
      <c r="AD122" s="376" t="s">
        <v>532</v>
      </c>
      <c r="AE122" s="376" t="s">
        <v>433</v>
      </c>
      <c r="AF122" s="376" t="s">
        <v>199</v>
      </c>
      <c r="AG122" s="376" t="s">
        <v>178</v>
      </c>
      <c r="AH122" s="381">
        <v>24.97</v>
      </c>
      <c r="AI122" s="381">
        <v>31288.5</v>
      </c>
      <c r="AJ122" s="376" t="s">
        <v>179</v>
      </c>
      <c r="AK122" s="376" t="s">
        <v>180</v>
      </c>
      <c r="AL122" s="376" t="s">
        <v>181</v>
      </c>
      <c r="AM122" s="376" t="s">
        <v>182</v>
      </c>
      <c r="AN122" s="376" t="s">
        <v>68</v>
      </c>
      <c r="AO122" s="379">
        <v>80</v>
      </c>
      <c r="AP122" s="460">
        <v>1</v>
      </c>
      <c r="AQ122" s="460">
        <v>1</v>
      </c>
      <c r="AR122" s="458" t="s">
        <v>183</v>
      </c>
      <c r="AS122" s="462">
        <f t="shared" si="17"/>
        <v>1</v>
      </c>
      <c r="AT122">
        <f t="shared" si="18"/>
        <v>1</v>
      </c>
      <c r="AU122" s="462">
        <f>IF(AT122=0,"",IF(AND(AT122=1,M122="F",SUMIF(C2:C391,C122,AS2:AS391)&lt;=1),SUMIF(C2:C391,C122,AS2:AS391),IF(AND(AT122=1,M122="F",SUMIF(C2:C391,C122,AS2:AS391)&gt;1),1,"")))</f>
        <v>1</v>
      </c>
      <c r="AV122" s="462" t="str">
        <f>IF(AT122=0,"",IF(AND(AT122=3,M122="F",SUMIF(C2:C391,C122,AS2:AS391)&lt;=1),SUMIF(C2:C391,C122,AS2:AS391),IF(AND(AT122=3,M122="F",SUMIF(C2:C391,C122,AS2:AS391)&gt;1),1,"")))</f>
        <v/>
      </c>
      <c r="AW122" s="462">
        <f>SUMIF(C2:C391,C122,O2:O391)</f>
        <v>1</v>
      </c>
      <c r="AX122" s="462">
        <f>IF(AND(M122="F",AS122&lt;&gt;0),SUMIF(C2:C391,C122,W2:W391),0)</f>
        <v>51937.599999999999</v>
      </c>
      <c r="AY122" s="462">
        <f t="shared" si="19"/>
        <v>51937.599999999999</v>
      </c>
      <c r="AZ122" s="462" t="str">
        <f t="shared" si="20"/>
        <v/>
      </c>
      <c r="BA122" s="462">
        <f t="shared" si="21"/>
        <v>0</v>
      </c>
      <c r="BB122" s="462">
        <f>IF(AND(AT122=1,AK122="E",AU122&gt;=0.75,AW122=1),Health,IF(AND(AT122=1,AK122="E",AU122&gt;=0.75),Health*P122,IF(AND(AT122=1,AK122="E",AU122&gt;=0.5,AW122=1),PTHealth,IF(AND(AT122=1,AK122="E",AU122&gt;=0.5),PTHealth*P122,0))))</f>
        <v>11650</v>
      </c>
      <c r="BC122" s="462">
        <f>IF(AND(AT122=3,AK122="E",AV122&gt;=0.75,AW122=1),Health,IF(AND(AT122=3,AK122="E",AV122&gt;=0.75),Health*P122,IF(AND(AT122=3,AK122="E",AV122&gt;=0.5,AW122=1),PTHealth,IF(AND(AT122=3,AK122="E",AV122&gt;=0.5),PTHealth*P122,0))))</f>
        <v>0</v>
      </c>
      <c r="BD122" s="462">
        <f>IF(AND(AT122&lt;&gt;0,AX122&gt;=MAXSSDI),SSDI*MAXSSDI*P122,IF(AT122&lt;&gt;0,SSDI*W122,0))</f>
        <v>3220.1311999999998</v>
      </c>
      <c r="BE122" s="462">
        <f>IF(AT122&lt;&gt;0,SSHI*W122,0)</f>
        <v>753.09519999999998</v>
      </c>
      <c r="BF122" s="462">
        <f>IF(AND(AT122&lt;&gt;0,AN122&lt;&gt;"NE"),VLOOKUP(AN122,Retirement_Rates,3,FALSE)*W122,0)</f>
        <v>6201.34944</v>
      </c>
      <c r="BG122" s="462">
        <f>IF(AND(AT122&lt;&gt;0,AJ122&lt;&gt;"PF"),Life*W122,0)</f>
        <v>374.47009600000001</v>
      </c>
      <c r="BH122" s="462">
        <f>IF(AND(AT122&lt;&gt;0,AM122="Y"),UI*W122,0)</f>
        <v>254.49423999999999</v>
      </c>
      <c r="BI122" s="462">
        <f>IF(AND(AT122&lt;&gt;0,N122&lt;&gt;"NR"),DHR*W122,0)</f>
        <v>158.92905599999997</v>
      </c>
      <c r="BJ122" s="462">
        <f>IF(AT122&lt;&gt;0,WC*W122,0)</f>
        <v>1397.1214399999999</v>
      </c>
      <c r="BK122" s="462">
        <f>IF(OR(AND(AT122&lt;&gt;0,AJ122&lt;&gt;"PF",AN122&lt;&gt;"NE",AG122&lt;&gt;"A"),AND(AL122="E",OR(AT122=1,AT122=3))),Sick*W122,0)</f>
        <v>0</v>
      </c>
      <c r="BL122" s="462">
        <f t="shared" si="22"/>
        <v>12359.590671999998</v>
      </c>
      <c r="BM122" s="462">
        <f t="shared" si="23"/>
        <v>0</v>
      </c>
      <c r="BN122" s="462">
        <f>IF(AND(AT122=1,AK122="E",AU122&gt;=0.75,AW122=1),HealthBY,IF(AND(AT122=1,AK122="E",AU122&gt;=0.75),HealthBY*P122,IF(AND(AT122=1,AK122="E",AU122&gt;=0.5,AW122=1),PTHealthBY,IF(AND(AT122=1,AK122="E",AU122&gt;=0.5),PTHealthBY*P122,0))))</f>
        <v>11650</v>
      </c>
      <c r="BO122" s="462">
        <f>IF(AND(AT122=3,AK122="E",AV122&gt;=0.75,AW122=1),HealthBY,IF(AND(AT122=3,AK122="E",AV122&gt;=0.75),HealthBY*P122,IF(AND(AT122=3,AK122="E",AV122&gt;=0.5,AW122=1),PTHealthBY,IF(AND(AT122=3,AK122="E",AV122&gt;=0.5),PTHealthBY*P122,0))))</f>
        <v>0</v>
      </c>
      <c r="BP122" s="462">
        <f>IF(AND(AT122&lt;&gt;0,(AX122+BA122)&gt;=MAXSSDIBY),SSDIBY*MAXSSDIBY*P122,IF(AT122&lt;&gt;0,SSDIBY*W122,0))</f>
        <v>3220.1311999999998</v>
      </c>
      <c r="BQ122" s="462">
        <f>IF(AT122&lt;&gt;0,SSHIBY*W122,0)</f>
        <v>753.09519999999998</v>
      </c>
      <c r="BR122" s="462">
        <f>IF(AND(AT122&lt;&gt;0,AN122&lt;&gt;"NE"),VLOOKUP(AN122,Retirement_Rates,4,FALSE)*W122,0)</f>
        <v>6201.34944</v>
      </c>
      <c r="BS122" s="462">
        <f>IF(AND(AT122&lt;&gt;0,AJ122&lt;&gt;"PF"),LifeBY*W122,0)</f>
        <v>374.47009600000001</v>
      </c>
      <c r="BT122" s="462">
        <f>IF(AND(AT122&lt;&gt;0,AM122="Y"),UIBY*W122,0)</f>
        <v>0</v>
      </c>
      <c r="BU122" s="462">
        <f>IF(AND(AT122&lt;&gt;0,N122&lt;&gt;"NR"),DHRBY*W122,0)</f>
        <v>158.92905599999997</v>
      </c>
      <c r="BV122" s="462">
        <f>IF(AT122&lt;&gt;0,WCBY*W122,0)</f>
        <v>1802.2347199999999</v>
      </c>
      <c r="BW122" s="462">
        <f>IF(OR(AND(AT122&lt;&gt;0,AJ122&lt;&gt;"PF",AN122&lt;&gt;"NE",AG122&lt;&gt;"A"),AND(AL122="E",OR(AT122=1,AT122=3))),SickBY*W122,0)</f>
        <v>0</v>
      </c>
      <c r="BX122" s="462">
        <f t="shared" si="24"/>
        <v>12510.209712</v>
      </c>
      <c r="BY122" s="462">
        <f t="shared" si="25"/>
        <v>0</v>
      </c>
      <c r="BZ122" s="462">
        <f t="shared" si="26"/>
        <v>0</v>
      </c>
      <c r="CA122" s="462">
        <f t="shared" si="27"/>
        <v>0</v>
      </c>
      <c r="CB122" s="462">
        <f t="shared" si="28"/>
        <v>0</v>
      </c>
      <c r="CC122" s="462">
        <f>IF(AT122&lt;&gt;0,SSHICHG*Y122,0)</f>
        <v>0</v>
      </c>
      <c r="CD122" s="462">
        <f>IF(AND(AT122&lt;&gt;0,AN122&lt;&gt;"NE"),VLOOKUP(AN122,Retirement_Rates,5,FALSE)*Y122,0)</f>
        <v>0</v>
      </c>
      <c r="CE122" s="462">
        <f>IF(AND(AT122&lt;&gt;0,AJ122&lt;&gt;"PF"),LifeCHG*Y122,0)</f>
        <v>0</v>
      </c>
      <c r="CF122" s="462">
        <f>IF(AND(AT122&lt;&gt;0,AM122="Y"),UICHG*Y122,0)</f>
        <v>-254.49423999999999</v>
      </c>
      <c r="CG122" s="462">
        <f>IF(AND(AT122&lt;&gt;0,N122&lt;&gt;"NR"),DHRCHG*Y122,0)</f>
        <v>0</v>
      </c>
      <c r="CH122" s="462">
        <f>IF(AT122&lt;&gt;0,WCCHG*Y122,0)</f>
        <v>405.11328000000009</v>
      </c>
      <c r="CI122" s="462">
        <f>IF(OR(AND(AT122&lt;&gt;0,AJ122&lt;&gt;"PF",AN122&lt;&gt;"NE",AG122&lt;&gt;"A"),AND(AL122="E",OR(AT122=1,AT122=3))),SickCHG*Y122,0)</f>
        <v>0</v>
      </c>
      <c r="CJ122" s="462">
        <f t="shared" si="29"/>
        <v>150.6190400000001</v>
      </c>
      <c r="CK122" s="462" t="str">
        <f t="shared" si="30"/>
        <v/>
      </c>
      <c r="CL122" s="462" t="str">
        <f t="shared" si="31"/>
        <v/>
      </c>
      <c r="CM122" s="462" t="str">
        <f t="shared" si="32"/>
        <v/>
      </c>
      <c r="CN122" s="462" t="str">
        <f t="shared" si="33"/>
        <v>0001-00</v>
      </c>
    </row>
    <row r="123" spans="1:92" ht="15" thickBot="1" x14ac:dyDescent="0.35">
      <c r="A123" s="376" t="s">
        <v>161</v>
      </c>
      <c r="B123" s="376" t="s">
        <v>162</v>
      </c>
      <c r="C123" s="376" t="s">
        <v>533</v>
      </c>
      <c r="D123" s="376" t="s">
        <v>438</v>
      </c>
      <c r="E123" s="376" t="s">
        <v>165</v>
      </c>
      <c r="F123" s="377" t="s">
        <v>166</v>
      </c>
      <c r="G123" s="376" t="s">
        <v>432</v>
      </c>
      <c r="H123" s="378"/>
      <c r="I123" s="378"/>
      <c r="J123" s="376" t="s">
        <v>193</v>
      </c>
      <c r="K123" s="376" t="s">
        <v>439</v>
      </c>
      <c r="L123" s="376" t="s">
        <v>231</v>
      </c>
      <c r="M123" s="376" t="s">
        <v>171</v>
      </c>
      <c r="N123" s="376" t="s">
        <v>172</v>
      </c>
      <c r="O123" s="379">
        <v>1</v>
      </c>
      <c r="P123" s="460">
        <v>0.5</v>
      </c>
      <c r="Q123" s="460">
        <v>0.5</v>
      </c>
      <c r="R123" s="380">
        <v>80</v>
      </c>
      <c r="S123" s="460">
        <v>0.5</v>
      </c>
      <c r="T123" s="380">
        <v>0</v>
      </c>
      <c r="U123" s="380">
        <v>0</v>
      </c>
      <c r="V123" s="380">
        <v>0</v>
      </c>
      <c r="W123" s="380">
        <v>20904</v>
      </c>
      <c r="X123" s="380">
        <v>10799.5</v>
      </c>
      <c r="Y123" s="380">
        <v>20904</v>
      </c>
      <c r="Z123" s="380">
        <v>10860.13</v>
      </c>
      <c r="AA123" s="376" t="s">
        <v>534</v>
      </c>
      <c r="AB123" s="376" t="s">
        <v>535</v>
      </c>
      <c r="AC123" s="376" t="s">
        <v>536</v>
      </c>
      <c r="AD123" s="376" t="s">
        <v>176</v>
      </c>
      <c r="AE123" s="376" t="s">
        <v>439</v>
      </c>
      <c r="AF123" s="376" t="s">
        <v>236</v>
      </c>
      <c r="AG123" s="376" t="s">
        <v>178</v>
      </c>
      <c r="AH123" s="381">
        <v>20.100000000000001</v>
      </c>
      <c r="AI123" s="379">
        <v>8472</v>
      </c>
      <c r="AJ123" s="376" t="s">
        <v>179</v>
      </c>
      <c r="AK123" s="376" t="s">
        <v>180</v>
      </c>
      <c r="AL123" s="376" t="s">
        <v>181</v>
      </c>
      <c r="AM123" s="376" t="s">
        <v>182</v>
      </c>
      <c r="AN123" s="376" t="s">
        <v>68</v>
      </c>
      <c r="AO123" s="379">
        <v>80</v>
      </c>
      <c r="AP123" s="460">
        <v>1</v>
      </c>
      <c r="AQ123" s="460">
        <v>0.5</v>
      </c>
      <c r="AR123" s="458" t="s">
        <v>183</v>
      </c>
      <c r="AS123" s="462">
        <f t="shared" si="17"/>
        <v>0.5</v>
      </c>
      <c r="AT123">
        <f t="shared" si="18"/>
        <v>1</v>
      </c>
      <c r="AU123" s="462">
        <f>IF(AT123=0,"",IF(AND(AT123=1,M123="F",SUMIF(C2:C391,C123,AS2:AS391)&lt;=1),SUMIF(C2:C391,C123,AS2:AS391),IF(AND(AT123=1,M123="F",SUMIF(C2:C391,C123,AS2:AS391)&gt;1),1,"")))</f>
        <v>1</v>
      </c>
      <c r="AV123" s="462" t="str">
        <f>IF(AT123=0,"",IF(AND(AT123=3,M123="F",SUMIF(C2:C391,C123,AS2:AS391)&lt;=1),SUMIF(C2:C391,C123,AS2:AS391),IF(AND(AT123=3,M123="F",SUMIF(C2:C391,C123,AS2:AS391)&gt;1),1,"")))</f>
        <v/>
      </c>
      <c r="AW123" s="462">
        <f>SUMIF(C2:C391,C123,O2:O391)</f>
        <v>2</v>
      </c>
      <c r="AX123" s="462">
        <f>IF(AND(M123="F",AS123&lt;&gt;0),SUMIF(C2:C391,C123,W2:W391),0)</f>
        <v>41808</v>
      </c>
      <c r="AY123" s="462">
        <f t="shared" si="19"/>
        <v>20904</v>
      </c>
      <c r="AZ123" s="462" t="str">
        <f t="shared" si="20"/>
        <v/>
      </c>
      <c r="BA123" s="462">
        <f t="shared" si="21"/>
        <v>0</v>
      </c>
      <c r="BB123" s="462">
        <f>IF(AND(AT123=1,AK123="E",AU123&gt;=0.75,AW123=1),Health,IF(AND(AT123=1,AK123="E",AU123&gt;=0.75),Health*P123,IF(AND(AT123=1,AK123="E",AU123&gt;=0.5,AW123=1),PTHealth,IF(AND(AT123=1,AK123="E",AU123&gt;=0.5),PTHealth*P123,0))))</f>
        <v>5825</v>
      </c>
      <c r="BC123" s="462">
        <f>IF(AND(AT123=3,AK123="E",AV123&gt;=0.75,AW123=1),Health,IF(AND(AT123=3,AK123="E",AV123&gt;=0.75),Health*P123,IF(AND(AT123=3,AK123="E",AV123&gt;=0.5,AW123=1),PTHealth,IF(AND(AT123=3,AK123="E",AV123&gt;=0.5),PTHealth*P123,0))))</f>
        <v>0</v>
      </c>
      <c r="BD123" s="462">
        <f>IF(AND(AT123&lt;&gt;0,AX123&gt;=MAXSSDI),SSDI*MAXSSDI*P123,IF(AT123&lt;&gt;0,SSDI*W123,0))</f>
        <v>1296.048</v>
      </c>
      <c r="BE123" s="462">
        <f>IF(AT123&lt;&gt;0,SSHI*W123,0)</f>
        <v>303.108</v>
      </c>
      <c r="BF123" s="462">
        <f>IF(AND(AT123&lt;&gt;0,AN123&lt;&gt;"NE"),VLOOKUP(AN123,Retirement_Rates,3,FALSE)*W123,0)</f>
        <v>2495.9376000000002</v>
      </c>
      <c r="BG123" s="462">
        <f>IF(AND(AT123&lt;&gt;0,AJ123&lt;&gt;"PF"),Life*W123,0)</f>
        <v>150.71784</v>
      </c>
      <c r="BH123" s="462">
        <f>IF(AND(AT123&lt;&gt;0,AM123="Y"),UI*W123,0)</f>
        <v>102.42959999999999</v>
      </c>
      <c r="BI123" s="462">
        <f>IF(AND(AT123&lt;&gt;0,N123&lt;&gt;"NR"),DHR*W123,0)</f>
        <v>63.966239999999992</v>
      </c>
      <c r="BJ123" s="462">
        <f>IF(AT123&lt;&gt;0,WC*W123,0)</f>
        <v>562.31759999999997</v>
      </c>
      <c r="BK123" s="462">
        <f>IF(OR(AND(AT123&lt;&gt;0,AJ123&lt;&gt;"PF",AN123&lt;&gt;"NE",AG123&lt;&gt;"A"),AND(AL123="E",OR(AT123=1,AT123=3))),Sick*W123,0)</f>
        <v>0</v>
      </c>
      <c r="BL123" s="462">
        <f t="shared" si="22"/>
        <v>4974.5248800000008</v>
      </c>
      <c r="BM123" s="462">
        <f t="shared" si="23"/>
        <v>0</v>
      </c>
      <c r="BN123" s="462">
        <f>IF(AND(AT123=1,AK123="E",AU123&gt;=0.75,AW123=1),HealthBY,IF(AND(AT123=1,AK123="E",AU123&gt;=0.75),HealthBY*P123,IF(AND(AT123=1,AK123="E",AU123&gt;=0.5,AW123=1),PTHealthBY,IF(AND(AT123=1,AK123="E",AU123&gt;=0.5),PTHealthBY*P123,0))))</f>
        <v>5825</v>
      </c>
      <c r="BO123" s="462">
        <f>IF(AND(AT123=3,AK123="E",AV123&gt;=0.75,AW123=1),HealthBY,IF(AND(AT123=3,AK123="E",AV123&gt;=0.75),HealthBY*P123,IF(AND(AT123=3,AK123="E",AV123&gt;=0.5,AW123=1),PTHealthBY,IF(AND(AT123=3,AK123="E",AV123&gt;=0.5),PTHealthBY*P123,0))))</f>
        <v>0</v>
      </c>
      <c r="BP123" s="462">
        <f>IF(AND(AT123&lt;&gt;0,(AX123+BA123)&gt;=MAXSSDIBY),SSDIBY*MAXSSDIBY*P123,IF(AT123&lt;&gt;0,SSDIBY*W123,0))</f>
        <v>1296.048</v>
      </c>
      <c r="BQ123" s="462">
        <f>IF(AT123&lt;&gt;0,SSHIBY*W123,0)</f>
        <v>303.108</v>
      </c>
      <c r="BR123" s="462">
        <f>IF(AND(AT123&lt;&gt;0,AN123&lt;&gt;"NE"),VLOOKUP(AN123,Retirement_Rates,4,FALSE)*W123,0)</f>
        <v>2495.9376000000002</v>
      </c>
      <c r="BS123" s="462">
        <f>IF(AND(AT123&lt;&gt;0,AJ123&lt;&gt;"PF"),LifeBY*W123,0)</f>
        <v>150.71784</v>
      </c>
      <c r="BT123" s="462">
        <f>IF(AND(AT123&lt;&gt;0,AM123="Y"),UIBY*W123,0)</f>
        <v>0</v>
      </c>
      <c r="BU123" s="462">
        <f>IF(AND(AT123&lt;&gt;0,N123&lt;&gt;"NR"),DHRBY*W123,0)</f>
        <v>63.966239999999992</v>
      </c>
      <c r="BV123" s="462">
        <f>IF(AT123&lt;&gt;0,WCBY*W123,0)</f>
        <v>725.36880000000008</v>
      </c>
      <c r="BW123" s="462">
        <f>IF(OR(AND(AT123&lt;&gt;0,AJ123&lt;&gt;"PF",AN123&lt;&gt;"NE",AG123&lt;&gt;"A"),AND(AL123="E",OR(AT123=1,AT123=3))),SickBY*W123,0)</f>
        <v>0</v>
      </c>
      <c r="BX123" s="462">
        <f t="shared" si="24"/>
        <v>5035.1464800000003</v>
      </c>
      <c r="BY123" s="462">
        <f t="shared" si="25"/>
        <v>0</v>
      </c>
      <c r="BZ123" s="462">
        <f t="shared" si="26"/>
        <v>0</v>
      </c>
      <c r="CA123" s="462">
        <f t="shared" si="27"/>
        <v>0</v>
      </c>
      <c r="CB123" s="462">
        <f t="shared" si="28"/>
        <v>0</v>
      </c>
      <c r="CC123" s="462">
        <f>IF(AT123&lt;&gt;0,SSHICHG*Y123,0)</f>
        <v>0</v>
      </c>
      <c r="CD123" s="462">
        <f>IF(AND(AT123&lt;&gt;0,AN123&lt;&gt;"NE"),VLOOKUP(AN123,Retirement_Rates,5,FALSE)*Y123,0)</f>
        <v>0</v>
      </c>
      <c r="CE123" s="462">
        <f>IF(AND(AT123&lt;&gt;0,AJ123&lt;&gt;"PF"),LifeCHG*Y123,0)</f>
        <v>0</v>
      </c>
      <c r="CF123" s="462">
        <f>IF(AND(AT123&lt;&gt;0,AM123="Y"),UICHG*Y123,0)</f>
        <v>-102.42959999999999</v>
      </c>
      <c r="CG123" s="462">
        <f>IF(AND(AT123&lt;&gt;0,N123&lt;&gt;"NR"),DHRCHG*Y123,0)</f>
        <v>0</v>
      </c>
      <c r="CH123" s="462">
        <f>IF(AT123&lt;&gt;0,WCCHG*Y123,0)</f>
        <v>163.05120000000002</v>
      </c>
      <c r="CI123" s="462">
        <f>IF(OR(AND(AT123&lt;&gt;0,AJ123&lt;&gt;"PF",AN123&lt;&gt;"NE",AG123&lt;&gt;"A"),AND(AL123="E",OR(AT123=1,AT123=3))),SickCHG*Y123,0)</f>
        <v>0</v>
      </c>
      <c r="CJ123" s="462">
        <f t="shared" si="29"/>
        <v>60.621600000000029</v>
      </c>
      <c r="CK123" s="462" t="str">
        <f t="shared" si="30"/>
        <v/>
      </c>
      <c r="CL123" s="462" t="str">
        <f t="shared" si="31"/>
        <v/>
      </c>
      <c r="CM123" s="462" t="str">
        <f t="shared" si="32"/>
        <v/>
      </c>
      <c r="CN123" s="462" t="str">
        <f t="shared" si="33"/>
        <v>0001-00</v>
      </c>
    </row>
    <row r="124" spans="1:92" ht="15" thickBot="1" x14ac:dyDescent="0.35">
      <c r="A124" s="376" t="s">
        <v>161</v>
      </c>
      <c r="B124" s="376" t="s">
        <v>162</v>
      </c>
      <c r="C124" s="376" t="s">
        <v>537</v>
      </c>
      <c r="D124" s="376" t="s">
        <v>438</v>
      </c>
      <c r="E124" s="376" t="s">
        <v>165</v>
      </c>
      <c r="F124" s="377" t="s">
        <v>166</v>
      </c>
      <c r="G124" s="376" t="s">
        <v>432</v>
      </c>
      <c r="H124" s="378"/>
      <c r="I124" s="378"/>
      <c r="J124" s="376" t="s">
        <v>168</v>
      </c>
      <c r="K124" s="376" t="s">
        <v>439</v>
      </c>
      <c r="L124" s="376" t="s">
        <v>231</v>
      </c>
      <c r="M124" s="376" t="s">
        <v>171</v>
      </c>
      <c r="N124" s="376" t="s">
        <v>172</v>
      </c>
      <c r="O124" s="379">
        <v>1</v>
      </c>
      <c r="P124" s="460">
        <v>1</v>
      </c>
      <c r="Q124" s="460">
        <v>1</v>
      </c>
      <c r="R124" s="380">
        <v>80</v>
      </c>
      <c r="S124" s="460">
        <v>1</v>
      </c>
      <c r="T124" s="380">
        <v>41409.620000000003</v>
      </c>
      <c r="U124" s="380">
        <v>0</v>
      </c>
      <c r="V124" s="380">
        <v>21024.45</v>
      </c>
      <c r="W124" s="380">
        <v>41620.800000000003</v>
      </c>
      <c r="X124" s="380">
        <v>21554.46</v>
      </c>
      <c r="Y124" s="380">
        <v>41620.800000000003</v>
      </c>
      <c r="Z124" s="380">
        <v>21675.17</v>
      </c>
      <c r="AA124" s="376" t="s">
        <v>538</v>
      </c>
      <c r="AB124" s="376" t="s">
        <v>539</v>
      </c>
      <c r="AC124" s="376" t="s">
        <v>341</v>
      </c>
      <c r="AD124" s="376" t="s">
        <v>176</v>
      </c>
      <c r="AE124" s="376" t="s">
        <v>439</v>
      </c>
      <c r="AF124" s="376" t="s">
        <v>236</v>
      </c>
      <c r="AG124" s="376" t="s">
        <v>178</v>
      </c>
      <c r="AH124" s="381">
        <v>20.010000000000002</v>
      </c>
      <c r="AI124" s="381">
        <v>6451.7</v>
      </c>
      <c r="AJ124" s="376" t="s">
        <v>179</v>
      </c>
      <c r="AK124" s="376" t="s">
        <v>180</v>
      </c>
      <c r="AL124" s="376" t="s">
        <v>181</v>
      </c>
      <c r="AM124" s="376" t="s">
        <v>182</v>
      </c>
      <c r="AN124" s="376" t="s">
        <v>68</v>
      </c>
      <c r="AO124" s="379">
        <v>80</v>
      </c>
      <c r="AP124" s="460">
        <v>1</v>
      </c>
      <c r="AQ124" s="460">
        <v>1</v>
      </c>
      <c r="AR124" s="458" t="s">
        <v>183</v>
      </c>
      <c r="AS124" s="462">
        <f t="shared" si="17"/>
        <v>1</v>
      </c>
      <c r="AT124">
        <f t="shared" si="18"/>
        <v>1</v>
      </c>
      <c r="AU124" s="462">
        <f>IF(AT124=0,"",IF(AND(AT124=1,M124="F",SUMIF(C2:C391,C124,AS2:AS391)&lt;=1),SUMIF(C2:C391,C124,AS2:AS391),IF(AND(AT124=1,M124="F",SUMIF(C2:C391,C124,AS2:AS391)&gt;1),1,"")))</f>
        <v>1</v>
      </c>
      <c r="AV124" s="462" t="str">
        <f>IF(AT124=0,"",IF(AND(AT124=3,M124="F",SUMIF(C2:C391,C124,AS2:AS391)&lt;=1),SUMIF(C2:C391,C124,AS2:AS391),IF(AND(AT124=3,M124="F",SUMIF(C2:C391,C124,AS2:AS391)&gt;1),1,"")))</f>
        <v/>
      </c>
      <c r="AW124" s="462">
        <f>SUMIF(C2:C391,C124,O2:O391)</f>
        <v>1</v>
      </c>
      <c r="AX124" s="462">
        <f>IF(AND(M124="F",AS124&lt;&gt;0),SUMIF(C2:C391,C124,W2:W391),0)</f>
        <v>41620.800000000003</v>
      </c>
      <c r="AY124" s="462">
        <f t="shared" si="19"/>
        <v>41620.800000000003</v>
      </c>
      <c r="AZ124" s="462" t="str">
        <f t="shared" si="20"/>
        <v/>
      </c>
      <c r="BA124" s="462">
        <f t="shared" si="21"/>
        <v>0</v>
      </c>
      <c r="BB124" s="462">
        <f>IF(AND(AT124=1,AK124="E",AU124&gt;=0.75,AW124=1),Health,IF(AND(AT124=1,AK124="E",AU124&gt;=0.75),Health*P124,IF(AND(AT124=1,AK124="E",AU124&gt;=0.5,AW124=1),PTHealth,IF(AND(AT124=1,AK124="E",AU124&gt;=0.5),PTHealth*P124,0))))</f>
        <v>11650</v>
      </c>
      <c r="BC124" s="462">
        <f>IF(AND(AT124=3,AK124="E",AV124&gt;=0.75,AW124=1),Health,IF(AND(AT124=3,AK124="E",AV124&gt;=0.75),Health*P124,IF(AND(AT124=3,AK124="E",AV124&gt;=0.5,AW124=1),PTHealth,IF(AND(AT124=3,AK124="E",AV124&gt;=0.5),PTHealth*P124,0))))</f>
        <v>0</v>
      </c>
      <c r="BD124" s="462">
        <f>IF(AND(AT124&lt;&gt;0,AX124&gt;=MAXSSDI),SSDI*MAXSSDI*P124,IF(AT124&lt;&gt;0,SSDI*W124,0))</f>
        <v>2580.4896000000003</v>
      </c>
      <c r="BE124" s="462">
        <f>IF(AT124&lt;&gt;0,SSHI*W124,0)</f>
        <v>603.50160000000005</v>
      </c>
      <c r="BF124" s="462">
        <f>IF(AND(AT124&lt;&gt;0,AN124&lt;&gt;"NE"),VLOOKUP(AN124,Retirement_Rates,3,FALSE)*W124,0)</f>
        <v>4969.5235200000006</v>
      </c>
      <c r="BG124" s="462">
        <f>IF(AND(AT124&lt;&gt;0,AJ124&lt;&gt;"PF"),Life*W124,0)</f>
        <v>300.08596800000004</v>
      </c>
      <c r="BH124" s="462">
        <f>IF(AND(AT124&lt;&gt;0,AM124="Y"),UI*W124,0)</f>
        <v>203.94192000000001</v>
      </c>
      <c r="BI124" s="462">
        <f>IF(AND(AT124&lt;&gt;0,N124&lt;&gt;"NR"),DHR*W124,0)</f>
        <v>127.35964800000001</v>
      </c>
      <c r="BJ124" s="462">
        <f>IF(AT124&lt;&gt;0,WC*W124,0)</f>
        <v>1119.59952</v>
      </c>
      <c r="BK124" s="462">
        <f>IF(OR(AND(AT124&lt;&gt;0,AJ124&lt;&gt;"PF",AN124&lt;&gt;"NE",AG124&lt;&gt;"A"),AND(AL124="E",OR(AT124=1,AT124=3))),Sick*W124,0)</f>
        <v>0</v>
      </c>
      <c r="BL124" s="462">
        <f t="shared" si="22"/>
        <v>9904.5017759999992</v>
      </c>
      <c r="BM124" s="462">
        <f t="shared" si="23"/>
        <v>0</v>
      </c>
      <c r="BN124" s="462">
        <f>IF(AND(AT124=1,AK124="E",AU124&gt;=0.75,AW124=1),HealthBY,IF(AND(AT124=1,AK124="E",AU124&gt;=0.75),HealthBY*P124,IF(AND(AT124=1,AK124="E",AU124&gt;=0.5,AW124=1),PTHealthBY,IF(AND(AT124=1,AK124="E",AU124&gt;=0.5),PTHealthBY*P124,0))))</f>
        <v>11650</v>
      </c>
      <c r="BO124" s="462">
        <f>IF(AND(AT124=3,AK124="E",AV124&gt;=0.75,AW124=1),HealthBY,IF(AND(AT124=3,AK124="E",AV124&gt;=0.75),HealthBY*P124,IF(AND(AT124=3,AK124="E",AV124&gt;=0.5,AW124=1),PTHealthBY,IF(AND(AT124=3,AK124="E",AV124&gt;=0.5),PTHealthBY*P124,0))))</f>
        <v>0</v>
      </c>
      <c r="BP124" s="462">
        <f>IF(AND(AT124&lt;&gt;0,(AX124+BA124)&gt;=MAXSSDIBY),SSDIBY*MAXSSDIBY*P124,IF(AT124&lt;&gt;0,SSDIBY*W124,0))</f>
        <v>2580.4896000000003</v>
      </c>
      <c r="BQ124" s="462">
        <f>IF(AT124&lt;&gt;0,SSHIBY*W124,0)</f>
        <v>603.50160000000005</v>
      </c>
      <c r="BR124" s="462">
        <f>IF(AND(AT124&lt;&gt;0,AN124&lt;&gt;"NE"),VLOOKUP(AN124,Retirement_Rates,4,FALSE)*W124,0)</f>
        <v>4969.5235200000006</v>
      </c>
      <c r="BS124" s="462">
        <f>IF(AND(AT124&lt;&gt;0,AJ124&lt;&gt;"PF"),LifeBY*W124,0)</f>
        <v>300.08596800000004</v>
      </c>
      <c r="BT124" s="462">
        <f>IF(AND(AT124&lt;&gt;0,AM124="Y"),UIBY*W124,0)</f>
        <v>0</v>
      </c>
      <c r="BU124" s="462">
        <f>IF(AND(AT124&lt;&gt;0,N124&lt;&gt;"NR"),DHRBY*W124,0)</f>
        <v>127.35964800000001</v>
      </c>
      <c r="BV124" s="462">
        <f>IF(AT124&lt;&gt;0,WCBY*W124,0)</f>
        <v>1444.2417600000001</v>
      </c>
      <c r="BW124" s="462">
        <f>IF(OR(AND(AT124&lt;&gt;0,AJ124&lt;&gt;"PF",AN124&lt;&gt;"NE",AG124&lt;&gt;"A"),AND(AL124="E",OR(AT124=1,AT124=3))),SickBY*W124,0)</f>
        <v>0</v>
      </c>
      <c r="BX124" s="462">
        <f t="shared" si="24"/>
        <v>10025.202096000001</v>
      </c>
      <c r="BY124" s="462">
        <f t="shared" si="25"/>
        <v>0</v>
      </c>
      <c r="BZ124" s="462">
        <f t="shared" si="26"/>
        <v>0</v>
      </c>
      <c r="CA124" s="462">
        <f t="shared" si="27"/>
        <v>0</v>
      </c>
      <c r="CB124" s="462">
        <f t="shared" si="28"/>
        <v>0</v>
      </c>
      <c r="CC124" s="462">
        <f>IF(AT124&lt;&gt;0,SSHICHG*Y124,0)</f>
        <v>0</v>
      </c>
      <c r="CD124" s="462">
        <f>IF(AND(AT124&lt;&gt;0,AN124&lt;&gt;"NE"),VLOOKUP(AN124,Retirement_Rates,5,FALSE)*Y124,0)</f>
        <v>0</v>
      </c>
      <c r="CE124" s="462">
        <f>IF(AND(AT124&lt;&gt;0,AJ124&lt;&gt;"PF"),LifeCHG*Y124,0)</f>
        <v>0</v>
      </c>
      <c r="CF124" s="462">
        <f>IF(AND(AT124&lt;&gt;0,AM124="Y"),UICHG*Y124,0)</f>
        <v>-203.94192000000001</v>
      </c>
      <c r="CG124" s="462">
        <f>IF(AND(AT124&lt;&gt;0,N124&lt;&gt;"NR"),DHRCHG*Y124,0)</f>
        <v>0</v>
      </c>
      <c r="CH124" s="462">
        <f>IF(AT124&lt;&gt;0,WCCHG*Y124,0)</f>
        <v>324.64224000000007</v>
      </c>
      <c r="CI124" s="462">
        <f>IF(OR(AND(AT124&lt;&gt;0,AJ124&lt;&gt;"PF",AN124&lt;&gt;"NE",AG124&lt;&gt;"A"),AND(AL124="E",OR(AT124=1,AT124=3))),SickCHG*Y124,0)</f>
        <v>0</v>
      </c>
      <c r="CJ124" s="462">
        <f t="shared" si="29"/>
        <v>120.70032000000006</v>
      </c>
      <c r="CK124" s="462" t="str">
        <f t="shared" si="30"/>
        <v/>
      </c>
      <c r="CL124" s="462" t="str">
        <f t="shared" si="31"/>
        <v/>
      </c>
      <c r="CM124" s="462" t="str">
        <f t="shared" si="32"/>
        <v/>
      </c>
      <c r="CN124" s="462" t="str">
        <f t="shared" si="33"/>
        <v>0001-00</v>
      </c>
    </row>
    <row r="125" spans="1:92" ht="15" thickBot="1" x14ac:dyDescent="0.35">
      <c r="A125" s="376" t="s">
        <v>161</v>
      </c>
      <c r="B125" s="376" t="s">
        <v>162</v>
      </c>
      <c r="C125" s="376" t="s">
        <v>540</v>
      </c>
      <c r="D125" s="376" t="s">
        <v>431</v>
      </c>
      <c r="E125" s="376" t="s">
        <v>165</v>
      </c>
      <c r="F125" s="377" t="s">
        <v>166</v>
      </c>
      <c r="G125" s="376" t="s">
        <v>432</v>
      </c>
      <c r="H125" s="378"/>
      <c r="I125" s="378"/>
      <c r="J125" s="376" t="s">
        <v>168</v>
      </c>
      <c r="K125" s="376" t="s">
        <v>433</v>
      </c>
      <c r="L125" s="376" t="s">
        <v>195</v>
      </c>
      <c r="M125" s="376" t="s">
        <v>225</v>
      </c>
      <c r="N125" s="376" t="s">
        <v>172</v>
      </c>
      <c r="O125" s="379">
        <v>0</v>
      </c>
      <c r="P125" s="460">
        <v>1</v>
      </c>
      <c r="Q125" s="460">
        <v>1</v>
      </c>
      <c r="R125" s="380">
        <v>80</v>
      </c>
      <c r="S125" s="460">
        <v>1</v>
      </c>
      <c r="T125" s="380">
        <v>50667.35</v>
      </c>
      <c r="U125" s="380">
        <v>0</v>
      </c>
      <c r="V125" s="380">
        <v>22508.240000000002</v>
      </c>
      <c r="W125" s="380">
        <v>53476.800000000003</v>
      </c>
      <c r="X125" s="380">
        <v>23422.83</v>
      </c>
      <c r="Y125" s="380">
        <v>53476.800000000003</v>
      </c>
      <c r="Z125" s="380">
        <v>23155.45</v>
      </c>
      <c r="AA125" s="378"/>
      <c r="AB125" s="376" t="s">
        <v>45</v>
      </c>
      <c r="AC125" s="376" t="s">
        <v>45</v>
      </c>
      <c r="AD125" s="378"/>
      <c r="AE125" s="378"/>
      <c r="AF125" s="378"/>
      <c r="AG125" s="378"/>
      <c r="AH125" s="379">
        <v>0</v>
      </c>
      <c r="AI125" s="379">
        <v>0</v>
      </c>
      <c r="AJ125" s="378"/>
      <c r="AK125" s="378"/>
      <c r="AL125" s="376" t="s">
        <v>181</v>
      </c>
      <c r="AM125" s="378"/>
      <c r="AN125" s="378"/>
      <c r="AO125" s="379">
        <v>0</v>
      </c>
      <c r="AP125" s="460">
        <v>0</v>
      </c>
      <c r="AQ125" s="460">
        <v>0</v>
      </c>
      <c r="AR125" s="459"/>
      <c r="AS125" s="462">
        <f t="shared" si="17"/>
        <v>0</v>
      </c>
      <c r="AT125">
        <f t="shared" si="18"/>
        <v>0</v>
      </c>
      <c r="AU125" s="462" t="str">
        <f>IF(AT125=0,"",IF(AND(AT125=1,M125="F",SUMIF(C2:C391,C125,AS2:AS391)&lt;=1),SUMIF(C2:C391,C125,AS2:AS391),IF(AND(AT125=1,M125="F",SUMIF(C2:C391,C125,AS2:AS391)&gt;1),1,"")))</f>
        <v/>
      </c>
      <c r="AV125" s="462" t="str">
        <f>IF(AT125=0,"",IF(AND(AT125=3,M125="F",SUMIF(C2:C391,C125,AS2:AS391)&lt;=1),SUMIF(C2:C391,C125,AS2:AS391),IF(AND(AT125=3,M125="F",SUMIF(C2:C391,C125,AS2:AS391)&gt;1),1,"")))</f>
        <v/>
      </c>
      <c r="AW125" s="462">
        <f>SUMIF(C2:C391,C125,O2:O391)</f>
        <v>0</v>
      </c>
      <c r="AX125" s="462">
        <f>IF(AND(M125="F",AS125&lt;&gt;0),SUMIF(C2:C391,C125,W2:W391),0)</f>
        <v>0</v>
      </c>
      <c r="AY125" s="462" t="str">
        <f t="shared" si="19"/>
        <v/>
      </c>
      <c r="AZ125" s="462" t="str">
        <f t="shared" si="20"/>
        <v/>
      </c>
      <c r="BA125" s="462">
        <f t="shared" si="21"/>
        <v>0</v>
      </c>
      <c r="BB125" s="462">
        <f>IF(AND(AT125=1,AK125="E",AU125&gt;=0.75,AW125=1),Health,IF(AND(AT125=1,AK125="E",AU125&gt;=0.75),Health*P125,IF(AND(AT125=1,AK125="E",AU125&gt;=0.5,AW125=1),PTHealth,IF(AND(AT125=1,AK125="E",AU125&gt;=0.5),PTHealth*P125,0))))</f>
        <v>0</v>
      </c>
      <c r="BC125" s="462">
        <f>IF(AND(AT125=3,AK125="E",AV125&gt;=0.75,AW125=1),Health,IF(AND(AT125=3,AK125="E",AV125&gt;=0.75),Health*P125,IF(AND(AT125=3,AK125="E",AV125&gt;=0.5,AW125=1),PTHealth,IF(AND(AT125=3,AK125="E",AV125&gt;=0.5),PTHealth*P125,0))))</f>
        <v>0</v>
      </c>
      <c r="BD125" s="462">
        <f>IF(AND(AT125&lt;&gt;0,AX125&gt;=MAXSSDI),SSDI*MAXSSDI*P125,IF(AT125&lt;&gt;0,SSDI*W125,0))</f>
        <v>0</v>
      </c>
      <c r="BE125" s="462">
        <f>IF(AT125&lt;&gt;0,SSHI*W125,0)</f>
        <v>0</v>
      </c>
      <c r="BF125" s="462">
        <f>IF(AND(AT125&lt;&gt;0,AN125&lt;&gt;"NE"),VLOOKUP(AN125,Retirement_Rates,3,FALSE)*W125,0)</f>
        <v>0</v>
      </c>
      <c r="BG125" s="462">
        <f>IF(AND(AT125&lt;&gt;0,AJ125&lt;&gt;"PF"),Life*W125,0)</f>
        <v>0</v>
      </c>
      <c r="BH125" s="462">
        <f>IF(AND(AT125&lt;&gt;0,AM125="Y"),UI*W125,0)</f>
        <v>0</v>
      </c>
      <c r="BI125" s="462">
        <f>IF(AND(AT125&lt;&gt;0,N125&lt;&gt;"NR"),DHR*W125,0)</f>
        <v>0</v>
      </c>
      <c r="BJ125" s="462">
        <f>IF(AT125&lt;&gt;0,WC*W125,0)</f>
        <v>0</v>
      </c>
      <c r="BK125" s="462">
        <f>IF(OR(AND(AT125&lt;&gt;0,AJ125&lt;&gt;"PF",AN125&lt;&gt;"NE",AG125&lt;&gt;"A"),AND(AL125="E",OR(AT125=1,AT125=3))),Sick*W125,0)</f>
        <v>0</v>
      </c>
      <c r="BL125" s="462">
        <f t="shared" si="22"/>
        <v>0</v>
      </c>
      <c r="BM125" s="462">
        <f t="shared" si="23"/>
        <v>0</v>
      </c>
      <c r="BN125" s="462">
        <f>IF(AND(AT125=1,AK125="E",AU125&gt;=0.75,AW125=1),HealthBY,IF(AND(AT125=1,AK125="E",AU125&gt;=0.75),HealthBY*P125,IF(AND(AT125=1,AK125="E",AU125&gt;=0.5,AW125=1),PTHealthBY,IF(AND(AT125=1,AK125="E",AU125&gt;=0.5),PTHealthBY*P125,0))))</f>
        <v>0</v>
      </c>
      <c r="BO125" s="462">
        <f>IF(AND(AT125=3,AK125="E",AV125&gt;=0.75,AW125=1),HealthBY,IF(AND(AT125=3,AK125="E",AV125&gt;=0.75),HealthBY*P125,IF(AND(AT125=3,AK125="E",AV125&gt;=0.5,AW125=1),PTHealthBY,IF(AND(AT125=3,AK125="E",AV125&gt;=0.5),PTHealthBY*P125,0))))</f>
        <v>0</v>
      </c>
      <c r="BP125" s="462">
        <f>IF(AND(AT125&lt;&gt;0,(AX125+BA125)&gt;=MAXSSDIBY),SSDIBY*MAXSSDIBY*P125,IF(AT125&lt;&gt;0,SSDIBY*W125,0))</f>
        <v>0</v>
      </c>
      <c r="BQ125" s="462">
        <f>IF(AT125&lt;&gt;0,SSHIBY*W125,0)</f>
        <v>0</v>
      </c>
      <c r="BR125" s="462">
        <f>IF(AND(AT125&lt;&gt;0,AN125&lt;&gt;"NE"),VLOOKUP(AN125,Retirement_Rates,4,FALSE)*W125,0)</f>
        <v>0</v>
      </c>
      <c r="BS125" s="462">
        <f>IF(AND(AT125&lt;&gt;0,AJ125&lt;&gt;"PF"),LifeBY*W125,0)</f>
        <v>0</v>
      </c>
      <c r="BT125" s="462">
        <f>IF(AND(AT125&lt;&gt;0,AM125="Y"),UIBY*W125,0)</f>
        <v>0</v>
      </c>
      <c r="BU125" s="462">
        <f>IF(AND(AT125&lt;&gt;0,N125&lt;&gt;"NR"),DHRBY*W125,0)</f>
        <v>0</v>
      </c>
      <c r="BV125" s="462">
        <f>IF(AT125&lt;&gt;0,WCBY*W125,0)</f>
        <v>0</v>
      </c>
      <c r="BW125" s="462">
        <f>IF(OR(AND(AT125&lt;&gt;0,AJ125&lt;&gt;"PF",AN125&lt;&gt;"NE",AG125&lt;&gt;"A"),AND(AL125="E",OR(AT125=1,AT125=3))),SickBY*W125,0)</f>
        <v>0</v>
      </c>
      <c r="BX125" s="462">
        <f t="shared" si="24"/>
        <v>0</v>
      </c>
      <c r="BY125" s="462">
        <f t="shared" si="25"/>
        <v>0</v>
      </c>
      <c r="BZ125" s="462">
        <f t="shared" si="26"/>
        <v>0</v>
      </c>
      <c r="CA125" s="462">
        <f t="shared" si="27"/>
        <v>0</v>
      </c>
      <c r="CB125" s="462">
        <f t="shared" si="28"/>
        <v>0</v>
      </c>
      <c r="CC125" s="462">
        <f>IF(AT125&lt;&gt;0,SSHICHG*Y125,0)</f>
        <v>0</v>
      </c>
      <c r="CD125" s="462">
        <f>IF(AND(AT125&lt;&gt;0,AN125&lt;&gt;"NE"),VLOOKUP(AN125,Retirement_Rates,5,FALSE)*Y125,0)</f>
        <v>0</v>
      </c>
      <c r="CE125" s="462">
        <f>IF(AND(AT125&lt;&gt;0,AJ125&lt;&gt;"PF"),LifeCHG*Y125,0)</f>
        <v>0</v>
      </c>
      <c r="CF125" s="462">
        <f>IF(AND(AT125&lt;&gt;0,AM125="Y"),UICHG*Y125,0)</f>
        <v>0</v>
      </c>
      <c r="CG125" s="462">
        <f>IF(AND(AT125&lt;&gt;0,N125&lt;&gt;"NR"),DHRCHG*Y125,0)</f>
        <v>0</v>
      </c>
      <c r="CH125" s="462">
        <f>IF(AT125&lt;&gt;0,WCCHG*Y125,0)</f>
        <v>0</v>
      </c>
      <c r="CI125" s="462">
        <f>IF(OR(AND(AT125&lt;&gt;0,AJ125&lt;&gt;"PF",AN125&lt;&gt;"NE",AG125&lt;&gt;"A"),AND(AL125="E",OR(AT125=1,AT125=3))),SickCHG*Y125,0)</f>
        <v>0</v>
      </c>
      <c r="CJ125" s="462">
        <f t="shared" si="29"/>
        <v>0</v>
      </c>
      <c r="CK125" s="462" t="str">
        <f t="shared" si="30"/>
        <v/>
      </c>
      <c r="CL125" s="462" t="str">
        <f t="shared" si="31"/>
        <v/>
      </c>
      <c r="CM125" s="462" t="str">
        <f t="shared" si="32"/>
        <v/>
      </c>
      <c r="CN125" s="462" t="str">
        <f t="shared" si="33"/>
        <v>0001-00</v>
      </c>
    </row>
    <row r="126" spans="1:92" ht="15" thickBot="1" x14ac:dyDescent="0.35">
      <c r="A126" s="376" t="s">
        <v>161</v>
      </c>
      <c r="B126" s="376" t="s">
        <v>162</v>
      </c>
      <c r="C126" s="376" t="s">
        <v>541</v>
      </c>
      <c r="D126" s="376" t="s">
        <v>431</v>
      </c>
      <c r="E126" s="376" t="s">
        <v>165</v>
      </c>
      <c r="F126" s="377" t="s">
        <v>166</v>
      </c>
      <c r="G126" s="376" t="s">
        <v>432</v>
      </c>
      <c r="H126" s="378"/>
      <c r="I126" s="378"/>
      <c r="J126" s="376" t="s">
        <v>193</v>
      </c>
      <c r="K126" s="376" t="s">
        <v>433</v>
      </c>
      <c r="L126" s="376" t="s">
        <v>195</v>
      </c>
      <c r="M126" s="376" t="s">
        <v>171</v>
      </c>
      <c r="N126" s="376" t="s">
        <v>172</v>
      </c>
      <c r="O126" s="379">
        <v>1</v>
      </c>
      <c r="P126" s="460">
        <v>0.5</v>
      </c>
      <c r="Q126" s="460">
        <v>0.5</v>
      </c>
      <c r="R126" s="380">
        <v>80</v>
      </c>
      <c r="S126" s="460">
        <v>0.5</v>
      </c>
      <c r="T126" s="380">
        <v>27260.47</v>
      </c>
      <c r="U126" s="380">
        <v>0</v>
      </c>
      <c r="V126" s="380">
        <v>11951.39</v>
      </c>
      <c r="W126" s="380">
        <v>27518.400000000001</v>
      </c>
      <c r="X126" s="380">
        <v>12373.54</v>
      </c>
      <c r="Y126" s="380">
        <v>27518.400000000001</v>
      </c>
      <c r="Z126" s="380">
        <v>12453.34</v>
      </c>
      <c r="AA126" s="376" t="s">
        <v>542</v>
      </c>
      <c r="AB126" s="376" t="s">
        <v>543</v>
      </c>
      <c r="AC126" s="376" t="s">
        <v>544</v>
      </c>
      <c r="AD126" s="376" t="s">
        <v>176</v>
      </c>
      <c r="AE126" s="376" t="s">
        <v>433</v>
      </c>
      <c r="AF126" s="376" t="s">
        <v>199</v>
      </c>
      <c r="AG126" s="376" t="s">
        <v>178</v>
      </c>
      <c r="AH126" s="381">
        <v>26.46</v>
      </c>
      <c r="AI126" s="381">
        <v>62317.8</v>
      </c>
      <c r="AJ126" s="376" t="s">
        <v>179</v>
      </c>
      <c r="AK126" s="376" t="s">
        <v>180</v>
      </c>
      <c r="AL126" s="376" t="s">
        <v>181</v>
      </c>
      <c r="AM126" s="376" t="s">
        <v>182</v>
      </c>
      <c r="AN126" s="376" t="s">
        <v>68</v>
      </c>
      <c r="AO126" s="379">
        <v>80</v>
      </c>
      <c r="AP126" s="460">
        <v>1</v>
      </c>
      <c r="AQ126" s="460">
        <v>0.5</v>
      </c>
      <c r="AR126" s="458" t="s">
        <v>183</v>
      </c>
      <c r="AS126" s="462">
        <f t="shared" si="17"/>
        <v>0.5</v>
      </c>
      <c r="AT126">
        <f t="shared" si="18"/>
        <v>1</v>
      </c>
      <c r="AU126" s="462">
        <f>IF(AT126=0,"",IF(AND(AT126=1,M126="F",SUMIF(C2:C391,C126,AS2:AS391)&lt;=1),SUMIF(C2:C391,C126,AS2:AS391),IF(AND(AT126=1,M126="F",SUMIF(C2:C391,C126,AS2:AS391)&gt;1),1,"")))</f>
        <v>1</v>
      </c>
      <c r="AV126" s="462" t="str">
        <f>IF(AT126=0,"",IF(AND(AT126=3,M126="F",SUMIF(C2:C391,C126,AS2:AS391)&lt;=1),SUMIF(C2:C391,C126,AS2:AS391),IF(AND(AT126=3,M126="F",SUMIF(C2:C391,C126,AS2:AS391)&gt;1),1,"")))</f>
        <v/>
      </c>
      <c r="AW126" s="462">
        <f>SUMIF(C2:C391,C126,O2:O391)</f>
        <v>2</v>
      </c>
      <c r="AX126" s="462">
        <f>IF(AND(M126="F",AS126&lt;&gt;0),SUMIF(C2:C391,C126,W2:W391),0)</f>
        <v>55036.800000000003</v>
      </c>
      <c r="AY126" s="462">
        <f t="shared" si="19"/>
        <v>27518.400000000001</v>
      </c>
      <c r="AZ126" s="462" t="str">
        <f t="shared" si="20"/>
        <v/>
      </c>
      <c r="BA126" s="462">
        <f t="shared" si="21"/>
        <v>0</v>
      </c>
      <c r="BB126" s="462">
        <f>IF(AND(AT126=1,AK126="E",AU126&gt;=0.75,AW126=1),Health,IF(AND(AT126=1,AK126="E",AU126&gt;=0.75),Health*P126,IF(AND(AT126=1,AK126="E",AU126&gt;=0.5,AW126=1),PTHealth,IF(AND(AT126=1,AK126="E",AU126&gt;=0.5),PTHealth*P126,0))))</f>
        <v>5825</v>
      </c>
      <c r="BC126" s="462">
        <f>IF(AND(AT126=3,AK126="E",AV126&gt;=0.75,AW126=1),Health,IF(AND(AT126=3,AK126="E",AV126&gt;=0.75),Health*P126,IF(AND(AT126=3,AK126="E",AV126&gt;=0.5,AW126=1),PTHealth,IF(AND(AT126=3,AK126="E",AV126&gt;=0.5),PTHealth*P126,0))))</f>
        <v>0</v>
      </c>
      <c r="BD126" s="462">
        <f>IF(AND(AT126&lt;&gt;0,AX126&gt;=MAXSSDI),SSDI*MAXSSDI*P126,IF(AT126&lt;&gt;0,SSDI*W126,0))</f>
        <v>1706.1408000000001</v>
      </c>
      <c r="BE126" s="462">
        <f>IF(AT126&lt;&gt;0,SSHI*W126,0)</f>
        <v>399.01680000000005</v>
      </c>
      <c r="BF126" s="462">
        <f>IF(AND(AT126&lt;&gt;0,AN126&lt;&gt;"NE"),VLOOKUP(AN126,Retirement_Rates,3,FALSE)*W126,0)</f>
        <v>3285.6969600000002</v>
      </c>
      <c r="BG126" s="462">
        <f>IF(AND(AT126&lt;&gt;0,AJ126&lt;&gt;"PF"),Life*W126,0)</f>
        <v>198.40766400000001</v>
      </c>
      <c r="BH126" s="462">
        <f>IF(AND(AT126&lt;&gt;0,AM126="Y"),UI*W126,0)</f>
        <v>134.84016</v>
      </c>
      <c r="BI126" s="462">
        <f>IF(AND(AT126&lt;&gt;0,N126&lt;&gt;"NR"),DHR*W126,0)</f>
        <v>84.206304000000003</v>
      </c>
      <c r="BJ126" s="462">
        <f>IF(AT126&lt;&gt;0,WC*W126,0)</f>
        <v>740.24495999999999</v>
      </c>
      <c r="BK126" s="462">
        <f>IF(OR(AND(AT126&lt;&gt;0,AJ126&lt;&gt;"PF",AN126&lt;&gt;"NE",AG126&lt;&gt;"A"),AND(AL126="E",OR(AT126=1,AT126=3))),Sick*W126,0)</f>
        <v>0</v>
      </c>
      <c r="BL126" s="462">
        <f t="shared" si="22"/>
        <v>6548.5536480000001</v>
      </c>
      <c r="BM126" s="462">
        <f t="shared" si="23"/>
        <v>0</v>
      </c>
      <c r="BN126" s="462">
        <f>IF(AND(AT126=1,AK126="E",AU126&gt;=0.75,AW126=1),HealthBY,IF(AND(AT126=1,AK126="E",AU126&gt;=0.75),HealthBY*P126,IF(AND(AT126=1,AK126="E",AU126&gt;=0.5,AW126=1),PTHealthBY,IF(AND(AT126=1,AK126="E",AU126&gt;=0.5),PTHealthBY*P126,0))))</f>
        <v>5825</v>
      </c>
      <c r="BO126" s="462">
        <f>IF(AND(AT126=3,AK126="E",AV126&gt;=0.75,AW126=1),HealthBY,IF(AND(AT126=3,AK126="E",AV126&gt;=0.75),HealthBY*P126,IF(AND(AT126=3,AK126="E",AV126&gt;=0.5,AW126=1),PTHealthBY,IF(AND(AT126=3,AK126="E",AV126&gt;=0.5),PTHealthBY*P126,0))))</f>
        <v>0</v>
      </c>
      <c r="BP126" s="462">
        <f>IF(AND(AT126&lt;&gt;0,(AX126+BA126)&gt;=MAXSSDIBY),SSDIBY*MAXSSDIBY*P126,IF(AT126&lt;&gt;0,SSDIBY*W126,0))</f>
        <v>1706.1408000000001</v>
      </c>
      <c r="BQ126" s="462">
        <f>IF(AT126&lt;&gt;0,SSHIBY*W126,0)</f>
        <v>399.01680000000005</v>
      </c>
      <c r="BR126" s="462">
        <f>IF(AND(AT126&lt;&gt;0,AN126&lt;&gt;"NE"),VLOOKUP(AN126,Retirement_Rates,4,FALSE)*W126,0)</f>
        <v>3285.6969600000002</v>
      </c>
      <c r="BS126" s="462">
        <f>IF(AND(AT126&lt;&gt;0,AJ126&lt;&gt;"PF"),LifeBY*W126,0)</f>
        <v>198.40766400000001</v>
      </c>
      <c r="BT126" s="462">
        <f>IF(AND(AT126&lt;&gt;0,AM126="Y"),UIBY*W126,0)</f>
        <v>0</v>
      </c>
      <c r="BU126" s="462">
        <f>IF(AND(AT126&lt;&gt;0,N126&lt;&gt;"NR"),DHRBY*W126,0)</f>
        <v>84.206304000000003</v>
      </c>
      <c r="BV126" s="462">
        <f>IF(AT126&lt;&gt;0,WCBY*W126,0)</f>
        <v>954.88848000000007</v>
      </c>
      <c r="BW126" s="462">
        <f>IF(OR(AND(AT126&lt;&gt;0,AJ126&lt;&gt;"PF",AN126&lt;&gt;"NE",AG126&lt;&gt;"A"),AND(AL126="E",OR(AT126=1,AT126=3))),SickBY*W126,0)</f>
        <v>0</v>
      </c>
      <c r="BX126" s="462">
        <f t="shared" si="24"/>
        <v>6628.3570080000009</v>
      </c>
      <c r="BY126" s="462">
        <f t="shared" si="25"/>
        <v>0</v>
      </c>
      <c r="BZ126" s="462">
        <f t="shared" si="26"/>
        <v>0</v>
      </c>
      <c r="CA126" s="462">
        <f t="shared" si="27"/>
        <v>0</v>
      </c>
      <c r="CB126" s="462">
        <f t="shared" si="28"/>
        <v>0</v>
      </c>
      <c r="CC126" s="462">
        <f>IF(AT126&lt;&gt;0,SSHICHG*Y126,0)</f>
        <v>0</v>
      </c>
      <c r="CD126" s="462">
        <f>IF(AND(AT126&lt;&gt;0,AN126&lt;&gt;"NE"),VLOOKUP(AN126,Retirement_Rates,5,FALSE)*Y126,0)</f>
        <v>0</v>
      </c>
      <c r="CE126" s="462">
        <f>IF(AND(AT126&lt;&gt;0,AJ126&lt;&gt;"PF"),LifeCHG*Y126,0)</f>
        <v>0</v>
      </c>
      <c r="CF126" s="462">
        <f>IF(AND(AT126&lt;&gt;0,AM126="Y"),UICHG*Y126,0)</f>
        <v>-134.84016</v>
      </c>
      <c r="CG126" s="462">
        <f>IF(AND(AT126&lt;&gt;0,N126&lt;&gt;"NR"),DHRCHG*Y126,0)</f>
        <v>0</v>
      </c>
      <c r="CH126" s="462">
        <f>IF(AT126&lt;&gt;0,WCCHG*Y126,0)</f>
        <v>214.64352000000005</v>
      </c>
      <c r="CI126" s="462">
        <f>IF(OR(AND(AT126&lt;&gt;0,AJ126&lt;&gt;"PF",AN126&lt;&gt;"NE",AG126&lt;&gt;"A"),AND(AL126="E",OR(AT126=1,AT126=3))),SickCHG*Y126,0)</f>
        <v>0</v>
      </c>
      <c r="CJ126" s="462">
        <f t="shared" si="29"/>
        <v>79.803360000000055</v>
      </c>
      <c r="CK126" s="462" t="str">
        <f t="shared" si="30"/>
        <v/>
      </c>
      <c r="CL126" s="462" t="str">
        <f t="shared" si="31"/>
        <v/>
      </c>
      <c r="CM126" s="462" t="str">
        <f t="shared" si="32"/>
        <v/>
      </c>
      <c r="CN126" s="462" t="str">
        <f t="shared" si="33"/>
        <v>0001-00</v>
      </c>
    </row>
    <row r="127" spans="1:92" ht="15" thickBot="1" x14ac:dyDescent="0.35">
      <c r="A127" s="376" t="s">
        <v>161</v>
      </c>
      <c r="B127" s="376" t="s">
        <v>162</v>
      </c>
      <c r="C127" s="376" t="s">
        <v>545</v>
      </c>
      <c r="D127" s="376" t="s">
        <v>221</v>
      </c>
      <c r="E127" s="376" t="s">
        <v>165</v>
      </c>
      <c r="F127" s="377" t="s">
        <v>166</v>
      </c>
      <c r="G127" s="376" t="s">
        <v>432</v>
      </c>
      <c r="H127" s="378"/>
      <c r="I127" s="378"/>
      <c r="J127" s="376" t="s">
        <v>168</v>
      </c>
      <c r="K127" s="376" t="s">
        <v>222</v>
      </c>
      <c r="L127" s="376" t="s">
        <v>166</v>
      </c>
      <c r="M127" s="376" t="s">
        <v>225</v>
      </c>
      <c r="N127" s="376" t="s">
        <v>223</v>
      </c>
      <c r="O127" s="379">
        <v>0</v>
      </c>
      <c r="P127" s="460">
        <v>1</v>
      </c>
      <c r="Q127" s="460">
        <v>0</v>
      </c>
      <c r="R127" s="380">
        <v>0</v>
      </c>
      <c r="S127" s="460">
        <v>0</v>
      </c>
      <c r="T127" s="380">
        <v>0</v>
      </c>
      <c r="U127" s="380">
        <v>0</v>
      </c>
      <c r="V127" s="380">
        <v>0</v>
      </c>
      <c r="W127" s="380">
        <v>0</v>
      </c>
      <c r="X127" s="380">
        <v>0</v>
      </c>
      <c r="Y127" s="380">
        <v>0</v>
      </c>
      <c r="Z127" s="380">
        <v>0</v>
      </c>
      <c r="AA127" s="378"/>
      <c r="AB127" s="376" t="s">
        <v>45</v>
      </c>
      <c r="AC127" s="376" t="s">
        <v>45</v>
      </c>
      <c r="AD127" s="378"/>
      <c r="AE127" s="378"/>
      <c r="AF127" s="378"/>
      <c r="AG127" s="378"/>
      <c r="AH127" s="379">
        <v>0</v>
      </c>
      <c r="AI127" s="379">
        <v>0</v>
      </c>
      <c r="AJ127" s="378"/>
      <c r="AK127" s="378"/>
      <c r="AL127" s="376" t="s">
        <v>181</v>
      </c>
      <c r="AM127" s="378"/>
      <c r="AN127" s="378"/>
      <c r="AO127" s="379">
        <v>0</v>
      </c>
      <c r="AP127" s="460">
        <v>0</v>
      </c>
      <c r="AQ127" s="460">
        <v>0</v>
      </c>
      <c r="AR127" s="459"/>
      <c r="AS127" s="462">
        <f t="shared" si="17"/>
        <v>0</v>
      </c>
      <c r="AT127">
        <f t="shared" si="18"/>
        <v>0</v>
      </c>
      <c r="AU127" s="462" t="str">
        <f>IF(AT127=0,"",IF(AND(AT127=1,M127="F",SUMIF(C2:C391,C127,AS2:AS391)&lt;=1),SUMIF(C2:C391,C127,AS2:AS391),IF(AND(AT127=1,M127="F",SUMIF(C2:C391,C127,AS2:AS391)&gt;1),1,"")))</f>
        <v/>
      </c>
      <c r="AV127" s="462" t="str">
        <f>IF(AT127=0,"",IF(AND(AT127=3,M127="F",SUMIF(C2:C391,C127,AS2:AS391)&lt;=1),SUMIF(C2:C391,C127,AS2:AS391),IF(AND(AT127=3,M127="F",SUMIF(C2:C391,C127,AS2:AS391)&gt;1),1,"")))</f>
        <v/>
      </c>
      <c r="AW127" s="462">
        <f>SUMIF(C2:C391,C127,O2:O391)</f>
        <v>0</v>
      </c>
      <c r="AX127" s="462">
        <f>IF(AND(M127="F",AS127&lt;&gt;0),SUMIF(C2:C391,C127,W2:W391),0)</f>
        <v>0</v>
      </c>
      <c r="AY127" s="462" t="str">
        <f t="shared" si="19"/>
        <v/>
      </c>
      <c r="AZ127" s="462" t="str">
        <f t="shared" si="20"/>
        <v/>
      </c>
      <c r="BA127" s="462">
        <f t="shared" si="21"/>
        <v>0</v>
      </c>
      <c r="BB127" s="462">
        <f>IF(AND(AT127=1,AK127="E",AU127&gt;=0.75,AW127=1),Health,IF(AND(AT127=1,AK127="E",AU127&gt;=0.75),Health*P127,IF(AND(AT127=1,AK127="E",AU127&gt;=0.5,AW127=1),PTHealth,IF(AND(AT127=1,AK127="E",AU127&gt;=0.5),PTHealth*P127,0))))</f>
        <v>0</v>
      </c>
      <c r="BC127" s="462">
        <f>IF(AND(AT127=3,AK127="E",AV127&gt;=0.75,AW127=1),Health,IF(AND(AT127=3,AK127="E",AV127&gt;=0.75),Health*P127,IF(AND(AT127=3,AK127="E",AV127&gt;=0.5,AW127=1),PTHealth,IF(AND(AT127=3,AK127="E",AV127&gt;=0.5),PTHealth*P127,0))))</f>
        <v>0</v>
      </c>
      <c r="BD127" s="462">
        <f>IF(AND(AT127&lt;&gt;0,AX127&gt;=MAXSSDI),SSDI*MAXSSDI*P127,IF(AT127&lt;&gt;0,SSDI*W127,0))</f>
        <v>0</v>
      </c>
      <c r="BE127" s="462">
        <f>IF(AT127&lt;&gt;0,SSHI*W127,0)</f>
        <v>0</v>
      </c>
      <c r="BF127" s="462">
        <f>IF(AND(AT127&lt;&gt;0,AN127&lt;&gt;"NE"),VLOOKUP(AN127,Retirement_Rates,3,FALSE)*W127,0)</f>
        <v>0</v>
      </c>
      <c r="BG127" s="462">
        <f>IF(AND(AT127&lt;&gt;0,AJ127&lt;&gt;"PF"),Life*W127,0)</f>
        <v>0</v>
      </c>
      <c r="BH127" s="462">
        <f>IF(AND(AT127&lt;&gt;0,AM127="Y"),UI*W127,0)</f>
        <v>0</v>
      </c>
      <c r="BI127" s="462">
        <f>IF(AND(AT127&lt;&gt;0,N127&lt;&gt;"NR"),DHR*W127,0)</f>
        <v>0</v>
      </c>
      <c r="BJ127" s="462">
        <f>IF(AT127&lt;&gt;0,WC*W127,0)</f>
        <v>0</v>
      </c>
      <c r="BK127" s="462">
        <f>IF(OR(AND(AT127&lt;&gt;0,AJ127&lt;&gt;"PF",AN127&lt;&gt;"NE",AG127&lt;&gt;"A"),AND(AL127="E",OR(AT127=1,AT127=3))),Sick*W127,0)</f>
        <v>0</v>
      </c>
      <c r="BL127" s="462">
        <f t="shared" si="22"/>
        <v>0</v>
      </c>
      <c r="BM127" s="462">
        <f t="shared" si="23"/>
        <v>0</v>
      </c>
      <c r="BN127" s="462">
        <f>IF(AND(AT127=1,AK127="E",AU127&gt;=0.75,AW127=1),HealthBY,IF(AND(AT127=1,AK127="E",AU127&gt;=0.75),HealthBY*P127,IF(AND(AT127=1,AK127="E",AU127&gt;=0.5,AW127=1),PTHealthBY,IF(AND(AT127=1,AK127="E",AU127&gt;=0.5),PTHealthBY*P127,0))))</f>
        <v>0</v>
      </c>
      <c r="BO127" s="462">
        <f>IF(AND(AT127=3,AK127="E",AV127&gt;=0.75,AW127=1),HealthBY,IF(AND(AT127=3,AK127="E",AV127&gt;=0.75),HealthBY*P127,IF(AND(AT127=3,AK127="E",AV127&gt;=0.5,AW127=1),PTHealthBY,IF(AND(AT127=3,AK127="E",AV127&gt;=0.5),PTHealthBY*P127,0))))</f>
        <v>0</v>
      </c>
      <c r="BP127" s="462">
        <f>IF(AND(AT127&lt;&gt;0,(AX127+BA127)&gt;=MAXSSDIBY),SSDIBY*MAXSSDIBY*P127,IF(AT127&lt;&gt;0,SSDIBY*W127,0))</f>
        <v>0</v>
      </c>
      <c r="BQ127" s="462">
        <f>IF(AT127&lt;&gt;0,SSHIBY*W127,0)</f>
        <v>0</v>
      </c>
      <c r="BR127" s="462">
        <f>IF(AND(AT127&lt;&gt;0,AN127&lt;&gt;"NE"),VLOOKUP(AN127,Retirement_Rates,4,FALSE)*W127,0)</f>
        <v>0</v>
      </c>
      <c r="BS127" s="462">
        <f>IF(AND(AT127&lt;&gt;0,AJ127&lt;&gt;"PF"),LifeBY*W127,0)</f>
        <v>0</v>
      </c>
      <c r="BT127" s="462">
        <f>IF(AND(AT127&lt;&gt;0,AM127="Y"),UIBY*W127,0)</f>
        <v>0</v>
      </c>
      <c r="BU127" s="462">
        <f>IF(AND(AT127&lt;&gt;0,N127&lt;&gt;"NR"),DHRBY*W127,0)</f>
        <v>0</v>
      </c>
      <c r="BV127" s="462">
        <f>IF(AT127&lt;&gt;0,WCBY*W127,0)</f>
        <v>0</v>
      </c>
      <c r="BW127" s="462">
        <f>IF(OR(AND(AT127&lt;&gt;0,AJ127&lt;&gt;"PF",AN127&lt;&gt;"NE",AG127&lt;&gt;"A"),AND(AL127="E",OR(AT127=1,AT127=3))),SickBY*W127,0)</f>
        <v>0</v>
      </c>
      <c r="BX127" s="462">
        <f t="shared" si="24"/>
        <v>0</v>
      </c>
      <c r="BY127" s="462">
        <f t="shared" si="25"/>
        <v>0</v>
      </c>
      <c r="BZ127" s="462">
        <f t="shared" si="26"/>
        <v>0</v>
      </c>
      <c r="CA127" s="462">
        <f t="shared" si="27"/>
        <v>0</v>
      </c>
      <c r="CB127" s="462">
        <f t="shared" si="28"/>
        <v>0</v>
      </c>
      <c r="CC127" s="462">
        <f>IF(AT127&lt;&gt;0,SSHICHG*Y127,0)</f>
        <v>0</v>
      </c>
      <c r="CD127" s="462">
        <f>IF(AND(AT127&lt;&gt;0,AN127&lt;&gt;"NE"),VLOOKUP(AN127,Retirement_Rates,5,FALSE)*Y127,0)</f>
        <v>0</v>
      </c>
      <c r="CE127" s="462">
        <f>IF(AND(AT127&lt;&gt;0,AJ127&lt;&gt;"PF"),LifeCHG*Y127,0)</f>
        <v>0</v>
      </c>
      <c r="CF127" s="462">
        <f>IF(AND(AT127&lt;&gt;0,AM127="Y"),UICHG*Y127,0)</f>
        <v>0</v>
      </c>
      <c r="CG127" s="462">
        <f>IF(AND(AT127&lt;&gt;0,N127&lt;&gt;"NR"),DHRCHG*Y127,0)</f>
        <v>0</v>
      </c>
      <c r="CH127" s="462">
        <f>IF(AT127&lt;&gt;0,WCCHG*Y127,0)</f>
        <v>0</v>
      </c>
      <c r="CI127" s="462">
        <f>IF(OR(AND(AT127&lt;&gt;0,AJ127&lt;&gt;"PF",AN127&lt;&gt;"NE",AG127&lt;&gt;"A"),AND(AL127="E",OR(AT127=1,AT127=3))),SickCHG*Y127,0)</f>
        <v>0</v>
      </c>
      <c r="CJ127" s="462">
        <f t="shared" si="29"/>
        <v>0</v>
      </c>
      <c r="CK127" s="462" t="str">
        <f t="shared" si="30"/>
        <v/>
      </c>
      <c r="CL127" s="462">
        <f t="shared" si="31"/>
        <v>0</v>
      </c>
      <c r="CM127" s="462">
        <f t="shared" si="32"/>
        <v>0</v>
      </c>
      <c r="CN127" s="462" t="str">
        <f t="shared" si="33"/>
        <v>0001-00</v>
      </c>
    </row>
    <row r="128" spans="1:92" ht="15" thickBot="1" x14ac:dyDescent="0.35">
      <c r="A128" s="376" t="s">
        <v>161</v>
      </c>
      <c r="B128" s="376" t="s">
        <v>162</v>
      </c>
      <c r="C128" s="376" t="s">
        <v>546</v>
      </c>
      <c r="D128" s="376" t="s">
        <v>438</v>
      </c>
      <c r="E128" s="376" t="s">
        <v>165</v>
      </c>
      <c r="F128" s="377" t="s">
        <v>166</v>
      </c>
      <c r="G128" s="376" t="s">
        <v>432</v>
      </c>
      <c r="H128" s="378"/>
      <c r="I128" s="378"/>
      <c r="J128" s="376" t="s">
        <v>168</v>
      </c>
      <c r="K128" s="376" t="s">
        <v>439</v>
      </c>
      <c r="L128" s="376" t="s">
        <v>231</v>
      </c>
      <c r="M128" s="376" t="s">
        <v>171</v>
      </c>
      <c r="N128" s="376" t="s">
        <v>172</v>
      </c>
      <c r="O128" s="379">
        <v>1</v>
      </c>
      <c r="P128" s="460">
        <v>0</v>
      </c>
      <c r="Q128" s="460">
        <v>0</v>
      </c>
      <c r="R128" s="380">
        <v>80</v>
      </c>
      <c r="S128" s="460">
        <v>0</v>
      </c>
      <c r="T128" s="380">
        <v>13070.02</v>
      </c>
      <c r="U128" s="380">
        <v>0</v>
      </c>
      <c r="V128" s="380">
        <v>0</v>
      </c>
      <c r="W128" s="380">
        <v>0</v>
      </c>
      <c r="X128" s="380">
        <v>0</v>
      </c>
      <c r="Y128" s="380">
        <v>0</v>
      </c>
      <c r="Z128" s="380">
        <v>0</v>
      </c>
      <c r="AA128" s="376" t="s">
        <v>547</v>
      </c>
      <c r="AB128" s="376" t="s">
        <v>548</v>
      </c>
      <c r="AC128" s="376" t="s">
        <v>549</v>
      </c>
      <c r="AD128" s="376" t="s">
        <v>176</v>
      </c>
      <c r="AE128" s="376" t="s">
        <v>439</v>
      </c>
      <c r="AF128" s="376" t="s">
        <v>236</v>
      </c>
      <c r="AG128" s="376" t="s">
        <v>178</v>
      </c>
      <c r="AH128" s="381">
        <v>19.75</v>
      </c>
      <c r="AI128" s="381">
        <v>5302.4</v>
      </c>
      <c r="AJ128" s="376" t="s">
        <v>179</v>
      </c>
      <c r="AK128" s="376" t="s">
        <v>180</v>
      </c>
      <c r="AL128" s="376" t="s">
        <v>181</v>
      </c>
      <c r="AM128" s="376" t="s">
        <v>182</v>
      </c>
      <c r="AN128" s="376" t="s">
        <v>68</v>
      </c>
      <c r="AO128" s="379">
        <v>80</v>
      </c>
      <c r="AP128" s="460">
        <v>1</v>
      </c>
      <c r="AQ128" s="460">
        <v>0</v>
      </c>
      <c r="AR128" s="458" t="s">
        <v>183</v>
      </c>
      <c r="AS128" s="462">
        <f t="shared" si="17"/>
        <v>0</v>
      </c>
      <c r="AT128">
        <f t="shared" si="18"/>
        <v>0</v>
      </c>
      <c r="AU128" s="462" t="str">
        <f>IF(AT128=0,"",IF(AND(AT128=1,M128="F",SUMIF(C2:C391,C128,AS2:AS391)&lt;=1),SUMIF(C2:C391,C128,AS2:AS391),IF(AND(AT128=1,M128="F",SUMIF(C2:C391,C128,AS2:AS391)&gt;1),1,"")))</f>
        <v/>
      </c>
      <c r="AV128" s="462" t="str">
        <f>IF(AT128=0,"",IF(AND(AT128=3,M128="F",SUMIF(C2:C391,C128,AS2:AS391)&lt;=1),SUMIF(C2:C391,C128,AS2:AS391),IF(AND(AT128=3,M128="F",SUMIF(C2:C391,C128,AS2:AS391)&gt;1),1,"")))</f>
        <v/>
      </c>
      <c r="AW128" s="462">
        <f>SUMIF(C2:C391,C128,O2:O391)</f>
        <v>2</v>
      </c>
      <c r="AX128" s="462">
        <f>IF(AND(M128="F",AS128&lt;&gt;0),SUMIF(C2:C391,C128,W2:W391),0)</f>
        <v>0</v>
      </c>
      <c r="AY128" s="462" t="str">
        <f t="shared" si="19"/>
        <v/>
      </c>
      <c r="AZ128" s="462" t="str">
        <f t="shared" si="20"/>
        <v/>
      </c>
      <c r="BA128" s="462">
        <f t="shared" si="21"/>
        <v>0</v>
      </c>
      <c r="BB128" s="462">
        <f>IF(AND(AT128=1,AK128="E",AU128&gt;=0.75,AW128=1),Health,IF(AND(AT128=1,AK128="E",AU128&gt;=0.75),Health*P128,IF(AND(AT128=1,AK128="E",AU128&gt;=0.5,AW128=1),PTHealth,IF(AND(AT128=1,AK128="E",AU128&gt;=0.5),PTHealth*P128,0))))</f>
        <v>0</v>
      </c>
      <c r="BC128" s="462">
        <f>IF(AND(AT128=3,AK128="E",AV128&gt;=0.75,AW128=1),Health,IF(AND(AT128=3,AK128="E",AV128&gt;=0.75),Health*P128,IF(AND(AT128=3,AK128="E",AV128&gt;=0.5,AW128=1),PTHealth,IF(AND(AT128=3,AK128="E",AV128&gt;=0.5),PTHealth*P128,0))))</f>
        <v>0</v>
      </c>
      <c r="BD128" s="462">
        <f>IF(AND(AT128&lt;&gt;0,AX128&gt;=MAXSSDI),SSDI*MAXSSDI*P128,IF(AT128&lt;&gt;0,SSDI*W128,0))</f>
        <v>0</v>
      </c>
      <c r="BE128" s="462">
        <f>IF(AT128&lt;&gt;0,SSHI*W128,0)</f>
        <v>0</v>
      </c>
      <c r="BF128" s="462">
        <f>IF(AND(AT128&lt;&gt;0,AN128&lt;&gt;"NE"),VLOOKUP(AN128,Retirement_Rates,3,FALSE)*W128,0)</f>
        <v>0</v>
      </c>
      <c r="BG128" s="462">
        <f>IF(AND(AT128&lt;&gt;0,AJ128&lt;&gt;"PF"),Life*W128,0)</f>
        <v>0</v>
      </c>
      <c r="BH128" s="462">
        <f>IF(AND(AT128&lt;&gt;0,AM128="Y"),UI*W128,0)</f>
        <v>0</v>
      </c>
      <c r="BI128" s="462">
        <f>IF(AND(AT128&lt;&gt;0,N128&lt;&gt;"NR"),DHR*W128,0)</f>
        <v>0</v>
      </c>
      <c r="BJ128" s="462">
        <f>IF(AT128&lt;&gt;0,WC*W128,0)</f>
        <v>0</v>
      </c>
      <c r="BK128" s="462">
        <f>IF(OR(AND(AT128&lt;&gt;0,AJ128&lt;&gt;"PF",AN128&lt;&gt;"NE",AG128&lt;&gt;"A"),AND(AL128="E",OR(AT128=1,AT128=3))),Sick*W128,0)</f>
        <v>0</v>
      </c>
      <c r="BL128" s="462">
        <f t="shared" si="22"/>
        <v>0</v>
      </c>
      <c r="BM128" s="462">
        <f t="shared" si="23"/>
        <v>0</v>
      </c>
      <c r="BN128" s="462">
        <f>IF(AND(AT128=1,AK128="E",AU128&gt;=0.75,AW128=1),HealthBY,IF(AND(AT128=1,AK128="E",AU128&gt;=0.75),HealthBY*P128,IF(AND(AT128=1,AK128="E",AU128&gt;=0.5,AW128=1),PTHealthBY,IF(AND(AT128=1,AK128="E",AU128&gt;=0.5),PTHealthBY*P128,0))))</f>
        <v>0</v>
      </c>
      <c r="BO128" s="462">
        <f>IF(AND(AT128=3,AK128="E",AV128&gt;=0.75,AW128=1),HealthBY,IF(AND(AT128=3,AK128="E",AV128&gt;=0.75),HealthBY*P128,IF(AND(AT128=3,AK128="E",AV128&gt;=0.5,AW128=1),PTHealthBY,IF(AND(AT128=3,AK128="E",AV128&gt;=0.5),PTHealthBY*P128,0))))</f>
        <v>0</v>
      </c>
      <c r="BP128" s="462">
        <f>IF(AND(AT128&lt;&gt;0,(AX128+BA128)&gt;=MAXSSDIBY),SSDIBY*MAXSSDIBY*P128,IF(AT128&lt;&gt;0,SSDIBY*W128,0))</f>
        <v>0</v>
      </c>
      <c r="BQ128" s="462">
        <f>IF(AT128&lt;&gt;0,SSHIBY*W128,0)</f>
        <v>0</v>
      </c>
      <c r="BR128" s="462">
        <f>IF(AND(AT128&lt;&gt;0,AN128&lt;&gt;"NE"),VLOOKUP(AN128,Retirement_Rates,4,FALSE)*W128,0)</f>
        <v>0</v>
      </c>
      <c r="BS128" s="462">
        <f>IF(AND(AT128&lt;&gt;0,AJ128&lt;&gt;"PF"),LifeBY*W128,0)</f>
        <v>0</v>
      </c>
      <c r="BT128" s="462">
        <f>IF(AND(AT128&lt;&gt;0,AM128="Y"),UIBY*W128,0)</f>
        <v>0</v>
      </c>
      <c r="BU128" s="462">
        <f>IF(AND(AT128&lt;&gt;0,N128&lt;&gt;"NR"),DHRBY*W128,0)</f>
        <v>0</v>
      </c>
      <c r="BV128" s="462">
        <f>IF(AT128&lt;&gt;0,WCBY*W128,0)</f>
        <v>0</v>
      </c>
      <c r="BW128" s="462">
        <f>IF(OR(AND(AT128&lt;&gt;0,AJ128&lt;&gt;"PF",AN128&lt;&gt;"NE",AG128&lt;&gt;"A"),AND(AL128="E",OR(AT128=1,AT128=3))),SickBY*W128,0)</f>
        <v>0</v>
      </c>
      <c r="BX128" s="462">
        <f t="shared" si="24"/>
        <v>0</v>
      </c>
      <c r="BY128" s="462">
        <f t="shared" si="25"/>
        <v>0</v>
      </c>
      <c r="BZ128" s="462">
        <f t="shared" si="26"/>
        <v>0</v>
      </c>
      <c r="CA128" s="462">
        <f t="shared" si="27"/>
        <v>0</v>
      </c>
      <c r="CB128" s="462">
        <f t="shared" si="28"/>
        <v>0</v>
      </c>
      <c r="CC128" s="462">
        <f>IF(AT128&lt;&gt;0,SSHICHG*Y128,0)</f>
        <v>0</v>
      </c>
      <c r="CD128" s="462">
        <f>IF(AND(AT128&lt;&gt;0,AN128&lt;&gt;"NE"),VLOOKUP(AN128,Retirement_Rates,5,FALSE)*Y128,0)</f>
        <v>0</v>
      </c>
      <c r="CE128" s="462">
        <f>IF(AND(AT128&lt;&gt;0,AJ128&lt;&gt;"PF"),LifeCHG*Y128,0)</f>
        <v>0</v>
      </c>
      <c r="CF128" s="462">
        <f>IF(AND(AT128&lt;&gt;0,AM128="Y"),UICHG*Y128,0)</f>
        <v>0</v>
      </c>
      <c r="CG128" s="462">
        <f>IF(AND(AT128&lt;&gt;0,N128&lt;&gt;"NR"),DHRCHG*Y128,0)</f>
        <v>0</v>
      </c>
      <c r="CH128" s="462">
        <f>IF(AT128&lt;&gt;0,WCCHG*Y128,0)</f>
        <v>0</v>
      </c>
      <c r="CI128" s="462">
        <f>IF(OR(AND(AT128&lt;&gt;0,AJ128&lt;&gt;"PF",AN128&lt;&gt;"NE",AG128&lt;&gt;"A"),AND(AL128="E",OR(AT128=1,AT128=3))),SickCHG*Y128,0)</f>
        <v>0</v>
      </c>
      <c r="CJ128" s="462">
        <f t="shared" si="29"/>
        <v>0</v>
      </c>
      <c r="CK128" s="462" t="str">
        <f t="shared" si="30"/>
        <v/>
      </c>
      <c r="CL128" s="462" t="str">
        <f t="shared" si="31"/>
        <v/>
      </c>
      <c r="CM128" s="462" t="str">
        <f t="shared" si="32"/>
        <v/>
      </c>
      <c r="CN128" s="462" t="str">
        <f t="shared" si="33"/>
        <v>0001-00</v>
      </c>
    </row>
    <row r="129" spans="1:92" ht="15" thickBot="1" x14ac:dyDescent="0.35">
      <c r="A129" s="376" t="s">
        <v>161</v>
      </c>
      <c r="B129" s="376" t="s">
        <v>162</v>
      </c>
      <c r="C129" s="376" t="s">
        <v>550</v>
      </c>
      <c r="D129" s="376" t="s">
        <v>438</v>
      </c>
      <c r="E129" s="376" t="s">
        <v>165</v>
      </c>
      <c r="F129" s="377" t="s">
        <v>166</v>
      </c>
      <c r="G129" s="376" t="s">
        <v>432</v>
      </c>
      <c r="H129" s="378"/>
      <c r="I129" s="378"/>
      <c r="J129" s="376" t="s">
        <v>168</v>
      </c>
      <c r="K129" s="376" t="s">
        <v>439</v>
      </c>
      <c r="L129" s="376" t="s">
        <v>231</v>
      </c>
      <c r="M129" s="376" t="s">
        <v>171</v>
      </c>
      <c r="N129" s="376" t="s">
        <v>172</v>
      </c>
      <c r="O129" s="379">
        <v>1</v>
      </c>
      <c r="P129" s="460">
        <v>1</v>
      </c>
      <c r="Q129" s="460">
        <v>1</v>
      </c>
      <c r="R129" s="380">
        <v>80</v>
      </c>
      <c r="S129" s="460">
        <v>1</v>
      </c>
      <c r="T129" s="380">
        <v>27705.919999999998</v>
      </c>
      <c r="U129" s="380">
        <v>0</v>
      </c>
      <c r="V129" s="380">
        <v>20392.560000000001</v>
      </c>
      <c r="W129" s="380">
        <v>41454.400000000001</v>
      </c>
      <c r="X129" s="380">
        <v>21514.87</v>
      </c>
      <c r="Y129" s="380">
        <v>41454.400000000001</v>
      </c>
      <c r="Z129" s="380">
        <v>21635.09</v>
      </c>
      <c r="AA129" s="376" t="s">
        <v>551</v>
      </c>
      <c r="AB129" s="376" t="s">
        <v>552</v>
      </c>
      <c r="AC129" s="376" t="s">
        <v>553</v>
      </c>
      <c r="AD129" s="376" t="s">
        <v>359</v>
      </c>
      <c r="AE129" s="376" t="s">
        <v>439</v>
      </c>
      <c r="AF129" s="376" t="s">
        <v>236</v>
      </c>
      <c r="AG129" s="376" t="s">
        <v>178</v>
      </c>
      <c r="AH129" s="381">
        <v>19.93</v>
      </c>
      <c r="AI129" s="381">
        <v>47418.8</v>
      </c>
      <c r="AJ129" s="376" t="s">
        <v>179</v>
      </c>
      <c r="AK129" s="376" t="s">
        <v>180</v>
      </c>
      <c r="AL129" s="376" t="s">
        <v>181</v>
      </c>
      <c r="AM129" s="376" t="s">
        <v>182</v>
      </c>
      <c r="AN129" s="376" t="s">
        <v>68</v>
      </c>
      <c r="AO129" s="379">
        <v>80</v>
      </c>
      <c r="AP129" s="460">
        <v>1</v>
      </c>
      <c r="AQ129" s="460">
        <v>1</v>
      </c>
      <c r="AR129" s="458" t="s">
        <v>183</v>
      </c>
      <c r="AS129" s="462">
        <f t="shared" si="17"/>
        <v>1</v>
      </c>
      <c r="AT129">
        <f t="shared" si="18"/>
        <v>1</v>
      </c>
      <c r="AU129" s="462">
        <f>IF(AT129=0,"",IF(AND(AT129=1,M129="F",SUMIF(C2:C391,C129,AS2:AS391)&lt;=1),SUMIF(C2:C391,C129,AS2:AS391),IF(AND(AT129=1,M129="F",SUMIF(C2:C391,C129,AS2:AS391)&gt;1),1,"")))</f>
        <v>1</v>
      </c>
      <c r="AV129" s="462" t="str">
        <f>IF(AT129=0,"",IF(AND(AT129=3,M129="F",SUMIF(C2:C391,C129,AS2:AS391)&lt;=1),SUMIF(C2:C391,C129,AS2:AS391),IF(AND(AT129=3,M129="F",SUMIF(C2:C391,C129,AS2:AS391)&gt;1),1,"")))</f>
        <v/>
      </c>
      <c r="AW129" s="462">
        <f>SUMIF(C2:C391,C129,O2:O391)</f>
        <v>2</v>
      </c>
      <c r="AX129" s="462">
        <f>IF(AND(M129="F",AS129&lt;&gt;0),SUMIF(C2:C391,C129,W2:W391),0)</f>
        <v>41454.400000000001</v>
      </c>
      <c r="AY129" s="462">
        <f t="shared" si="19"/>
        <v>41454.400000000001</v>
      </c>
      <c r="AZ129" s="462" t="str">
        <f t="shared" si="20"/>
        <v/>
      </c>
      <c r="BA129" s="462">
        <f t="shared" si="21"/>
        <v>0</v>
      </c>
      <c r="BB129" s="462">
        <f>IF(AND(AT129=1,AK129="E",AU129&gt;=0.75,AW129=1),Health,IF(AND(AT129=1,AK129="E",AU129&gt;=0.75),Health*P129,IF(AND(AT129=1,AK129="E",AU129&gt;=0.5,AW129=1),PTHealth,IF(AND(AT129=1,AK129="E",AU129&gt;=0.5),PTHealth*P129,0))))</f>
        <v>11650</v>
      </c>
      <c r="BC129" s="462">
        <f>IF(AND(AT129=3,AK129="E",AV129&gt;=0.75,AW129=1),Health,IF(AND(AT129=3,AK129="E",AV129&gt;=0.75),Health*P129,IF(AND(AT129=3,AK129="E",AV129&gt;=0.5,AW129=1),PTHealth,IF(AND(AT129=3,AK129="E",AV129&gt;=0.5),PTHealth*P129,0))))</f>
        <v>0</v>
      </c>
      <c r="BD129" s="462">
        <f>IF(AND(AT129&lt;&gt;0,AX129&gt;=MAXSSDI),SSDI*MAXSSDI*P129,IF(AT129&lt;&gt;0,SSDI*W129,0))</f>
        <v>2570.1728000000003</v>
      </c>
      <c r="BE129" s="462">
        <f>IF(AT129&lt;&gt;0,SSHI*W129,0)</f>
        <v>601.08880000000011</v>
      </c>
      <c r="BF129" s="462">
        <f>IF(AND(AT129&lt;&gt;0,AN129&lt;&gt;"NE"),VLOOKUP(AN129,Retirement_Rates,3,FALSE)*W129,0)</f>
        <v>4949.6553600000007</v>
      </c>
      <c r="BG129" s="462">
        <f>IF(AND(AT129&lt;&gt;0,AJ129&lt;&gt;"PF"),Life*W129,0)</f>
        <v>298.88622400000003</v>
      </c>
      <c r="BH129" s="462">
        <f>IF(AND(AT129&lt;&gt;0,AM129="Y"),UI*W129,0)</f>
        <v>203.12656000000001</v>
      </c>
      <c r="BI129" s="462">
        <f>IF(AND(AT129&lt;&gt;0,N129&lt;&gt;"NR"),DHR*W129,0)</f>
        <v>126.850464</v>
      </c>
      <c r="BJ129" s="462">
        <f>IF(AT129&lt;&gt;0,WC*W129,0)</f>
        <v>1115.12336</v>
      </c>
      <c r="BK129" s="462">
        <f>IF(OR(AND(AT129&lt;&gt;0,AJ129&lt;&gt;"PF",AN129&lt;&gt;"NE",AG129&lt;&gt;"A"),AND(AL129="E",OR(AT129=1,AT129=3))),Sick*W129,0)</f>
        <v>0</v>
      </c>
      <c r="BL129" s="462">
        <f t="shared" si="22"/>
        <v>9864.9035679999997</v>
      </c>
      <c r="BM129" s="462">
        <f t="shared" si="23"/>
        <v>0</v>
      </c>
      <c r="BN129" s="462">
        <f>IF(AND(AT129=1,AK129="E",AU129&gt;=0.75,AW129=1),HealthBY,IF(AND(AT129=1,AK129="E",AU129&gt;=0.75),HealthBY*P129,IF(AND(AT129=1,AK129="E",AU129&gt;=0.5,AW129=1),PTHealthBY,IF(AND(AT129=1,AK129="E",AU129&gt;=0.5),PTHealthBY*P129,0))))</f>
        <v>11650</v>
      </c>
      <c r="BO129" s="462">
        <f>IF(AND(AT129=3,AK129="E",AV129&gt;=0.75,AW129=1),HealthBY,IF(AND(AT129=3,AK129="E",AV129&gt;=0.75),HealthBY*P129,IF(AND(AT129=3,AK129="E",AV129&gt;=0.5,AW129=1),PTHealthBY,IF(AND(AT129=3,AK129="E",AV129&gt;=0.5),PTHealthBY*P129,0))))</f>
        <v>0</v>
      </c>
      <c r="BP129" s="462">
        <f>IF(AND(AT129&lt;&gt;0,(AX129+BA129)&gt;=MAXSSDIBY),SSDIBY*MAXSSDIBY*P129,IF(AT129&lt;&gt;0,SSDIBY*W129,0))</f>
        <v>2570.1728000000003</v>
      </c>
      <c r="BQ129" s="462">
        <f>IF(AT129&lt;&gt;0,SSHIBY*W129,0)</f>
        <v>601.08880000000011</v>
      </c>
      <c r="BR129" s="462">
        <f>IF(AND(AT129&lt;&gt;0,AN129&lt;&gt;"NE"),VLOOKUP(AN129,Retirement_Rates,4,FALSE)*W129,0)</f>
        <v>4949.6553600000007</v>
      </c>
      <c r="BS129" s="462">
        <f>IF(AND(AT129&lt;&gt;0,AJ129&lt;&gt;"PF"),LifeBY*W129,0)</f>
        <v>298.88622400000003</v>
      </c>
      <c r="BT129" s="462">
        <f>IF(AND(AT129&lt;&gt;0,AM129="Y"),UIBY*W129,0)</f>
        <v>0</v>
      </c>
      <c r="BU129" s="462">
        <f>IF(AND(AT129&lt;&gt;0,N129&lt;&gt;"NR"),DHRBY*W129,0)</f>
        <v>126.850464</v>
      </c>
      <c r="BV129" s="462">
        <f>IF(AT129&lt;&gt;0,WCBY*W129,0)</f>
        <v>1438.4676800000002</v>
      </c>
      <c r="BW129" s="462">
        <f>IF(OR(AND(AT129&lt;&gt;0,AJ129&lt;&gt;"PF",AN129&lt;&gt;"NE",AG129&lt;&gt;"A"),AND(AL129="E",OR(AT129=1,AT129=3))),SickBY*W129,0)</f>
        <v>0</v>
      </c>
      <c r="BX129" s="462">
        <f t="shared" si="24"/>
        <v>9985.1213279999993</v>
      </c>
      <c r="BY129" s="462">
        <f t="shared" si="25"/>
        <v>0</v>
      </c>
      <c r="BZ129" s="462">
        <f t="shared" si="26"/>
        <v>0</v>
      </c>
      <c r="CA129" s="462">
        <f t="shared" si="27"/>
        <v>0</v>
      </c>
      <c r="CB129" s="462">
        <f t="shared" si="28"/>
        <v>0</v>
      </c>
      <c r="CC129" s="462">
        <f>IF(AT129&lt;&gt;0,SSHICHG*Y129,0)</f>
        <v>0</v>
      </c>
      <c r="CD129" s="462">
        <f>IF(AND(AT129&lt;&gt;0,AN129&lt;&gt;"NE"),VLOOKUP(AN129,Retirement_Rates,5,FALSE)*Y129,0)</f>
        <v>0</v>
      </c>
      <c r="CE129" s="462">
        <f>IF(AND(AT129&lt;&gt;0,AJ129&lt;&gt;"PF"),LifeCHG*Y129,0)</f>
        <v>0</v>
      </c>
      <c r="CF129" s="462">
        <f>IF(AND(AT129&lt;&gt;0,AM129="Y"),UICHG*Y129,0)</f>
        <v>-203.12656000000001</v>
      </c>
      <c r="CG129" s="462">
        <f>IF(AND(AT129&lt;&gt;0,N129&lt;&gt;"NR"),DHRCHG*Y129,0)</f>
        <v>0</v>
      </c>
      <c r="CH129" s="462">
        <f>IF(AT129&lt;&gt;0,WCCHG*Y129,0)</f>
        <v>323.3443200000001</v>
      </c>
      <c r="CI129" s="462">
        <f>IF(OR(AND(AT129&lt;&gt;0,AJ129&lt;&gt;"PF",AN129&lt;&gt;"NE",AG129&lt;&gt;"A"),AND(AL129="E",OR(AT129=1,AT129=3))),SickCHG*Y129,0)</f>
        <v>0</v>
      </c>
      <c r="CJ129" s="462">
        <f t="shared" si="29"/>
        <v>120.21776000000008</v>
      </c>
      <c r="CK129" s="462" t="str">
        <f t="shared" si="30"/>
        <v/>
      </c>
      <c r="CL129" s="462" t="str">
        <f t="shared" si="31"/>
        <v/>
      </c>
      <c r="CM129" s="462" t="str">
        <f t="shared" si="32"/>
        <v/>
      </c>
      <c r="CN129" s="462" t="str">
        <f t="shared" si="33"/>
        <v>0001-00</v>
      </c>
    </row>
    <row r="130" spans="1:92" ht="15" thickBot="1" x14ac:dyDescent="0.35">
      <c r="A130" s="376" t="s">
        <v>161</v>
      </c>
      <c r="B130" s="376" t="s">
        <v>162</v>
      </c>
      <c r="C130" s="376" t="s">
        <v>554</v>
      </c>
      <c r="D130" s="376" t="s">
        <v>438</v>
      </c>
      <c r="E130" s="376" t="s">
        <v>165</v>
      </c>
      <c r="F130" s="377" t="s">
        <v>166</v>
      </c>
      <c r="G130" s="376" t="s">
        <v>432</v>
      </c>
      <c r="H130" s="378"/>
      <c r="I130" s="378"/>
      <c r="J130" s="376" t="s">
        <v>168</v>
      </c>
      <c r="K130" s="376" t="s">
        <v>439</v>
      </c>
      <c r="L130" s="376" t="s">
        <v>231</v>
      </c>
      <c r="M130" s="376" t="s">
        <v>171</v>
      </c>
      <c r="N130" s="376" t="s">
        <v>172</v>
      </c>
      <c r="O130" s="379">
        <v>1</v>
      </c>
      <c r="P130" s="460">
        <v>1</v>
      </c>
      <c r="Q130" s="460">
        <v>1</v>
      </c>
      <c r="R130" s="380">
        <v>80</v>
      </c>
      <c r="S130" s="460">
        <v>1</v>
      </c>
      <c r="T130" s="380">
        <v>31914.799999999999</v>
      </c>
      <c r="U130" s="380">
        <v>0</v>
      </c>
      <c r="V130" s="380">
        <v>16463.03</v>
      </c>
      <c r="W130" s="380">
        <v>41704</v>
      </c>
      <c r="X130" s="380">
        <v>21574.25</v>
      </c>
      <c r="Y130" s="380">
        <v>41704</v>
      </c>
      <c r="Z130" s="380">
        <v>21695.200000000001</v>
      </c>
      <c r="AA130" s="376" t="s">
        <v>555</v>
      </c>
      <c r="AB130" s="376" t="s">
        <v>556</v>
      </c>
      <c r="AC130" s="376" t="s">
        <v>557</v>
      </c>
      <c r="AD130" s="376" t="s">
        <v>231</v>
      </c>
      <c r="AE130" s="376" t="s">
        <v>439</v>
      </c>
      <c r="AF130" s="376" t="s">
        <v>236</v>
      </c>
      <c r="AG130" s="376" t="s">
        <v>178</v>
      </c>
      <c r="AH130" s="381">
        <v>20.05</v>
      </c>
      <c r="AI130" s="381">
        <v>14414.1</v>
      </c>
      <c r="AJ130" s="376" t="s">
        <v>179</v>
      </c>
      <c r="AK130" s="376" t="s">
        <v>180</v>
      </c>
      <c r="AL130" s="376" t="s">
        <v>181</v>
      </c>
      <c r="AM130" s="376" t="s">
        <v>182</v>
      </c>
      <c r="AN130" s="376" t="s">
        <v>68</v>
      </c>
      <c r="AO130" s="379">
        <v>80</v>
      </c>
      <c r="AP130" s="460">
        <v>1</v>
      </c>
      <c r="AQ130" s="460">
        <v>1</v>
      </c>
      <c r="AR130" s="458" t="s">
        <v>183</v>
      </c>
      <c r="AS130" s="462">
        <f t="shared" si="17"/>
        <v>1</v>
      </c>
      <c r="AT130">
        <f t="shared" si="18"/>
        <v>1</v>
      </c>
      <c r="AU130" s="462">
        <f>IF(AT130=0,"",IF(AND(AT130=1,M130="F",SUMIF(C2:C391,C130,AS2:AS391)&lt;=1),SUMIF(C2:C391,C130,AS2:AS391),IF(AND(AT130=1,M130="F",SUMIF(C2:C391,C130,AS2:AS391)&gt;1),1,"")))</f>
        <v>1</v>
      </c>
      <c r="AV130" s="462" t="str">
        <f>IF(AT130=0,"",IF(AND(AT130=3,M130="F",SUMIF(C2:C391,C130,AS2:AS391)&lt;=1),SUMIF(C2:C391,C130,AS2:AS391),IF(AND(AT130=3,M130="F",SUMIF(C2:C391,C130,AS2:AS391)&gt;1),1,"")))</f>
        <v/>
      </c>
      <c r="AW130" s="462">
        <f>SUMIF(C2:C391,C130,O2:O391)</f>
        <v>2</v>
      </c>
      <c r="AX130" s="462">
        <f>IF(AND(M130="F",AS130&lt;&gt;0),SUMIF(C2:C391,C130,W2:W391),0)</f>
        <v>41704</v>
      </c>
      <c r="AY130" s="462">
        <f t="shared" si="19"/>
        <v>41704</v>
      </c>
      <c r="AZ130" s="462" t="str">
        <f t="shared" si="20"/>
        <v/>
      </c>
      <c r="BA130" s="462">
        <f t="shared" si="21"/>
        <v>0</v>
      </c>
      <c r="BB130" s="462">
        <f>IF(AND(AT130=1,AK130="E",AU130&gt;=0.75,AW130=1),Health,IF(AND(AT130=1,AK130="E",AU130&gt;=0.75),Health*P130,IF(AND(AT130=1,AK130="E",AU130&gt;=0.5,AW130=1),PTHealth,IF(AND(AT130=1,AK130="E",AU130&gt;=0.5),PTHealth*P130,0))))</f>
        <v>11650</v>
      </c>
      <c r="BC130" s="462">
        <f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462">
        <f>IF(AND(AT130&lt;&gt;0,AX130&gt;=MAXSSDI),SSDI*MAXSSDI*P130,IF(AT130&lt;&gt;0,SSDI*W130,0))</f>
        <v>2585.6480000000001</v>
      </c>
      <c r="BE130" s="462">
        <f>IF(AT130&lt;&gt;0,SSHI*W130,0)</f>
        <v>604.70800000000008</v>
      </c>
      <c r="BF130" s="462">
        <f>IF(AND(AT130&lt;&gt;0,AN130&lt;&gt;"NE"),VLOOKUP(AN130,Retirement_Rates,3,FALSE)*W130,0)</f>
        <v>4979.4576000000006</v>
      </c>
      <c r="BG130" s="462">
        <f>IF(AND(AT130&lt;&gt;0,AJ130&lt;&gt;"PF"),Life*W130,0)</f>
        <v>300.68583999999998</v>
      </c>
      <c r="BH130" s="462">
        <f>IF(AND(AT130&lt;&gt;0,AM130="Y"),UI*W130,0)</f>
        <v>204.34959999999998</v>
      </c>
      <c r="BI130" s="462">
        <f>IF(AND(AT130&lt;&gt;0,N130&lt;&gt;"NR"),DHR*W130,0)</f>
        <v>127.61424</v>
      </c>
      <c r="BJ130" s="462">
        <f>IF(AT130&lt;&gt;0,WC*W130,0)</f>
        <v>1121.8376000000001</v>
      </c>
      <c r="BK130" s="462">
        <f>IF(OR(AND(AT130&lt;&gt;0,AJ130&lt;&gt;"PF",AN130&lt;&gt;"NE",AG130&lt;&gt;"A"),AND(AL130="E",OR(AT130=1,AT130=3))),Sick*W130,0)</f>
        <v>0</v>
      </c>
      <c r="BL130" s="462">
        <f t="shared" si="22"/>
        <v>9924.3008800000025</v>
      </c>
      <c r="BM130" s="462">
        <f t="shared" si="23"/>
        <v>0</v>
      </c>
      <c r="BN130" s="462">
        <f>IF(AND(AT130=1,AK130="E",AU130&gt;=0.75,AW130=1),HealthBY,IF(AND(AT130=1,AK130="E",AU130&gt;=0.75),HealthBY*P130,IF(AND(AT130=1,AK130="E",AU130&gt;=0.5,AW130=1),PTHealthBY,IF(AND(AT130=1,AK130="E",AU130&gt;=0.5),PTHealthBY*P130,0))))</f>
        <v>11650</v>
      </c>
      <c r="BO130" s="462">
        <f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462">
        <f>IF(AND(AT130&lt;&gt;0,(AX130+BA130)&gt;=MAXSSDIBY),SSDIBY*MAXSSDIBY*P130,IF(AT130&lt;&gt;0,SSDIBY*W130,0))</f>
        <v>2585.6480000000001</v>
      </c>
      <c r="BQ130" s="462">
        <f>IF(AT130&lt;&gt;0,SSHIBY*W130,0)</f>
        <v>604.70800000000008</v>
      </c>
      <c r="BR130" s="462">
        <f>IF(AND(AT130&lt;&gt;0,AN130&lt;&gt;"NE"),VLOOKUP(AN130,Retirement_Rates,4,FALSE)*W130,0)</f>
        <v>4979.4576000000006</v>
      </c>
      <c r="BS130" s="462">
        <f>IF(AND(AT130&lt;&gt;0,AJ130&lt;&gt;"PF"),LifeBY*W130,0)</f>
        <v>300.68583999999998</v>
      </c>
      <c r="BT130" s="462">
        <f>IF(AND(AT130&lt;&gt;0,AM130="Y"),UIBY*W130,0)</f>
        <v>0</v>
      </c>
      <c r="BU130" s="462">
        <f>IF(AND(AT130&lt;&gt;0,N130&lt;&gt;"NR"),DHRBY*W130,0)</f>
        <v>127.61424</v>
      </c>
      <c r="BV130" s="462">
        <f>IF(AT130&lt;&gt;0,WCBY*W130,0)</f>
        <v>1447.1288000000002</v>
      </c>
      <c r="BW130" s="462">
        <f>IF(OR(AND(AT130&lt;&gt;0,AJ130&lt;&gt;"PF",AN130&lt;&gt;"NE",AG130&lt;&gt;"A"),AND(AL130="E",OR(AT130=1,AT130=3))),SickBY*W130,0)</f>
        <v>0</v>
      </c>
      <c r="BX130" s="462">
        <f t="shared" si="24"/>
        <v>10045.242480000003</v>
      </c>
      <c r="BY130" s="462">
        <f t="shared" si="25"/>
        <v>0</v>
      </c>
      <c r="BZ130" s="462">
        <f t="shared" si="26"/>
        <v>0</v>
      </c>
      <c r="CA130" s="462">
        <f t="shared" si="27"/>
        <v>0</v>
      </c>
      <c r="CB130" s="462">
        <f t="shared" si="28"/>
        <v>0</v>
      </c>
      <c r="CC130" s="462">
        <f>IF(AT130&lt;&gt;0,SSHICHG*Y130,0)</f>
        <v>0</v>
      </c>
      <c r="CD130" s="462">
        <f>IF(AND(AT130&lt;&gt;0,AN130&lt;&gt;"NE"),VLOOKUP(AN130,Retirement_Rates,5,FALSE)*Y130,0)</f>
        <v>0</v>
      </c>
      <c r="CE130" s="462">
        <f>IF(AND(AT130&lt;&gt;0,AJ130&lt;&gt;"PF"),LifeCHG*Y130,0)</f>
        <v>0</v>
      </c>
      <c r="CF130" s="462">
        <f>IF(AND(AT130&lt;&gt;0,AM130="Y"),UICHG*Y130,0)</f>
        <v>-204.34959999999998</v>
      </c>
      <c r="CG130" s="462">
        <f>IF(AND(AT130&lt;&gt;0,N130&lt;&gt;"NR"),DHRCHG*Y130,0)</f>
        <v>0</v>
      </c>
      <c r="CH130" s="462">
        <f>IF(AT130&lt;&gt;0,WCCHG*Y130,0)</f>
        <v>325.29120000000006</v>
      </c>
      <c r="CI130" s="462">
        <f>IF(OR(AND(AT130&lt;&gt;0,AJ130&lt;&gt;"PF",AN130&lt;&gt;"NE",AG130&lt;&gt;"A"),AND(AL130="E",OR(AT130=1,AT130=3))),SickCHG*Y130,0)</f>
        <v>0</v>
      </c>
      <c r="CJ130" s="462">
        <f t="shared" si="29"/>
        <v>120.94160000000008</v>
      </c>
      <c r="CK130" s="462" t="str">
        <f t="shared" si="30"/>
        <v/>
      </c>
      <c r="CL130" s="462" t="str">
        <f t="shared" si="31"/>
        <v/>
      </c>
      <c r="CM130" s="462" t="str">
        <f t="shared" si="32"/>
        <v/>
      </c>
      <c r="CN130" s="462" t="str">
        <f t="shared" si="33"/>
        <v>0001-00</v>
      </c>
    </row>
    <row r="131" spans="1:92" ht="15" thickBot="1" x14ac:dyDescent="0.35">
      <c r="A131" s="376" t="s">
        <v>161</v>
      </c>
      <c r="B131" s="376" t="s">
        <v>162</v>
      </c>
      <c r="C131" s="376" t="s">
        <v>558</v>
      </c>
      <c r="D131" s="376" t="s">
        <v>460</v>
      </c>
      <c r="E131" s="376" t="s">
        <v>165</v>
      </c>
      <c r="F131" s="377" t="s">
        <v>166</v>
      </c>
      <c r="G131" s="376" t="s">
        <v>432</v>
      </c>
      <c r="H131" s="378"/>
      <c r="I131" s="378"/>
      <c r="J131" s="376" t="s">
        <v>168</v>
      </c>
      <c r="K131" s="376" t="s">
        <v>461</v>
      </c>
      <c r="L131" s="376" t="s">
        <v>240</v>
      </c>
      <c r="M131" s="376" t="s">
        <v>171</v>
      </c>
      <c r="N131" s="376" t="s">
        <v>172</v>
      </c>
      <c r="O131" s="379">
        <v>1</v>
      </c>
      <c r="P131" s="460">
        <v>1</v>
      </c>
      <c r="Q131" s="460">
        <v>1</v>
      </c>
      <c r="R131" s="380">
        <v>80</v>
      </c>
      <c r="S131" s="460">
        <v>1</v>
      </c>
      <c r="T131" s="380">
        <v>48253.61</v>
      </c>
      <c r="U131" s="380">
        <v>0</v>
      </c>
      <c r="V131" s="380">
        <v>22397.59</v>
      </c>
      <c r="W131" s="380">
        <v>49025.599999999999</v>
      </c>
      <c r="X131" s="380">
        <v>23316.58</v>
      </c>
      <c r="Y131" s="380">
        <v>49025.599999999999</v>
      </c>
      <c r="Z131" s="380">
        <v>23458.76</v>
      </c>
      <c r="AA131" s="376" t="s">
        <v>559</v>
      </c>
      <c r="AB131" s="376" t="s">
        <v>560</v>
      </c>
      <c r="AC131" s="376" t="s">
        <v>561</v>
      </c>
      <c r="AD131" s="376" t="s">
        <v>231</v>
      </c>
      <c r="AE131" s="376" t="s">
        <v>461</v>
      </c>
      <c r="AF131" s="376" t="s">
        <v>244</v>
      </c>
      <c r="AG131" s="376" t="s">
        <v>178</v>
      </c>
      <c r="AH131" s="381">
        <v>23.57</v>
      </c>
      <c r="AI131" s="379">
        <v>27290</v>
      </c>
      <c r="AJ131" s="376" t="s">
        <v>179</v>
      </c>
      <c r="AK131" s="376" t="s">
        <v>180</v>
      </c>
      <c r="AL131" s="376" t="s">
        <v>181</v>
      </c>
      <c r="AM131" s="376" t="s">
        <v>182</v>
      </c>
      <c r="AN131" s="376" t="s">
        <v>68</v>
      </c>
      <c r="AO131" s="379">
        <v>80</v>
      </c>
      <c r="AP131" s="460">
        <v>1</v>
      </c>
      <c r="AQ131" s="460">
        <v>1</v>
      </c>
      <c r="AR131" s="458" t="s">
        <v>183</v>
      </c>
      <c r="AS131" s="462">
        <f t="shared" ref="AS131:AS194" si="34">IF(((AO131/80)*AP131*P131)&gt;1,AQ131,((AO131/80)*AP131*P131))</f>
        <v>1</v>
      </c>
      <c r="AT131">
        <f t="shared" ref="AT131:AT194" si="35">IF(AND(M131="F",N131&lt;&gt;"NG",AS131&lt;&gt;0,AND(AR131&lt;&gt;6,AR131&lt;&gt;36,AR131&lt;&gt;56),AG131&lt;&gt;"A",OR(AG131="H",AJ131="FS")),1,IF(AND(M131="F",N131&lt;&gt;"NG",AS131&lt;&gt;0,AG131="A"),3,0))</f>
        <v>1</v>
      </c>
      <c r="AU131" s="462">
        <f>IF(AT131=0,"",IF(AND(AT131=1,M131="F",SUMIF(C2:C391,C131,AS2:AS391)&lt;=1),SUMIF(C2:C391,C131,AS2:AS391),IF(AND(AT131=1,M131="F",SUMIF(C2:C391,C131,AS2:AS391)&gt;1),1,"")))</f>
        <v>1</v>
      </c>
      <c r="AV131" s="462" t="str">
        <f>IF(AT131=0,"",IF(AND(AT131=3,M131="F",SUMIF(C2:C391,C131,AS2:AS391)&lt;=1),SUMIF(C2:C391,C131,AS2:AS391),IF(AND(AT131=3,M131="F",SUMIF(C2:C391,C131,AS2:AS391)&gt;1),1,"")))</f>
        <v/>
      </c>
      <c r="AW131" s="462">
        <f>SUMIF(C2:C391,C131,O2:O391)</f>
        <v>1</v>
      </c>
      <c r="AX131" s="462">
        <f>IF(AND(M131="F",AS131&lt;&gt;0),SUMIF(C2:C391,C131,W2:W391),0)</f>
        <v>49025.599999999999</v>
      </c>
      <c r="AY131" s="462">
        <f t="shared" ref="AY131:AY194" si="36">IF(AT131=1,W131,"")</f>
        <v>49025.599999999999</v>
      </c>
      <c r="AZ131" s="462" t="str">
        <f t="shared" ref="AZ131:AZ194" si="37">IF(AT131=3,W131,"")</f>
        <v/>
      </c>
      <c r="BA131" s="462">
        <f t="shared" ref="BA131:BA194" si="38">IF(AT131=1,Y131-W131,0)</f>
        <v>0</v>
      </c>
      <c r="BB131" s="462">
        <f>IF(AND(AT131=1,AK131="E",AU131&gt;=0.75,AW131=1),Health,IF(AND(AT131=1,AK131="E",AU131&gt;=0.75),Health*P131,IF(AND(AT131=1,AK131="E",AU131&gt;=0.5,AW131=1),PTHealth,IF(AND(AT131=1,AK131="E",AU131&gt;=0.5),PTHealth*P131,0))))</f>
        <v>11650</v>
      </c>
      <c r="BC131" s="462">
        <f>IF(AND(AT131=3,AK131="E",AV131&gt;=0.75,AW131=1),Health,IF(AND(AT131=3,AK131="E",AV131&gt;=0.75),Health*P131,IF(AND(AT131=3,AK131="E",AV131&gt;=0.5,AW131=1),PTHealth,IF(AND(AT131=3,AK131="E",AV131&gt;=0.5),PTHealth*P131,0))))</f>
        <v>0</v>
      </c>
      <c r="BD131" s="462">
        <f>IF(AND(AT131&lt;&gt;0,AX131&gt;=MAXSSDI),SSDI*MAXSSDI*P131,IF(AT131&lt;&gt;0,SSDI*W131,0))</f>
        <v>3039.5871999999999</v>
      </c>
      <c r="BE131" s="462">
        <f>IF(AT131&lt;&gt;0,SSHI*W131,0)</f>
        <v>710.87120000000004</v>
      </c>
      <c r="BF131" s="462">
        <f>IF(AND(AT131&lt;&gt;0,AN131&lt;&gt;"NE"),VLOOKUP(AN131,Retirement_Rates,3,FALSE)*W131,0)</f>
        <v>5853.6566400000002</v>
      </c>
      <c r="BG131" s="462">
        <f>IF(AND(AT131&lt;&gt;0,AJ131&lt;&gt;"PF"),Life*W131,0)</f>
        <v>353.47457600000001</v>
      </c>
      <c r="BH131" s="462">
        <f>IF(AND(AT131&lt;&gt;0,AM131="Y"),UI*W131,0)</f>
        <v>240.22543999999999</v>
      </c>
      <c r="BI131" s="462">
        <f>IF(AND(AT131&lt;&gt;0,N131&lt;&gt;"NR"),DHR*W131,0)</f>
        <v>150.01833599999998</v>
      </c>
      <c r="BJ131" s="462">
        <f>IF(AT131&lt;&gt;0,WC*W131,0)</f>
        <v>1318.78864</v>
      </c>
      <c r="BK131" s="462">
        <f>IF(OR(AND(AT131&lt;&gt;0,AJ131&lt;&gt;"PF",AN131&lt;&gt;"NE",AG131&lt;&gt;"A"),AND(AL131="E",OR(AT131=1,AT131=3))),Sick*W131,0)</f>
        <v>0</v>
      </c>
      <c r="BL131" s="462">
        <f t="shared" ref="BL131:BL194" si="39">IF(AT131=1,SUM(BD131:BK131),0)</f>
        <v>11666.622032000001</v>
      </c>
      <c r="BM131" s="462">
        <f t="shared" ref="BM131:BM194" si="40">IF(AT131=3,SUM(BD131:BK131),0)</f>
        <v>0</v>
      </c>
      <c r="BN131" s="462">
        <f>IF(AND(AT131=1,AK131="E",AU131&gt;=0.75,AW131=1),HealthBY,IF(AND(AT131=1,AK131="E",AU131&gt;=0.75),HealthBY*P131,IF(AND(AT131=1,AK131="E",AU131&gt;=0.5,AW131=1),PTHealthBY,IF(AND(AT131=1,AK131="E",AU131&gt;=0.5),PTHealthBY*P131,0))))</f>
        <v>11650</v>
      </c>
      <c r="BO131" s="462">
        <f>IF(AND(AT131=3,AK131="E",AV131&gt;=0.75,AW131=1),HealthBY,IF(AND(AT131=3,AK131="E",AV131&gt;=0.75),HealthBY*P131,IF(AND(AT131=3,AK131="E",AV131&gt;=0.5,AW131=1),PTHealthBY,IF(AND(AT131=3,AK131="E",AV131&gt;=0.5),PTHealthBY*P131,0))))</f>
        <v>0</v>
      </c>
      <c r="BP131" s="462">
        <f>IF(AND(AT131&lt;&gt;0,(AX131+BA131)&gt;=MAXSSDIBY),SSDIBY*MAXSSDIBY*P131,IF(AT131&lt;&gt;0,SSDIBY*W131,0))</f>
        <v>3039.5871999999999</v>
      </c>
      <c r="BQ131" s="462">
        <f>IF(AT131&lt;&gt;0,SSHIBY*W131,0)</f>
        <v>710.87120000000004</v>
      </c>
      <c r="BR131" s="462">
        <f>IF(AND(AT131&lt;&gt;0,AN131&lt;&gt;"NE"),VLOOKUP(AN131,Retirement_Rates,4,FALSE)*W131,0)</f>
        <v>5853.6566400000002</v>
      </c>
      <c r="BS131" s="462">
        <f>IF(AND(AT131&lt;&gt;0,AJ131&lt;&gt;"PF"),LifeBY*W131,0)</f>
        <v>353.47457600000001</v>
      </c>
      <c r="BT131" s="462">
        <f>IF(AND(AT131&lt;&gt;0,AM131="Y"),UIBY*W131,0)</f>
        <v>0</v>
      </c>
      <c r="BU131" s="462">
        <f>IF(AND(AT131&lt;&gt;0,N131&lt;&gt;"NR"),DHRBY*W131,0)</f>
        <v>150.01833599999998</v>
      </c>
      <c r="BV131" s="462">
        <f>IF(AT131&lt;&gt;0,WCBY*W131,0)</f>
        <v>1701.18832</v>
      </c>
      <c r="BW131" s="462">
        <f>IF(OR(AND(AT131&lt;&gt;0,AJ131&lt;&gt;"PF",AN131&lt;&gt;"NE",AG131&lt;&gt;"A"),AND(AL131="E",OR(AT131=1,AT131=3))),SickBY*W131,0)</f>
        <v>0</v>
      </c>
      <c r="BX131" s="462">
        <f t="shared" ref="BX131:BX194" si="41">IF(AT131=1,SUM(BP131:BW131),0)</f>
        <v>11808.796272</v>
      </c>
      <c r="BY131" s="462">
        <f t="shared" ref="BY131:BY194" si="42">IF(AT131=3,SUM(BP131:BW131),0)</f>
        <v>0</v>
      </c>
      <c r="BZ131" s="462">
        <f t="shared" ref="BZ131:BZ194" si="43">IF(AT131=1,BN131-BB131,0)</f>
        <v>0</v>
      </c>
      <c r="CA131" s="462">
        <f t="shared" ref="CA131:CA194" si="44">IF(AT131=3,BO131-BC131,0)</f>
        <v>0</v>
      </c>
      <c r="CB131" s="462">
        <f t="shared" ref="CB131:CB194" si="45">BP131-BD131</f>
        <v>0</v>
      </c>
      <c r="CC131" s="462">
        <f>IF(AT131&lt;&gt;0,SSHICHG*Y131,0)</f>
        <v>0</v>
      </c>
      <c r="CD131" s="462">
        <f>IF(AND(AT131&lt;&gt;0,AN131&lt;&gt;"NE"),VLOOKUP(AN131,Retirement_Rates,5,FALSE)*Y131,0)</f>
        <v>0</v>
      </c>
      <c r="CE131" s="462">
        <f>IF(AND(AT131&lt;&gt;0,AJ131&lt;&gt;"PF"),LifeCHG*Y131,0)</f>
        <v>0</v>
      </c>
      <c r="CF131" s="462">
        <f>IF(AND(AT131&lt;&gt;0,AM131="Y"),UICHG*Y131,0)</f>
        <v>-240.22543999999999</v>
      </c>
      <c r="CG131" s="462">
        <f>IF(AND(AT131&lt;&gt;0,N131&lt;&gt;"NR"),DHRCHG*Y131,0)</f>
        <v>0</v>
      </c>
      <c r="CH131" s="462">
        <f>IF(AT131&lt;&gt;0,WCCHG*Y131,0)</f>
        <v>382.39968000000005</v>
      </c>
      <c r="CI131" s="462">
        <f>IF(OR(AND(AT131&lt;&gt;0,AJ131&lt;&gt;"PF",AN131&lt;&gt;"NE",AG131&lt;&gt;"A"),AND(AL131="E",OR(AT131=1,AT131=3))),SickCHG*Y131,0)</f>
        <v>0</v>
      </c>
      <c r="CJ131" s="462">
        <f t="shared" ref="CJ131:CJ194" si="46">IF(AT131=1,SUM(CB131:CI131),0)</f>
        <v>142.17424000000005</v>
      </c>
      <c r="CK131" s="462" t="str">
        <f t="shared" ref="CK131:CK194" si="47">IF(AT131=3,SUM(CB131:CI131),"")</f>
        <v/>
      </c>
      <c r="CL131" s="462" t="str">
        <f t="shared" ref="CL131:CL194" si="48">IF(OR(N131="NG",AG131="D"),(T131+U131),"")</f>
        <v/>
      </c>
      <c r="CM131" s="462" t="str">
        <f t="shared" ref="CM131:CM194" si="49">IF(OR(N131="NG",AG131="D"),V131,"")</f>
        <v/>
      </c>
      <c r="CN131" s="462" t="str">
        <f t="shared" ref="CN131:CN194" si="50">E131 &amp; "-" &amp; F131</f>
        <v>0001-00</v>
      </c>
    </row>
    <row r="132" spans="1:92" ht="15" thickBot="1" x14ac:dyDescent="0.35">
      <c r="A132" s="376" t="s">
        <v>161</v>
      </c>
      <c r="B132" s="376" t="s">
        <v>162</v>
      </c>
      <c r="C132" s="376" t="s">
        <v>562</v>
      </c>
      <c r="D132" s="376" t="s">
        <v>438</v>
      </c>
      <c r="E132" s="376" t="s">
        <v>165</v>
      </c>
      <c r="F132" s="377" t="s">
        <v>166</v>
      </c>
      <c r="G132" s="376" t="s">
        <v>432</v>
      </c>
      <c r="H132" s="378"/>
      <c r="I132" s="378"/>
      <c r="J132" s="376" t="s">
        <v>168</v>
      </c>
      <c r="K132" s="376" t="s">
        <v>439</v>
      </c>
      <c r="L132" s="376" t="s">
        <v>231</v>
      </c>
      <c r="M132" s="376" t="s">
        <v>225</v>
      </c>
      <c r="N132" s="376" t="s">
        <v>172</v>
      </c>
      <c r="O132" s="379">
        <v>0</v>
      </c>
      <c r="P132" s="460">
        <v>1</v>
      </c>
      <c r="Q132" s="460">
        <v>0.5</v>
      </c>
      <c r="R132" s="380">
        <v>40</v>
      </c>
      <c r="S132" s="460">
        <v>0.25</v>
      </c>
      <c r="T132" s="380">
        <v>0</v>
      </c>
      <c r="U132" s="380">
        <v>0</v>
      </c>
      <c r="V132" s="380">
        <v>0</v>
      </c>
      <c r="W132" s="380">
        <v>10582</v>
      </c>
      <c r="X132" s="380">
        <v>4634.91</v>
      </c>
      <c r="Y132" s="380">
        <v>10582</v>
      </c>
      <c r="Z132" s="380">
        <v>4582</v>
      </c>
      <c r="AA132" s="378"/>
      <c r="AB132" s="376" t="s">
        <v>45</v>
      </c>
      <c r="AC132" s="376" t="s">
        <v>45</v>
      </c>
      <c r="AD132" s="378"/>
      <c r="AE132" s="378"/>
      <c r="AF132" s="378"/>
      <c r="AG132" s="378"/>
      <c r="AH132" s="379">
        <v>0</v>
      </c>
      <c r="AI132" s="379">
        <v>0</v>
      </c>
      <c r="AJ132" s="378"/>
      <c r="AK132" s="378"/>
      <c r="AL132" s="376" t="s">
        <v>181</v>
      </c>
      <c r="AM132" s="378"/>
      <c r="AN132" s="378"/>
      <c r="AO132" s="379">
        <v>0</v>
      </c>
      <c r="AP132" s="460">
        <v>0</v>
      </c>
      <c r="AQ132" s="460">
        <v>0</v>
      </c>
      <c r="AR132" s="459"/>
      <c r="AS132" s="462">
        <f t="shared" si="34"/>
        <v>0</v>
      </c>
      <c r="AT132">
        <f t="shared" si="35"/>
        <v>0</v>
      </c>
      <c r="AU132" s="462" t="str">
        <f>IF(AT132=0,"",IF(AND(AT132=1,M132="F",SUMIF(C2:C391,C132,AS2:AS391)&lt;=1),SUMIF(C2:C391,C132,AS2:AS391),IF(AND(AT132=1,M132="F",SUMIF(C2:C391,C132,AS2:AS391)&gt;1),1,"")))</f>
        <v/>
      </c>
      <c r="AV132" s="462" t="str">
        <f>IF(AT132=0,"",IF(AND(AT132=3,M132="F",SUMIF(C2:C391,C132,AS2:AS391)&lt;=1),SUMIF(C2:C391,C132,AS2:AS391),IF(AND(AT132=3,M132="F",SUMIF(C2:C391,C132,AS2:AS391)&gt;1),1,"")))</f>
        <v/>
      </c>
      <c r="AW132" s="462">
        <f>SUMIF(C2:C391,C132,O2:O391)</f>
        <v>0</v>
      </c>
      <c r="AX132" s="462">
        <f>IF(AND(M132="F",AS132&lt;&gt;0),SUMIF(C2:C391,C132,W2:W391),0)</f>
        <v>0</v>
      </c>
      <c r="AY132" s="462" t="str">
        <f t="shared" si="36"/>
        <v/>
      </c>
      <c r="AZ132" s="462" t="str">
        <f t="shared" si="37"/>
        <v/>
      </c>
      <c r="BA132" s="462">
        <f t="shared" si="38"/>
        <v>0</v>
      </c>
      <c r="BB132" s="462">
        <f>IF(AND(AT132=1,AK132="E",AU132&gt;=0.75,AW132=1),Health,IF(AND(AT132=1,AK132="E",AU132&gt;=0.75),Health*P132,IF(AND(AT132=1,AK132="E",AU132&gt;=0.5,AW132=1),PTHealth,IF(AND(AT132=1,AK132="E",AU132&gt;=0.5),PTHealth*P132,0))))</f>
        <v>0</v>
      </c>
      <c r="BC132" s="462">
        <f>IF(AND(AT132=3,AK132="E",AV132&gt;=0.75,AW132=1),Health,IF(AND(AT132=3,AK132="E",AV132&gt;=0.75),Health*P132,IF(AND(AT132=3,AK132="E",AV132&gt;=0.5,AW132=1),PTHealth,IF(AND(AT132=3,AK132="E",AV132&gt;=0.5),PTHealth*P132,0))))</f>
        <v>0</v>
      </c>
      <c r="BD132" s="462">
        <f>IF(AND(AT132&lt;&gt;0,AX132&gt;=MAXSSDI),SSDI*MAXSSDI*P132,IF(AT132&lt;&gt;0,SSDI*W132,0))</f>
        <v>0</v>
      </c>
      <c r="BE132" s="462">
        <f>IF(AT132&lt;&gt;0,SSHI*W132,0)</f>
        <v>0</v>
      </c>
      <c r="BF132" s="462">
        <f>IF(AND(AT132&lt;&gt;0,AN132&lt;&gt;"NE"),VLOOKUP(AN132,Retirement_Rates,3,FALSE)*W132,0)</f>
        <v>0</v>
      </c>
      <c r="BG132" s="462">
        <f>IF(AND(AT132&lt;&gt;0,AJ132&lt;&gt;"PF"),Life*W132,0)</f>
        <v>0</v>
      </c>
      <c r="BH132" s="462">
        <f>IF(AND(AT132&lt;&gt;0,AM132="Y"),UI*W132,0)</f>
        <v>0</v>
      </c>
      <c r="BI132" s="462">
        <f>IF(AND(AT132&lt;&gt;0,N132&lt;&gt;"NR"),DHR*W132,0)</f>
        <v>0</v>
      </c>
      <c r="BJ132" s="462">
        <f>IF(AT132&lt;&gt;0,WC*W132,0)</f>
        <v>0</v>
      </c>
      <c r="BK132" s="462">
        <f>IF(OR(AND(AT132&lt;&gt;0,AJ132&lt;&gt;"PF",AN132&lt;&gt;"NE",AG132&lt;&gt;"A"),AND(AL132="E",OR(AT132=1,AT132=3))),Sick*W132,0)</f>
        <v>0</v>
      </c>
      <c r="BL132" s="462">
        <f t="shared" si="39"/>
        <v>0</v>
      </c>
      <c r="BM132" s="462">
        <f t="shared" si="40"/>
        <v>0</v>
      </c>
      <c r="BN132" s="462">
        <f>IF(AND(AT132=1,AK132="E",AU132&gt;=0.75,AW132=1),HealthBY,IF(AND(AT132=1,AK132="E",AU132&gt;=0.75),HealthBY*P132,IF(AND(AT132=1,AK132="E",AU132&gt;=0.5,AW132=1),PTHealthBY,IF(AND(AT132=1,AK132="E",AU132&gt;=0.5),PTHealthBY*P132,0))))</f>
        <v>0</v>
      </c>
      <c r="BO132" s="462">
        <f>IF(AND(AT132=3,AK132="E",AV132&gt;=0.75,AW132=1),HealthBY,IF(AND(AT132=3,AK132="E",AV132&gt;=0.75),HealthBY*P132,IF(AND(AT132=3,AK132="E",AV132&gt;=0.5,AW132=1),PTHealthBY,IF(AND(AT132=3,AK132="E",AV132&gt;=0.5),PTHealthBY*P132,0))))</f>
        <v>0</v>
      </c>
      <c r="BP132" s="462">
        <f>IF(AND(AT132&lt;&gt;0,(AX132+BA132)&gt;=MAXSSDIBY),SSDIBY*MAXSSDIBY*P132,IF(AT132&lt;&gt;0,SSDIBY*W132,0))</f>
        <v>0</v>
      </c>
      <c r="BQ132" s="462">
        <f>IF(AT132&lt;&gt;0,SSHIBY*W132,0)</f>
        <v>0</v>
      </c>
      <c r="BR132" s="462">
        <f>IF(AND(AT132&lt;&gt;0,AN132&lt;&gt;"NE"),VLOOKUP(AN132,Retirement_Rates,4,FALSE)*W132,0)</f>
        <v>0</v>
      </c>
      <c r="BS132" s="462">
        <f>IF(AND(AT132&lt;&gt;0,AJ132&lt;&gt;"PF"),LifeBY*W132,0)</f>
        <v>0</v>
      </c>
      <c r="BT132" s="462">
        <f>IF(AND(AT132&lt;&gt;0,AM132="Y"),UIBY*W132,0)</f>
        <v>0</v>
      </c>
      <c r="BU132" s="462">
        <f>IF(AND(AT132&lt;&gt;0,N132&lt;&gt;"NR"),DHRBY*W132,0)</f>
        <v>0</v>
      </c>
      <c r="BV132" s="462">
        <f>IF(AT132&lt;&gt;0,WCBY*W132,0)</f>
        <v>0</v>
      </c>
      <c r="BW132" s="462">
        <f>IF(OR(AND(AT132&lt;&gt;0,AJ132&lt;&gt;"PF",AN132&lt;&gt;"NE",AG132&lt;&gt;"A"),AND(AL132="E",OR(AT132=1,AT132=3))),SickBY*W132,0)</f>
        <v>0</v>
      </c>
      <c r="BX132" s="462">
        <f t="shared" si="41"/>
        <v>0</v>
      </c>
      <c r="BY132" s="462">
        <f t="shared" si="42"/>
        <v>0</v>
      </c>
      <c r="BZ132" s="462">
        <f t="shared" si="43"/>
        <v>0</v>
      </c>
      <c r="CA132" s="462">
        <f t="shared" si="44"/>
        <v>0</v>
      </c>
      <c r="CB132" s="462">
        <f t="shared" si="45"/>
        <v>0</v>
      </c>
      <c r="CC132" s="462">
        <f>IF(AT132&lt;&gt;0,SSHICHG*Y132,0)</f>
        <v>0</v>
      </c>
      <c r="CD132" s="462">
        <f>IF(AND(AT132&lt;&gt;0,AN132&lt;&gt;"NE"),VLOOKUP(AN132,Retirement_Rates,5,FALSE)*Y132,0)</f>
        <v>0</v>
      </c>
      <c r="CE132" s="462">
        <f>IF(AND(AT132&lt;&gt;0,AJ132&lt;&gt;"PF"),LifeCHG*Y132,0)</f>
        <v>0</v>
      </c>
      <c r="CF132" s="462">
        <f>IF(AND(AT132&lt;&gt;0,AM132="Y"),UICHG*Y132,0)</f>
        <v>0</v>
      </c>
      <c r="CG132" s="462">
        <f>IF(AND(AT132&lt;&gt;0,N132&lt;&gt;"NR"),DHRCHG*Y132,0)</f>
        <v>0</v>
      </c>
      <c r="CH132" s="462">
        <f>IF(AT132&lt;&gt;0,WCCHG*Y132,0)</f>
        <v>0</v>
      </c>
      <c r="CI132" s="462">
        <f>IF(OR(AND(AT132&lt;&gt;0,AJ132&lt;&gt;"PF",AN132&lt;&gt;"NE",AG132&lt;&gt;"A"),AND(AL132="E",OR(AT132=1,AT132=3))),SickCHG*Y132,0)</f>
        <v>0</v>
      </c>
      <c r="CJ132" s="462">
        <f t="shared" si="46"/>
        <v>0</v>
      </c>
      <c r="CK132" s="462" t="str">
        <f t="shared" si="47"/>
        <v/>
      </c>
      <c r="CL132" s="462" t="str">
        <f t="shared" si="48"/>
        <v/>
      </c>
      <c r="CM132" s="462" t="str">
        <f t="shared" si="49"/>
        <v/>
      </c>
      <c r="CN132" s="462" t="str">
        <f t="shared" si="50"/>
        <v>0001-00</v>
      </c>
    </row>
    <row r="133" spans="1:92" ht="15" thickBot="1" x14ac:dyDescent="0.35">
      <c r="A133" s="376" t="s">
        <v>161</v>
      </c>
      <c r="B133" s="376" t="s">
        <v>162</v>
      </c>
      <c r="C133" s="376" t="s">
        <v>563</v>
      </c>
      <c r="D133" s="376" t="s">
        <v>438</v>
      </c>
      <c r="E133" s="376" t="s">
        <v>165</v>
      </c>
      <c r="F133" s="377" t="s">
        <v>166</v>
      </c>
      <c r="G133" s="376" t="s">
        <v>432</v>
      </c>
      <c r="H133" s="378"/>
      <c r="I133" s="378"/>
      <c r="J133" s="376" t="s">
        <v>168</v>
      </c>
      <c r="K133" s="376" t="s">
        <v>439</v>
      </c>
      <c r="L133" s="376" t="s">
        <v>231</v>
      </c>
      <c r="M133" s="376" t="s">
        <v>171</v>
      </c>
      <c r="N133" s="376" t="s">
        <v>172</v>
      </c>
      <c r="O133" s="379">
        <v>1</v>
      </c>
      <c r="P133" s="460">
        <v>1</v>
      </c>
      <c r="Q133" s="460">
        <v>1</v>
      </c>
      <c r="R133" s="380">
        <v>80</v>
      </c>
      <c r="S133" s="460">
        <v>1</v>
      </c>
      <c r="T133" s="380">
        <v>31670.71</v>
      </c>
      <c r="U133" s="380">
        <v>0</v>
      </c>
      <c r="V133" s="380">
        <v>19291.650000000001</v>
      </c>
      <c r="W133" s="380">
        <v>40892.800000000003</v>
      </c>
      <c r="X133" s="380">
        <v>21381.23</v>
      </c>
      <c r="Y133" s="380">
        <v>40892.800000000003</v>
      </c>
      <c r="Z133" s="380">
        <v>21499.83</v>
      </c>
      <c r="AA133" s="376" t="s">
        <v>564</v>
      </c>
      <c r="AB133" s="376" t="s">
        <v>565</v>
      </c>
      <c r="AC133" s="376" t="s">
        <v>566</v>
      </c>
      <c r="AD133" s="376" t="s">
        <v>176</v>
      </c>
      <c r="AE133" s="376" t="s">
        <v>439</v>
      </c>
      <c r="AF133" s="376" t="s">
        <v>236</v>
      </c>
      <c r="AG133" s="376" t="s">
        <v>178</v>
      </c>
      <c r="AH133" s="381">
        <v>19.66</v>
      </c>
      <c r="AI133" s="381">
        <v>6736.9</v>
      </c>
      <c r="AJ133" s="376" t="s">
        <v>179</v>
      </c>
      <c r="AK133" s="376" t="s">
        <v>180</v>
      </c>
      <c r="AL133" s="376" t="s">
        <v>181</v>
      </c>
      <c r="AM133" s="376" t="s">
        <v>182</v>
      </c>
      <c r="AN133" s="376" t="s">
        <v>68</v>
      </c>
      <c r="AO133" s="379">
        <v>80</v>
      </c>
      <c r="AP133" s="460">
        <v>1</v>
      </c>
      <c r="AQ133" s="460">
        <v>1</v>
      </c>
      <c r="AR133" s="458" t="s">
        <v>183</v>
      </c>
      <c r="AS133" s="462">
        <f t="shared" si="34"/>
        <v>1</v>
      </c>
      <c r="AT133">
        <f t="shared" si="35"/>
        <v>1</v>
      </c>
      <c r="AU133" s="462">
        <f>IF(AT133=0,"",IF(AND(AT133=1,M133="F",SUMIF(C2:C391,C133,AS2:AS391)&lt;=1),SUMIF(C2:C391,C133,AS2:AS391),IF(AND(AT133=1,M133="F",SUMIF(C2:C391,C133,AS2:AS391)&gt;1),1,"")))</f>
        <v>1</v>
      </c>
      <c r="AV133" s="462" t="str">
        <f>IF(AT133=0,"",IF(AND(AT133=3,M133="F",SUMIF(C2:C391,C133,AS2:AS391)&lt;=1),SUMIF(C2:C391,C133,AS2:AS391),IF(AND(AT133=3,M133="F",SUMIF(C2:C391,C133,AS2:AS391)&gt;1),1,"")))</f>
        <v/>
      </c>
      <c r="AW133" s="462">
        <f>SUMIF(C2:C391,C133,O2:O391)</f>
        <v>1</v>
      </c>
      <c r="AX133" s="462">
        <f>IF(AND(M133="F",AS133&lt;&gt;0),SUMIF(C2:C391,C133,W2:W391),0)</f>
        <v>40892.800000000003</v>
      </c>
      <c r="AY133" s="462">
        <f t="shared" si="36"/>
        <v>40892.800000000003</v>
      </c>
      <c r="AZ133" s="462" t="str">
        <f t="shared" si="37"/>
        <v/>
      </c>
      <c r="BA133" s="462">
        <f t="shared" si="38"/>
        <v>0</v>
      </c>
      <c r="BB133" s="462">
        <f>IF(AND(AT133=1,AK133="E",AU133&gt;=0.75,AW133=1),Health,IF(AND(AT133=1,AK133="E",AU133&gt;=0.75),Health*P133,IF(AND(AT133=1,AK133="E",AU133&gt;=0.5,AW133=1),PTHealth,IF(AND(AT133=1,AK133="E",AU133&gt;=0.5),PTHealth*P133,0))))</f>
        <v>11650</v>
      </c>
      <c r="BC133" s="462">
        <f>IF(AND(AT133=3,AK133="E",AV133&gt;=0.75,AW133=1),Health,IF(AND(AT133=3,AK133="E",AV133&gt;=0.75),Health*P133,IF(AND(AT133=3,AK133="E",AV133&gt;=0.5,AW133=1),PTHealth,IF(AND(AT133=3,AK133="E",AV133&gt;=0.5),PTHealth*P133,0))))</f>
        <v>0</v>
      </c>
      <c r="BD133" s="462">
        <f>IF(AND(AT133&lt;&gt;0,AX133&gt;=MAXSSDI),SSDI*MAXSSDI*P133,IF(AT133&lt;&gt;0,SSDI*W133,0))</f>
        <v>2535.3536000000004</v>
      </c>
      <c r="BE133" s="462">
        <f>IF(AT133&lt;&gt;0,SSHI*W133,0)</f>
        <v>592.94560000000013</v>
      </c>
      <c r="BF133" s="462">
        <f>IF(AND(AT133&lt;&gt;0,AN133&lt;&gt;"NE"),VLOOKUP(AN133,Retirement_Rates,3,FALSE)*W133,0)</f>
        <v>4882.6003200000005</v>
      </c>
      <c r="BG133" s="462">
        <f>IF(AND(AT133&lt;&gt;0,AJ133&lt;&gt;"PF"),Life*W133,0)</f>
        <v>294.83708800000005</v>
      </c>
      <c r="BH133" s="462">
        <f>IF(AND(AT133&lt;&gt;0,AM133="Y"),UI*W133,0)</f>
        <v>200.37472</v>
      </c>
      <c r="BI133" s="462">
        <f>IF(AND(AT133&lt;&gt;0,N133&lt;&gt;"NR"),DHR*W133,0)</f>
        <v>125.131968</v>
      </c>
      <c r="BJ133" s="462">
        <f>IF(AT133&lt;&gt;0,WC*W133,0)</f>
        <v>1100.0163200000002</v>
      </c>
      <c r="BK133" s="462">
        <f>IF(OR(AND(AT133&lt;&gt;0,AJ133&lt;&gt;"PF",AN133&lt;&gt;"NE",AG133&lt;&gt;"A"),AND(AL133="E",OR(AT133=1,AT133=3))),Sick*W133,0)</f>
        <v>0</v>
      </c>
      <c r="BL133" s="462">
        <f t="shared" si="39"/>
        <v>9731.2596160000012</v>
      </c>
      <c r="BM133" s="462">
        <f t="shared" si="40"/>
        <v>0</v>
      </c>
      <c r="BN133" s="462">
        <f>IF(AND(AT133=1,AK133="E",AU133&gt;=0.75,AW133=1),HealthBY,IF(AND(AT133=1,AK133="E",AU133&gt;=0.75),HealthBY*P133,IF(AND(AT133=1,AK133="E",AU133&gt;=0.5,AW133=1),PTHealthBY,IF(AND(AT133=1,AK133="E",AU133&gt;=0.5),PTHealthBY*P133,0))))</f>
        <v>11650</v>
      </c>
      <c r="BO133" s="462">
        <f>IF(AND(AT133=3,AK133="E",AV133&gt;=0.75,AW133=1),HealthBY,IF(AND(AT133=3,AK133="E",AV133&gt;=0.75),HealthBY*P133,IF(AND(AT133=3,AK133="E",AV133&gt;=0.5,AW133=1),PTHealthBY,IF(AND(AT133=3,AK133="E",AV133&gt;=0.5),PTHealthBY*P133,0))))</f>
        <v>0</v>
      </c>
      <c r="BP133" s="462">
        <f>IF(AND(AT133&lt;&gt;0,(AX133+BA133)&gt;=MAXSSDIBY),SSDIBY*MAXSSDIBY*P133,IF(AT133&lt;&gt;0,SSDIBY*W133,0))</f>
        <v>2535.3536000000004</v>
      </c>
      <c r="BQ133" s="462">
        <f>IF(AT133&lt;&gt;0,SSHIBY*W133,0)</f>
        <v>592.94560000000013</v>
      </c>
      <c r="BR133" s="462">
        <f>IF(AND(AT133&lt;&gt;0,AN133&lt;&gt;"NE"),VLOOKUP(AN133,Retirement_Rates,4,FALSE)*W133,0)</f>
        <v>4882.6003200000005</v>
      </c>
      <c r="BS133" s="462">
        <f>IF(AND(AT133&lt;&gt;0,AJ133&lt;&gt;"PF"),LifeBY*W133,0)</f>
        <v>294.83708800000005</v>
      </c>
      <c r="BT133" s="462">
        <f>IF(AND(AT133&lt;&gt;0,AM133="Y"),UIBY*W133,0)</f>
        <v>0</v>
      </c>
      <c r="BU133" s="462">
        <f>IF(AND(AT133&lt;&gt;0,N133&lt;&gt;"NR"),DHRBY*W133,0)</f>
        <v>125.131968</v>
      </c>
      <c r="BV133" s="462">
        <f>IF(AT133&lt;&gt;0,WCBY*W133,0)</f>
        <v>1418.9801600000001</v>
      </c>
      <c r="BW133" s="462">
        <f>IF(OR(AND(AT133&lt;&gt;0,AJ133&lt;&gt;"PF",AN133&lt;&gt;"NE",AG133&lt;&gt;"A"),AND(AL133="E",OR(AT133=1,AT133=3))),SickBY*W133,0)</f>
        <v>0</v>
      </c>
      <c r="BX133" s="462">
        <f t="shared" si="41"/>
        <v>9849.8487359999999</v>
      </c>
      <c r="BY133" s="462">
        <f t="shared" si="42"/>
        <v>0</v>
      </c>
      <c r="BZ133" s="462">
        <f t="shared" si="43"/>
        <v>0</v>
      </c>
      <c r="CA133" s="462">
        <f t="shared" si="44"/>
        <v>0</v>
      </c>
      <c r="CB133" s="462">
        <f t="shared" si="45"/>
        <v>0</v>
      </c>
      <c r="CC133" s="462">
        <f>IF(AT133&lt;&gt;0,SSHICHG*Y133,0)</f>
        <v>0</v>
      </c>
      <c r="CD133" s="462">
        <f>IF(AND(AT133&lt;&gt;0,AN133&lt;&gt;"NE"),VLOOKUP(AN133,Retirement_Rates,5,FALSE)*Y133,0)</f>
        <v>0</v>
      </c>
      <c r="CE133" s="462">
        <f>IF(AND(AT133&lt;&gt;0,AJ133&lt;&gt;"PF"),LifeCHG*Y133,0)</f>
        <v>0</v>
      </c>
      <c r="CF133" s="462">
        <f>IF(AND(AT133&lt;&gt;0,AM133="Y"),UICHG*Y133,0)</f>
        <v>-200.37472</v>
      </c>
      <c r="CG133" s="462">
        <f>IF(AND(AT133&lt;&gt;0,N133&lt;&gt;"NR"),DHRCHG*Y133,0)</f>
        <v>0</v>
      </c>
      <c r="CH133" s="462">
        <f>IF(AT133&lt;&gt;0,WCCHG*Y133,0)</f>
        <v>318.96384000000006</v>
      </c>
      <c r="CI133" s="462">
        <f>IF(OR(AND(AT133&lt;&gt;0,AJ133&lt;&gt;"PF",AN133&lt;&gt;"NE",AG133&lt;&gt;"A"),AND(AL133="E",OR(AT133=1,AT133=3))),SickCHG*Y133,0)</f>
        <v>0</v>
      </c>
      <c r="CJ133" s="462">
        <f t="shared" si="46"/>
        <v>118.58912000000007</v>
      </c>
      <c r="CK133" s="462" t="str">
        <f t="shared" si="47"/>
        <v/>
      </c>
      <c r="CL133" s="462" t="str">
        <f t="shared" si="48"/>
        <v/>
      </c>
      <c r="CM133" s="462" t="str">
        <f t="shared" si="49"/>
        <v/>
      </c>
      <c r="CN133" s="462" t="str">
        <f t="shared" si="50"/>
        <v>0001-00</v>
      </c>
    </row>
    <row r="134" spans="1:92" ht="15" thickBot="1" x14ac:dyDescent="0.35">
      <c r="A134" s="376" t="s">
        <v>161</v>
      </c>
      <c r="B134" s="376" t="s">
        <v>162</v>
      </c>
      <c r="C134" s="376" t="s">
        <v>567</v>
      </c>
      <c r="D134" s="376" t="s">
        <v>438</v>
      </c>
      <c r="E134" s="376" t="s">
        <v>165</v>
      </c>
      <c r="F134" s="377" t="s">
        <v>166</v>
      </c>
      <c r="G134" s="376" t="s">
        <v>432</v>
      </c>
      <c r="H134" s="378"/>
      <c r="I134" s="378"/>
      <c r="J134" s="376" t="s">
        <v>168</v>
      </c>
      <c r="K134" s="376" t="s">
        <v>439</v>
      </c>
      <c r="L134" s="376" t="s">
        <v>231</v>
      </c>
      <c r="M134" s="376" t="s">
        <v>225</v>
      </c>
      <c r="N134" s="376" t="s">
        <v>172</v>
      </c>
      <c r="O134" s="379">
        <v>0</v>
      </c>
      <c r="P134" s="460">
        <v>1</v>
      </c>
      <c r="Q134" s="460">
        <v>1</v>
      </c>
      <c r="R134" s="380">
        <v>80</v>
      </c>
      <c r="S134" s="460">
        <v>1</v>
      </c>
      <c r="T134" s="380">
        <v>32386.92</v>
      </c>
      <c r="U134" s="380">
        <v>0</v>
      </c>
      <c r="V134" s="380">
        <v>16467.53</v>
      </c>
      <c r="W134" s="380">
        <v>42328</v>
      </c>
      <c r="X134" s="380">
        <v>18539.66</v>
      </c>
      <c r="Y134" s="380">
        <v>42328</v>
      </c>
      <c r="Z134" s="380">
        <v>18328.02</v>
      </c>
      <c r="AA134" s="378"/>
      <c r="AB134" s="376" t="s">
        <v>45</v>
      </c>
      <c r="AC134" s="376" t="s">
        <v>45</v>
      </c>
      <c r="AD134" s="378"/>
      <c r="AE134" s="378"/>
      <c r="AF134" s="378"/>
      <c r="AG134" s="378"/>
      <c r="AH134" s="379">
        <v>0</v>
      </c>
      <c r="AI134" s="379">
        <v>0</v>
      </c>
      <c r="AJ134" s="378"/>
      <c r="AK134" s="378"/>
      <c r="AL134" s="376" t="s">
        <v>181</v>
      </c>
      <c r="AM134" s="378"/>
      <c r="AN134" s="378"/>
      <c r="AO134" s="379">
        <v>0</v>
      </c>
      <c r="AP134" s="460">
        <v>0</v>
      </c>
      <c r="AQ134" s="460">
        <v>0</v>
      </c>
      <c r="AR134" s="459"/>
      <c r="AS134" s="462">
        <f t="shared" si="34"/>
        <v>0</v>
      </c>
      <c r="AT134">
        <f t="shared" si="35"/>
        <v>0</v>
      </c>
      <c r="AU134" s="462" t="str">
        <f>IF(AT134=0,"",IF(AND(AT134=1,M134="F",SUMIF(C2:C391,C134,AS2:AS391)&lt;=1),SUMIF(C2:C391,C134,AS2:AS391),IF(AND(AT134=1,M134="F",SUMIF(C2:C391,C134,AS2:AS391)&gt;1),1,"")))</f>
        <v/>
      </c>
      <c r="AV134" s="462" t="str">
        <f>IF(AT134=0,"",IF(AND(AT134=3,M134="F",SUMIF(C2:C391,C134,AS2:AS391)&lt;=1),SUMIF(C2:C391,C134,AS2:AS391),IF(AND(AT134=3,M134="F",SUMIF(C2:C391,C134,AS2:AS391)&gt;1),1,"")))</f>
        <v/>
      </c>
      <c r="AW134" s="462">
        <f>SUMIF(C2:C391,C134,O2:O391)</f>
        <v>0</v>
      </c>
      <c r="AX134" s="462">
        <f>IF(AND(M134="F",AS134&lt;&gt;0),SUMIF(C2:C391,C134,W2:W391),0)</f>
        <v>0</v>
      </c>
      <c r="AY134" s="462" t="str">
        <f t="shared" si="36"/>
        <v/>
      </c>
      <c r="AZ134" s="462" t="str">
        <f t="shared" si="37"/>
        <v/>
      </c>
      <c r="BA134" s="462">
        <f t="shared" si="38"/>
        <v>0</v>
      </c>
      <c r="BB134" s="462">
        <f>IF(AND(AT134=1,AK134="E",AU134&gt;=0.75,AW134=1),Health,IF(AND(AT134=1,AK134="E",AU134&gt;=0.75),Health*P134,IF(AND(AT134=1,AK134="E",AU134&gt;=0.5,AW134=1),PTHealth,IF(AND(AT134=1,AK134="E",AU134&gt;=0.5),PTHealth*P134,0))))</f>
        <v>0</v>
      </c>
      <c r="BC134" s="462">
        <f>IF(AND(AT134=3,AK134="E",AV134&gt;=0.75,AW134=1),Health,IF(AND(AT134=3,AK134="E",AV134&gt;=0.75),Health*P134,IF(AND(AT134=3,AK134="E",AV134&gt;=0.5,AW134=1),PTHealth,IF(AND(AT134=3,AK134="E",AV134&gt;=0.5),PTHealth*P134,0))))</f>
        <v>0</v>
      </c>
      <c r="BD134" s="462">
        <f>IF(AND(AT134&lt;&gt;0,AX134&gt;=MAXSSDI),SSDI*MAXSSDI*P134,IF(AT134&lt;&gt;0,SSDI*W134,0))</f>
        <v>0</v>
      </c>
      <c r="BE134" s="462">
        <f>IF(AT134&lt;&gt;0,SSHI*W134,0)</f>
        <v>0</v>
      </c>
      <c r="BF134" s="462">
        <f>IF(AND(AT134&lt;&gt;0,AN134&lt;&gt;"NE"),VLOOKUP(AN134,Retirement_Rates,3,FALSE)*W134,0)</f>
        <v>0</v>
      </c>
      <c r="BG134" s="462">
        <f>IF(AND(AT134&lt;&gt;0,AJ134&lt;&gt;"PF"),Life*W134,0)</f>
        <v>0</v>
      </c>
      <c r="BH134" s="462">
        <f>IF(AND(AT134&lt;&gt;0,AM134="Y"),UI*W134,0)</f>
        <v>0</v>
      </c>
      <c r="BI134" s="462">
        <f>IF(AND(AT134&lt;&gt;0,N134&lt;&gt;"NR"),DHR*W134,0)</f>
        <v>0</v>
      </c>
      <c r="BJ134" s="462">
        <f>IF(AT134&lt;&gt;0,WC*W134,0)</f>
        <v>0</v>
      </c>
      <c r="BK134" s="462">
        <f>IF(OR(AND(AT134&lt;&gt;0,AJ134&lt;&gt;"PF",AN134&lt;&gt;"NE",AG134&lt;&gt;"A"),AND(AL134="E",OR(AT134=1,AT134=3))),Sick*W134,0)</f>
        <v>0</v>
      </c>
      <c r="BL134" s="462">
        <f t="shared" si="39"/>
        <v>0</v>
      </c>
      <c r="BM134" s="462">
        <f t="shared" si="40"/>
        <v>0</v>
      </c>
      <c r="BN134" s="462">
        <f>IF(AND(AT134=1,AK134="E",AU134&gt;=0.75,AW134=1),HealthBY,IF(AND(AT134=1,AK134="E",AU134&gt;=0.75),HealthBY*P134,IF(AND(AT134=1,AK134="E",AU134&gt;=0.5,AW134=1),PTHealthBY,IF(AND(AT134=1,AK134="E",AU134&gt;=0.5),PTHealthBY*P134,0))))</f>
        <v>0</v>
      </c>
      <c r="BO134" s="462">
        <f>IF(AND(AT134=3,AK134="E",AV134&gt;=0.75,AW134=1),HealthBY,IF(AND(AT134=3,AK134="E",AV134&gt;=0.75),HealthBY*P134,IF(AND(AT134=3,AK134="E",AV134&gt;=0.5,AW134=1),PTHealthBY,IF(AND(AT134=3,AK134="E",AV134&gt;=0.5),PTHealthBY*P134,0))))</f>
        <v>0</v>
      </c>
      <c r="BP134" s="462">
        <f>IF(AND(AT134&lt;&gt;0,(AX134+BA134)&gt;=MAXSSDIBY),SSDIBY*MAXSSDIBY*P134,IF(AT134&lt;&gt;0,SSDIBY*W134,0))</f>
        <v>0</v>
      </c>
      <c r="BQ134" s="462">
        <f>IF(AT134&lt;&gt;0,SSHIBY*W134,0)</f>
        <v>0</v>
      </c>
      <c r="BR134" s="462">
        <f>IF(AND(AT134&lt;&gt;0,AN134&lt;&gt;"NE"),VLOOKUP(AN134,Retirement_Rates,4,FALSE)*W134,0)</f>
        <v>0</v>
      </c>
      <c r="BS134" s="462">
        <f>IF(AND(AT134&lt;&gt;0,AJ134&lt;&gt;"PF"),LifeBY*W134,0)</f>
        <v>0</v>
      </c>
      <c r="BT134" s="462">
        <f>IF(AND(AT134&lt;&gt;0,AM134="Y"),UIBY*W134,0)</f>
        <v>0</v>
      </c>
      <c r="BU134" s="462">
        <f>IF(AND(AT134&lt;&gt;0,N134&lt;&gt;"NR"),DHRBY*W134,0)</f>
        <v>0</v>
      </c>
      <c r="BV134" s="462">
        <f>IF(AT134&lt;&gt;0,WCBY*W134,0)</f>
        <v>0</v>
      </c>
      <c r="BW134" s="462">
        <f>IF(OR(AND(AT134&lt;&gt;0,AJ134&lt;&gt;"PF",AN134&lt;&gt;"NE",AG134&lt;&gt;"A"),AND(AL134="E",OR(AT134=1,AT134=3))),SickBY*W134,0)</f>
        <v>0</v>
      </c>
      <c r="BX134" s="462">
        <f t="shared" si="41"/>
        <v>0</v>
      </c>
      <c r="BY134" s="462">
        <f t="shared" si="42"/>
        <v>0</v>
      </c>
      <c r="BZ134" s="462">
        <f t="shared" si="43"/>
        <v>0</v>
      </c>
      <c r="CA134" s="462">
        <f t="shared" si="44"/>
        <v>0</v>
      </c>
      <c r="CB134" s="462">
        <f t="shared" si="45"/>
        <v>0</v>
      </c>
      <c r="CC134" s="462">
        <f>IF(AT134&lt;&gt;0,SSHICHG*Y134,0)</f>
        <v>0</v>
      </c>
      <c r="CD134" s="462">
        <f>IF(AND(AT134&lt;&gt;0,AN134&lt;&gt;"NE"),VLOOKUP(AN134,Retirement_Rates,5,FALSE)*Y134,0)</f>
        <v>0</v>
      </c>
      <c r="CE134" s="462">
        <f>IF(AND(AT134&lt;&gt;0,AJ134&lt;&gt;"PF"),LifeCHG*Y134,0)</f>
        <v>0</v>
      </c>
      <c r="CF134" s="462">
        <f>IF(AND(AT134&lt;&gt;0,AM134="Y"),UICHG*Y134,0)</f>
        <v>0</v>
      </c>
      <c r="CG134" s="462">
        <f>IF(AND(AT134&lt;&gt;0,N134&lt;&gt;"NR"),DHRCHG*Y134,0)</f>
        <v>0</v>
      </c>
      <c r="CH134" s="462">
        <f>IF(AT134&lt;&gt;0,WCCHG*Y134,0)</f>
        <v>0</v>
      </c>
      <c r="CI134" s="462">
        <f>IF(OR(AND(AT134&lt;&gt;0,AJ134&lt;&gt;"PF",AN134&lt;&gt;"NE",AG134&lt;&gt;"A"),AND(AL134="E",OR(AT134=1,AT134=3))),SickCHG*Y134,0)</f>
        <v>0</v>
      </c>
      <c r="CJ134" s="462">
        <f t="shared" si="46"/>
        <v>0</v>
      </c>
      <c r="CK134" s="462" t="str">
        <f t="shared" si="47"/>
        <v/>
      </c>
      <c r="CL134" s="462" t="str">
        <f t="shared" si="48"/>
        <v/>
      </c>
      <c r="CM134" s="462" t="str">
        <f t="shared" si="49"/>
        <v/>
      </c>
      <c r="CN134" s="462" t="str">
        <f t="shared" si="50"/>
        <v>0001-00</v>
      </c>
    </row>
    <row r="135" spans="1:92" ht="15" thickBot="1" x14ac:dyDescent="0.35">
      <c r="A135" s="376" t="s">
        <v>161</v>
      </c>
      <c r="B135" s="376" t="s">
        <v>162</v>
      </c>
      <c r="C135" s="376" t="s">
        <v>568</v>
      </c>
      <c r="D135" s="376" t="s">
        <v>569</v>
      </c>
      <c r="E135" s="376" t="s">
        <v>165</v>
      </c>
      <c r="F135" s="377" t="s">
        <v>166</v>
      </c>
      <c r="G135" s="376" t="s">
        <v>432</v>
      </c>
      <c r="H135" s="378"/>
      <c r="I135" s="378"/>
      <c r="J135" s="376" t="s">
        <v>193</v>
      </c>
      <c r="K135" s="376" t="s">
        <v>570</v>
      </c>
      <c r="L135" s="376" t="s">
        <v>195</v>
      </c>
      <c r="M135" s="376" t="s">
        <v>171</v>
      </c>
      <c r="N135" s="376" t="s">
        <v>172</v>
      </c>
      <c r="O135" s="379">
        <v>1</v>
      </c>
      <c r="P135" s="460">
        <v>0.75</v>
      </c>
      <c r="Q135" s="460">
        <v>0.75</v>
      </c>
      <c r="R135" s="380">
        <v>80</v>
      </c>
      <c r="S135" s="460">
        <v>0.75</v>
      </c>
      <c r="T135" s="380">
        <v>39783.56</v>
      </c>
      <c r="U135" s="380">
        <v>0</v>
      </c>
      <c r="V135" s="380">
        <v>17113.12</v>
      </c>
      <c r="W135" s="380">
        <v>42588</v>
      </c>
      <c r="X135" s="380">
        <v>18872.13</v>
      </c>
      <c r="Y135" s="380">
        <v>42588</v>
      </c>
      <c r="Z135" s="380">
        <v>18995.64</v>
      </c>
      <c r="AA135" s="376" t="s">
        <v>571</v>
      </c>
      <c r="AB135" s="376" t="s">
        <v>572</v>
      </c>
      <c r="AC135" s="376" t="s">
        <v>573</v>
      </c>
      <c r="AD135" s="376" t="s">
        <v>574</v>
      </c>
      <c r="AE135" s="376" t="s">
        <v>570</v>
      </c>
      <c r="AF135" s="376" t="s">
        <v>199</v>
      </c>
      <c r="AG135" s="376" t="s">
        <v>178</v>
      </c>
      <c r="AH135" s="381">
        <v>27.3</v>
      </c>
      <c r="AI135" s="381">
        <v>4526.5</v>
      </c>
      <c r="AJ135" s="376" t="s">
        <v>179</v>
      </c>
      <c r="AK135" s="376" t="s">
        <v>180</v>
      </c>
      <c r="AL135" s="376" t="s">
        <v>181</v>
      </c>
      <c r="AM135" s="376" t="s">
        <v>182</v>
      </c>
      <c r="AN135" s="376" t="s">
        <v>68</v>
      </c>
      <c r="AO135" s="379">
        <v>80</v>
      </c>
      <c r="AP135" s="460">
        <v>1</v>
      </c>
      <c r="AQ135" s="460">
        <v>0.75</v>
      </c>
      <c r="AR135" s="458" t="s">
        <v>183</v>
      </c>
      <c r="AS135" s="462">
        <f t="shared" si="34"/>
        <v>0.75</v>
      </c>
      <c r="AT135">
        <f t="shared" si="35"/>
        <v>1</v>
      </c>
      <c r="AU135" s="462">
        <f>IF(AT135=0,"",IF(AND(AT135=1,M135="F",SUMIF(C2:C391,C135,AS2:AS391)&lt;=1),SUMIF(C2:C391,C135,AS2:AS391),IF(AND(AT135=1,M135="F",SUMIF(C2:C391,C135,AS2:AS391)&gt;1),1,"")))</f>
        <v>1</v>
      </c>
      <c r="AV135" s="462" t="str">
        <f>IF(AT135=0,"",IF(AND(AT135=3,M135="F",SUMIF(C2:C391,C135,AS2:AS391)&lt;=1),SUMIF(C2:C391,C135,AS2:AS391),IF(AND(AT135=3,M135="F",SUMIF(C2:C391,C135,AS2:AS391)&gt;1),1,"")))</f>
        <v/>
      </c>
      <c r="AW135" s="462">
        <f>SUMIF(C2:C391,C135,O2:O391)</f>
        <v>3</v>
      </c>
      <c r="AX135" s="462">
        <f>IF(AND(M135="F",AS135&lt;&gt;0),SUMIF(C2:C391,C135,W2:W391),0)</f>
        <v>56784</v>
      </c>
      <c r="AY135" s="462">
        <f t="shared" si="36"/>
        <v>42588</v>
      </c>
      <c r="AZ135" s="462" t="str">
        <f t="shared" si="37"/>
        <v/>
      </c>
      <c r="BA135" s="462">
        <f t="shared" si="38"/>
        <v>0</v>
      </c>
      <c r="BB135" s="462">
        <f>IF(AND(AT135=1,AK135="E",AU135&gt;=0.75,AW135=1),Health,IF(AND(AT135=1,AK135="E",AU135&gt;=0.75),Health*P135,IF(AND(AT135=1,AK135="E",AU135&gt;=0.5,AW135=1),PTHealth,IF(AND(AT135=1,AK135="E",AU135&gt;=0.5),PTHealth*P135,0))))</f>
        <v>8737.5</v>
      </c>
      <c r="BC135" s="462">
        <f>IF(AND(AT135=3,AK135="E",AV135&gt;=0.75,AW135=1),Health,IF(AND(AT135=3,AK135="E",AV135&gt;=0.75),Health*P135,IF(AND(AT135=3,AK135="E",AV135&gt;=0.5,AW135=1),PTHealth,IF(AND(AT135=3,AK135="E",AV135&gt;=0.5),PTHealth*P135,0))))</f>
        <v>0</v>
      </c>
      <c r="BD135" s="462">
        <f>IF(AND(AT135&lt;&gt;0,AX135&gt;=MAXSSDI),SSDI*MAXSSDI*P135,IF(AT135&lt;&gt;0,SSDI*W135,0))</f>
        <v>2640.4560000000001</v>
      </c>
      <c r="BE135" s="462">
        <f>IF(AT135&lt;&gt;0,SSHI*W135,0)</f>
        <v>617.52600000000007</v>
      </c>
      <c r="BF135" s="462">
        <f>IF(AND(AT135&lt;&gt;0,AN135&lt;&gt;"NE"),VLOOKUP(AN135,Retirement_Rates,3,FALSE)*W135,0)</f>
        <v>5085.0072</v>
      </c>
      <c r="BG135" s="462">
        <f>IF(AND(AT135&lt;&gt;0,AJ135&lt;&gt;"PF"),Life*W135,0)</f>
        <v>307.05948000000001</v>
      </c>
      <c r="BH135" s="462">
        <f>IF(AND(AT135&lt;&gt;0,AM135="Y"),UI*W135,0)</f>
        <v>208.68119999999999</v>
      </c>
      <c r="BI135" s="462">
        <f>IF(AND(AT135&lt;&gt;0,N135&lt;&gt;"NR"),DHR*W135,0)</f>
        <v>130.31927999999999</v>
      </c>
      <c r="BJ135" s="462">
        <f>IF(AT135&lt;&gt;0,WC*W135,0)</f>
        <v>1145.6171999999999</v>
      </c>
      <c r="BK135" s="462">
        <f>IF(OR(AND(AT135&lt;&gt;0,AJ135&lt;&gt;"PF",AN135&lt;&gt;"NE",AG135&lt;&gt;"A"),AND(AL135="E",OR(AT135=1,AT135=3))),Sick*W135,0)</f>
        <v>0</v>
      </c>
      <c r="BL135" s="462">
        <f t="shared" si="39"/>
        <v>10134.666359999999</v>
      </c>
      <c r="BM135" s="462">
        <f t="shared" si="40"/>
        <v>0</v>
      </c>
      <c r="BN135" s="462">
        <f>IF(AND(AT135=1,AK135="E",AU135&gt;=0.75,AW135=1),HealthBY,IF(AND(AT135=1,AK135="E",AU135&gt;=0.75),HealthBY*P135,IF(AND(AT135=1,AK135="E",AU135&gt;=0.5,AW135=1),PTHealthBY,IF(AND(AT135=1,AK135="E",AU135&gt;=0.5),PTHealthBY*P135,0))))</f>
        <v>8737.5</v>
      </c>
      <c r="BO135" s="462">
        <f>IF(AND(AT135=3,AK135="E",AV135&gt;=0.75,AW135=1),HealthBY,IF(AND(AT135=3,AK135="E",AV135&gt;=0.75),HealthBY*P135,IF(AND(AT135=3,AK135="E",AV135&gt;=0.5,AW135=1),PTHealthBY,IF(AND(AT135=3,AK135="E",AV135&gt;=0.5),PTHealthBY*P135,0))))</f>
        <v>0</v>
      </c>
      <c r="BP135" s="462">
        <f>IF(AND(AT135&lt;&gt;0,(AX135+BA135)&gt;=MAXSSDIBY),SSDIBY*MAXSSDIBY*P135,IF(AT135&lt;&gt;0,SSDIBY*W135,0))</f>
        <v>2640.4560000000001</v>
      </c>
      <c r="BQ135" s="462">
        <f>IF(AT135&lt;&gt;0,SSHIBY*W135,0)</f>
        <v>617.52600000000007</v>
      </c>
      <c r="BR135" s="462">
        <f>IF(AND(AT135&lt;&gt;0,AN135&lt;&gt;"NE"),VLOOKUP(AN135,Retirement_Rates,4,FALSE)*W135,0)</f>
        <v>5085.0072</v>
      </c>
      <c r="BS135" s="462">
        <f>IF(AND(AT135&lt;&gt;0,AJ135&lt;&gt;"PF"),LifeBY*W135,0)</f>
        <v>307.05948000000001</v>
      </c>
      <c r="BT135" s="462">
        <f>IF(AND(AT135&lt;&gt;0,AM135="Y"),UIBY*W135,0)</f>
        <v>0</v>
      </c>
      <c r="BU135" s="462">
        <f>IF(AND(AT135&lt;&gt;0,N135&lt;&gt;"NR"),DHRBY*W135,0)</f>
        <v>130.31927999999999</v>
      </c>
      <c r="BV135" s="462">
        <f>IF(AT135&lt;&gt;0,WCBY*W135,0)</f>
        <v>1477.8036</v>
      </c>
      <c r="BW135" s="462">
        <f>IF(OR(AND(AT135&lt;&gt;0,AJ135&lt;&gt;"PF",AN135&lt;&gt;"NE",AG135&lt;&gt;"A"),AND(AL135="E",OR(AT135=1,AT135=3))),SickBY*W135,0)</f>
        <v>0</v>
      </c>
      <c r="BX135" s="462">
        <f t="shared" si="41"/>
        <v>10258.171559999999</v>
      </c>
      <c r="BY135" s="462">
        <f t="shared" si="42"/>
        <v>0</v>
      </c>
      <c r="BZ135" s="462">
        <f t="shared" si="43"/>
        <v>0</v>
      </c>
      <c r="CA135" s="462">
        <f t="shared" si="44"/>
        <v>0</v>
      </c>
      <c r="CB135" s="462">
        <f t="shared" si="45"/>
        <v>0</v>
      </c>
      <c r="CC135" s="462">
        <f>IF(AT135&lt;&gt;0,SSHICHG*Y135,0)</f>
        <v>0</v>
      </c>
      <c r="CD135" s="462">
        <f>IF(AND(AT135&lt;&gt;0,AN135&lt;&gt;"NE"),VLOOKUP(AN135,Retirement_Rates,5,FALSE)*Y135,0)</f>
        <v>0</v>
      </c>
      <c r="CE135" s="462">
        <f>IF(AND(AT135&lt;&gt;0,AJ135&lt;&gt;"PF"),LifeCHG*Y135,0)</f>
        <v>0</v>
      </c>
      <c r="CF135" s="462">
        <f>IF(AND(AT135&lt;&gt;0,AM135="Y"),UICHG*Y135,0)</f>
        <v>-208.68119999999999</v>
      </c>
      <c r="CG135" s="462">
        <f>IF(AND(AT135&lt;&gt;0,N135&lt;&gt;"NR"),DHRCHG*Y135,0)</f>
        <v>0</v>
      </c>
      <c r="CH135" s="462">
        <f>IF(AT135&lt;&gt;0,WCCHG*Y135,0)</f>
        <v>332.18640000000005</v>
      </c>
      <c r="CI135" s="462">
        <f>IF(OR(AND(AT135&lt;&gt;0,AJ135&lt;&gt;"PF",AN135&lt;&gt;"NE",AG135&lt;&gt;"A"),AND(AL135="E",OR(AT135=1,AT135=3))),SickCHG*Y135,0)</f>
        <v>0</v>
      </c>
      <c r="CJ135" s="462">
        <f t="shared" si="46"/>
        <v>123.50520000000006</v>
      </c>
      <c r="CK135" s="462" t="str">
        <f t="shared" si="47"/>
        <v/>
      </c>
      <c r="CL135" s="462" t="str">
        <f t="shared" si="48"/>
        <v/>
      </c>
      <c r="CM135" s="462" t="str">
        <f t="shared" si="49"/>
        <v/>
      </c>
      <c r="CN135" s="462" t="str">
        <f t="shared" si="50"/>
        <v>0001-00</v>
      </c>
    </row>
    <row r="136" spans="1:92" ht="15" thickBot="1" x14ac:dyDescent="0.35">
      <c r="A136" s="376" t="s">
        <v>161</v>
      </c>
      <c r="B136" s="376" t="s">
        <v>162</v>
      </c>
      <c r="C136" s="376" t="s">
        <v>575</v>
      </c>
      <c r="D136" s="376" t="s">
        <v>438</v>
      </c>
      <c r="E136" s="376" t="s">
        <v>165</v>
      </c>
      <c r="F136" s="377" t="s">
        <v>166</v>
      </c>
      <c r="G136" s="376" t="s">
        <v>432</v>
      </c>
      <c r="H136" s="378"/>
      <c r="I136" s="378"/>
      <c r="J136" s="376" t="s">
        <v>168</v>
      </c>
      <c r="K136" s="376" t="s">
        <v>439</v>
      </c>
      <c r="L136" s="376" t="s">
        <v>231</v>
      </c>
      <c r="M136" s="376" t="s">
        <v>171</v>
      </c>
      <c r="N136" s="376" t="s">
        <v>172</v>
      </c>
      <c r="O136" s="379">
        <v>1</v>
      </c>
      <c r="P136" s="460">
        <v>1</v>
      </c>
      <c r="Q136" s="460">
        <v>1</v>
      </c>
      <c r="R136" s="380">
        <v>80</v>
      </c>
      <c r="S136" s="460">
        <v>1</v>
      </c>
      <c r="T136" s="380">
        <v>41582.410000000003</v>
      </c>
      <c r="U136" s="380">
        <v>0</v>
      </c>
      <c r="V136" s="380">
        <v>21221.8</v>
      </c>
      <c r="W136" s="380">
        <v>41808</v>
      </c>
      <c r="X136" s="380">
        <v>21599.01</v>
      </c>
      <c r="Y136" s="380">
        <v>41808</v>
      </c>
      <c r="Z136" s="380">
        <v>21720.26</v>
      </c>
      <c r="AA136" s="376" t="s">
        <v>576</v>
      </c>
      <c r="AB136" s="376" t="s">
        <v>577</v>
      </c>
      <c r="AC136" s="376" t="s">
        <v>578</v>
      </c>
      <c r="AD136" s="376" t="s">
        <v>176</v>
      </c>
      <c r="AE136" s="376" t="s">
        <v>439</v>
      </c>
      <c r="AF136" s="376" t="s">
        <v>236</v>
      </c>
      <c r="AG136" s="376" t="s">
        <v>178</v>
      </c>
      <c r="AH136" s="381">
        <v>20.100000000000001</v>
      </c>
      <c r="AI136" s="381">
        <v>5955.4</v>
      </c>
      <c r="AJ136" s="376" t="s">
        <v>179</v>
      </c>
      <c r="AK136" s="376" t="s">
        <v>180</v>
      </c>
      <c r="AL136" s="376" t="s">
        <v>181</v>
      </c>
      <c r="AM136" s="376" t="s">
        <v>182</v>
      </c>
      <c r="AN136" s="376" t="s">
        <v>68</v>
      </c>
      <c r="AO136" s="379">
        <v>80</v>
      </c>
      <c r="AP136" s="460">
        <v>1</v>
      </c>
      <c r="AQ136" s="460">
        <v>1</v>
      </c>
      <c r="AR136" s="458" t="s">
        <v>183</v>
      </c>
      <c r="AS136" s="462">
        <f t="shared" si="34"/>
        <v>1</v>
      </c>
      <c r="AT136">
        <f t="shared" si="35"/>
        <v>1</v>
      </c>
      <c r="AU136" s="462">
        <f>IF(AT136=0,"",IF(AND(AT136=1,M136="F",SUMIF(C2:C391,C136,AS2:AS391)&lt;=1),SUMIF(C2:C391,C136,AS2:AS391),IF(AND(AT136=1,M136="F",SUMIF(C2:C391,C136,AS2:AS391)&gt;1),1,"")))</f>
        <v>1</v>
      </c>
      <c r="AV136" s="462" t="str">
        <f>IF(AT136=0,"",IF(AND(AT136=3,M136="F",SUMIF(C2:C391,C136,AS2:AS391)&lt;=1),SUMIF(C2:C391,C136,AS2:AS391),IF(AND(AT136=3,M136="F",SUMIF(C2:C391,C136,AS2:AS391)&gt;1),1,"")))</f>
        <v/>
      </c>
      <c r="AW136" s="462">
        <f>SUMIF(C2:C391,C136,O2:O391)</f>
        <v>1</v>
      </c>
      <c r="AX136" s="462">
        <f>IF(AND(M136="F",AS136&lt;&gt;0),SUMIF(C2:C391,C136,W2:W391),0)</f>
        <v>41808</v>
      </c>
      <c r="AY136" s="462">
        <f t="shared" si="36"/>
        <v>41808</v>
      </c>
      <c r="AZ136" s="462" t="str">
        <f t="shared" si="37"/>
        <v/>
      </c>
      <c r="BA136" s="462">
        <f t="shared" si="38"/>
        <v>0</v>
      </c>
      <c r="BB136" s="462">
        <f>IF(AND(AT136=1,AK136="E",AU136&gt;=0.75,AW136=1),Health,IF(AND(AT136=1,AK136="E",AU136&gt;=0.75),Health*P136,IF(AND(AT136=1,AK136="E",AU136&gt;=0.5,AW136=1),PTHealth,IF(AND(AT136=1,AK136="E",AU136&gt;=0.5),PTHealth*P136,0))))</f>
        <v>11650</v>
      </c>
      <c r="BC136" s="462">
        <f>IF(AND(AT136=3,AK136="E",AV136&gt;=0.75,AW136=1),Health,IF(AND(AT136=3,AK136="E",AV136&gt;=0.75),Health*P136,IF(AND(AT136=3,AK136="E",AV136&gt;=0.5,AW136=1),PTHealth,IF(AND(AT136=3,AK136="E",AV136&gt;=0.5),PTHealth*P136,0))))</f>
        <v>0</v>
      </c>
      <c r="BD136" s="462">
        <f>IF(AND(AT136&lt;&gt;0,AX136&gt;=MAXSSDI),SSDI*MAXSSDI*P136,IF(AT136&lt;&gt;0,SSDI*W136,0))</f>
        <v>2592.096</v>
      </c>
      <c r="BE136" s="462">
        <f>IF(AT136&lt;&gt;0,SSHI*W136,0)</f>
        <v>606.21600000000001</v>
      </c>
      <c r="BF136" s="462">
        <f>IF(AND(AT136&lt;&gt;0,AN136&lt;&gt;"NE"),VLOOKUP(AN136,Retirement_Rates,3,FALSE)*W136,0)</f>
        <v>4991.8752000000004</v>
      </c>
      <c r="BG136" s="462">
        <f>IF(AND(AT136&lt;&gt;0,AJ136&lt;&gt;"PF"),Life*W136,0)</f>
        <v>301.43567999999999</v>
      </c>
      <c r="BH136" s="462">
        <f>IF(AND(AT136&lt;&gt;0,AM136="Y"),UI*W136,0)</f>
        <v>204.85919999999999</v>
      </c>
      <c r="BI136" s="462">
        <f>IF(AND(AT136&lt;&gt;0,N136&lt;&gt;"NR"),DHR*W136,0)</f>
        <v>127.93247999999998</v>
      </c>
      <c r="BJ136" s="462">
        <f>IF(AT136&lt;&gt;0,WC*W136,0)</f>
        <v>1124.6351999999999</v>
      </c>
      <c r="BK136" s="462">
        <f>IF(OR(AND(AT136&lt;&gt;0,AJ136&lt;&gt;"PF",AN136&lt;&gt;"NE",AG136&lt;&gt;"A"),AND(AL136="E",OR(AT136=1,AT136=3))),Sick*W136,0)</f>
        <v>0</v>
      </c>
      <c r="BL136" s="462">
        <f t="shared" si="39"/>
        <v>9949.0497600000017</v>
      </c>
      <c r="BM136" s="462">
        <f t="shared" si="40"/>
        <v>0</v>
      </c>
      <c r="BN136" s="462">
        <f>IF(AND(AT136=1,AK136="E",AU136&gt;=0.75,AW136=1),HealthBY,IF(AND(AT136=1,AK136="E",AU136&gt;=0.75),HealthBY*P136,IF(AND(AT136=1,AK136="E",AU136&gt;=0.5,AW136=1),PTHealthBY,IF(AND(AT136=1,AK136="E",AU136&gt;=0.5),PTHealthBY*P136,0))))</f>
        <v>11650</v>
      </c>
      <c r="BO136" s="462">
        <f>IF(AND(AT136=3,AK136="E",AV136&gt;=0.75,AW136=1),HealthBY,IF(AND(AT136=3,AK136="E",AV136&gt;=0.75),HealthBY*P136,IF(AND(AT136=3,AK136="E",AV136&gt;=0.5,AW136=1),PTHealthBY,IF(AND(AT136=3,AK136="E",AV136&gt;=0.5),PTHealthBY*P136,0))))</f>
        <v>0</v>
      </c>
      <c r="BP136" s="462">
        <f>IF(AND(AT136&lt;&gt;0,(AX136+BA136)&gt;=MAXSSDIBY),SSDIBY*MAXSSDIBY*P136,IF(AT136&lt;&gt;0,SSDIBY*W136,0))</f>
        <v>2592.096</v>
      </c>
      <c r="BQ136" s="462">
        <f>IF(AT136&lt;&gt;0,SSHIBY*W136,0)</f>
        <v>606.21600000000001</v>
      </c>
      <c r="BR136" s="462">
        <f>IF(AND(AT136&lt;&gt;0,AN136&lt;&gt;"NE"),VLOOKUP(AN136,Retirement_Rates,4,FALSE)*W136,0)</f>
        <v>4991.8752000000004</v>
      </c>
      <c r="BS136" s="462">
        <f>IF(AND(AT136&lt;&gt;0,AJ136&lt;&gt;"PF"),LifeBY*W136,0)</f>
        <v>301.43567999999999</v>
      </c>
      <c r="BT136" s="462">
        <f>IF(AND(AT136&lt;&gt;0,AM136="Y"),UIBY*W136,0)</f>
        <v>0</v>
      </c>
      <c r="BU136" s="462">
        <f>IF(AND(AT136&lt;&gt;0,N136&lt;&gt;"NR"),DHRBY*W136,0)</f>
        <v>127.93247999999998</v>
      </c>
      <c r="BV136" s="462">
        <f>IF(AT136&lt;&gt;0,WCBY*W136,0)</f>
        <v>1450.7376000000002</v>
      </c>
      <c r="BW136" s="462">
        <f>IF(OR(AND(AT136&lt;&gt;0,AJ136&lt;&gt;"PF",AN136&lt;&gt;"NE",AG136&lt;&gt;"A"),AND(AL136="E",OR(AT136=1,AT136=3))),SickBY*W136,0)</f>
        <v>0</v>
      </c>
      <c r="BX136" s="462">
        <f t="shared" si="41"/>
        <v>10070.292960000001</v>
      </c>
      <c r="BY136" s="462">
        <f t="shared" si="42"/>
        <v>0</v>
      </c>
      <c r="BZ136" s="462">
        <f t="shared" si="43"/>
        <v>0</v>
      </c>
      <c r="CA136" s="462">
        <f t="shared" si="44"/>
        <v>0</v>
      </c>
      <c r="CB136" s="462">
        <f t="shared" si="45"/>
        <v>0</v>
      </c>
      <c r="CC136" s="462">
        <f>IF(AT136&lt;&gt;0,SSHICHG*Y136,0)</f>
        <v>0</v>
      </c>
      <c r="CD136" s="462">
        <f>IF(AND(AT136&lt;&gt;0,AN136&lt;&gt;"NE"),VLOOKUP(AN136,Retirement_Rates,5,FALSE)*Y136,0)</f>
        <v>0</v>
      </c>
      <c r="CE136" s="462">
        <f>IF(AND(AT136&lt;&gt;0,AJ136&lt;&gt;"PF"),LifeCHG*Y136,0)</f>
        <v>0</v>
      </c>
      <c r="CF136" s="462">
        <f>IF(AND(AT136&lt;&gt;0,AM136="Y"),UICHG*Y136,0)</f>
        <v>-204.85919999999999</v>
      </c>
      <c r="CG136" s="462">
        <f>IF(AND(AT136&lt;&gt;0,N136&lt;&gt;"NR"),DHRCHG*Y136,0)</f>
        <v>0</v>
      </c>
      <c r="CH136" s="462">
        <f>IF(AT136&lt;&gt;0,WCCHG*Y136,0)</f>
        <v>326.10240000000005</v>
      </c>
      <c r="CI136" s="462">
        <f>IF(OR(AND(AT136&lt;&gt;0,AJ136&lt;&gt;"PF",AN136&lt;&gt;"NE",AG136&lt;&gt;"A"),AND(AL136="E",OR(AT136=1,AT136=3))),SickCHG*Y136,0)</f>
        <v>0</v>
      </c>
      <c r="CJ136" s="462">
        <f t="shared" si="46"/>
        <v>121.24320000000006</v>
      </c>
      <c r="CK136" s="462" t="str">
        <f t="shared" si="47"/>
        <v/>
      </c>
      <c r="CL136" s="462" t="str">
        <f t="shared" si="48"/>
        <v/>
      </c>
      <c r="CM136" s="462" t="str">
        <f t="shared" si="49"/>
        <v/>
      </c>
      <c r="CN136" s="462" t="str">
        <f t="shared" si="50"/>
        <v>0001-00</v>
      </c>
    </row>
    <row r="137" spans="1:92" ht="15" thickBot="1" x14ac:dyDescent="0.35">
      <c r="A137" s="376" t="s">
        <v>161</v>
      </c>
      <c r="B137" s="376" t="s">
        <v>162</v>
      </c>
      <c r="C137" s="376" t="s">
        <v>579</v>
      </c>
      <c r="D137" s="376" t="s">
        <v>438</v>
      </c>
      <c r="E137" s="376" t="s">
        <v>165</v>
      </c>
      <c r="F137" s="377" t="s">
        <v>166</v>
      </c>
      <c r="G137" s="376" t="s">
        <v>432</v>
      </c>
      <c r="H137" s="378"/>
      <c r="I137" s="378"/>
      <c r="J137" s="376" t="s">
        <v>168</v>
      </c>
      <c r="K137" s="376" t="s">
        <v>439</v>
      </c>
      <c r="L137" s="376" t="s">
        <v>231</v>
      </c>
      <c r="M137" s="376" t="s">
        <v>171</v>
      </c>
      <c r="N137" s="376" t="s">
        <v>172</v>
      </c>
      <c r="O137" s="379">
        <v>1</v>
      </c>
      <c r="P137" s="460">
        <v>1</v>
      </c>
      <c r="Q137" s="460">
        <v>1</v>
      </c>
      <c r="R137" s="380">
        <v>80</v>
      </c>
      <c r="S137" s="460">
        <v>1</v>
      </c>
      <c r="T137" s="380">
        <v>41599.440000000002</v>
      </c>
      <c r="U137" s="380">
        <v>0</v>
      </c>
      <c r="V137" s="380">
        <v>21202.45</v>
      </c>
      <c r="W137" s="380">
        <v>41808</v>
      </c>
      <c r="X137" s="380">
        <v>21599.01</v>
      </c>
      <c r="Y137" s="380">
        <v>41808</v>
      </c>
      <c r="Z137" s="380">
        <v>21720.26</v>
      </c>
      <c r="AA137" s="376" t="s">
        <v>580</v>
      </c>
      <c r="AB137" s="376" t="s">
        <v>581</v>
      </c>
      <c r="AC137" s="376" t="s">
        <v>582</v>
      </c>
      <c r="AD137" s="376" t="s">
        <v>574</v>
      </c>
      <c r="AE137" s="376" t="s">
        <v>439</v>
      </c>
      <c r="AF137" s="376" t="s">
        <v>236</v>
      </c>
      <c r="AG137" s="376" t="s">
        <v>178</v>
      </c>
      <c r="AH137" s="381">
        <v>20.100000000000001</v>
      </c>
      <c r="AI137" s="381">
        <v>12073.3</v>
      </c>
      <c r="AJ137" s="376" t="s">
        <v>179</v>
      </c>
      <c r="AK137" s="376" t="s">
        <v>180</v>
      </c>
      <c r="AL137" s="376" t="s">
        <v>181</v>
      </c>
      <c r="AM137" s="376" t="s">
        <v>182</v>
      </c>
      <c r="AN137" s="376" t="s">
        <v>68</v>
      </c>
      <c r="AO137" s="379">
        <v>80</v>
      </c>
      <c r="AP137" s="460">
        <v>1</v>
      </c>
      <c r="AQ137" s="460">
        <v>1</v>
      </c>
      <c r="AR137" s="458" t="s">
        <v>183</v>
      </c>
      <c r="AS137" s="462">
        <f t="shared" si="34"/>
        <v>1</v>
      </c>
      <c r="AT137">
        <f t="shared" si="35"/>
        <v>1</v>
      </c>
      <c r="AU137" s="462">
        <f>IF(AT137=0,"",IF(AND(AT137=1,M137="F",SUMIF(C2:C391,C137,AS2:AS391)&lt;=1),SUMIF(C2:C391,C137,AS2:AS391),IF(AND(AT137=1,M137="F",SUMIF(C2:C391,C137,AS2:AS391)&gt;1),1,"")))</f>
        <v>1</v>
      </c>
      <c r="AV137" s="462" t="str">
        <f>IF(AT137=0,"",IF(AND(AT137=3,M137="F",SUMIF(C2:C391,C137,AS2:AS391)&lt;=1),SUMIF(C2:C391,C137,AS2:AS391),IF(AND(AT137=3,M137="F",SUMIF(C2:C391,C137,AS2:AS391)&gt;1),1,"")))</f>
        <v/>
      </c>
      <c r="AW137" s="462">
        <f>SUMIF(C2:C391,C137,O2:O391)</f>
        <v>1</v>
      </c>
      <c r="AX137" s="462">
        <f>IF(AND(M137="F",AS137&lt;&gt;0),SUMIF(C2:C391,C137,W2:W391),0)</f>
        <v>41808</v>
      </c>
      <c r="AY137" s="462">
        <f t="shared" si="36"/>
        <v>41808</v>
      </c>
      <c r="AZ137" s="462" t="str">
        <f t="shared" si="37"/>
        <v/>
      </c>
      <c r="BA137" s="462">
        <f t="shared" si="38"/>
        <v>0</v>
      </c>
      <c r="BB137" s="462">
        <f>IF(AND(AT137=1,AK137="E",AU137&gt;=0.75,AW137=1),Health,IF(AND(AT137=1,AK137="E",AU137&gt;=0.75),Health*P137,IF(AND(AT137=1,AK137="E",AU137&gt;=0.5,AW137=1),PTHealth,IF(AND(AT137=1,AK137="E",AU137&gt;=0.5),PTHealth*P137,0))))</f>
        <v>11650</v>
      </c>
      <c r="BC137" s="462">
        <f>IF(AND(AT137=3,AK137="E",AV137&gt;=0.75,AW137=1),Health,IF(AND(AT137=3,AK137="E",AV137&gt;=0.75),Health*P137,IF(AND(AT137=3,AK137="E",AV137&gt;=0.5,AW137=1),PTHealth,IF(AND(AT137=3,AK137="E",AV137&gt;=0.5),PTHealth*P137,0))))</f>
        <v>0</v>
      </c>
      <c r="BD137" s="462">
        <f>IF(AND(AT137&lt;&gt;0,AX137&gt;=MAXSSDI),SSDI*MAXSSDI*P137,IF(AT137&lt;&gt;0,SSDI*W137,0))</f>
        <v>2592.096</v>
      </c>
      <c r="BE137" s="462">
        <f>IF(AT137&lt;&gt;0,SSHI*W137,0)</f>
        <v>606.21600000000001</v>
      </c>
      <c r="BF137" s="462">
        <f>IF(AND(AT137&lt;&gt;0,AN137&lt;&gt;"NE"),VLOOKUP(AN137,Retirement_Rates,3,FALSE)*W137,0)</f>
        <v>4991.8752000000004</v>
      </c>
      <c r="BG137" s="462">
        <f>IF(AND(AT137&lt;&gt;0,AJ137&lt;&gt;"PF"),Life*W137,0)</f>
        <v>301.43567999999999</v>
      </c>
      <c r="BH137" s="462">
        <f>IF(AND(AT137&lt;&gt;0,AM137="Y"),UI*W137,0)</f>
        <v>204.85919999999999</v>
      </c>
      <c r="BI137" s="462">
        <f>IF(AND(AT137&lt;&gt;0,N137&lt;&gt;"NR"),DHR*W137,0)</f>
        <v>127.93247999999998</v>
      </c>
      <c r="BJ137" s="462">
        <f>IF(AT137&lt;&gt;0,WC*W137,0)</f>
        <v>1124.6351999999999</v>
      </c>
      <c r="BK137" s="462">
        <f>IF(OR(AND(AT137&lt;&gt;0,AJ137&lt;&gt;"PF",AN137&lt;&gt;"NE",AG137&lt;&gt;"A"),AND(AL137="E",OR(AT137=1,AT137=3))),Sick*W137,0)</f>
        <v>0</v>
      </c>
      <c r="BL137" s="462">
        <f t="shared" si="39"/>
        <v>9949.0497600000017</v>
      </c>
      <c r="BM137" s="462">
        <f t="shared" si="40"/>
        <v>0</v>
      </c>
      <c r="BN137" s="462">
        <f>IF(AND(AT137=1,AK137="E",AU137&gt;=0.75,AW137=1),HealthBY,IF(AND(AT137=1,AK137="E",AU137&gt;=0.75),HealthBY*P137,IF(AND(AT137=1,AK137="E",AU137&gt;=0.5,AW137=1),PTHealthBY,IF(AND(AT137=1,AK137="E",AU137&gt;=0.5),PTHealthBY*P137,0))))</f>
        <v>11650</v>
      </c>
      <c r="BO137" s="462">
        <f>IF(AND(AT137=3,AK137="E",AV137&gt;=0.75,AW137=1),HealthBY,IF(AND(AT137=3,AK137="E",AV137&gt;=0.75),HealthBY*P137,IF(AND(AT137=3,AK137="E",AV137&gt;=0.5,AW137=1),PTHealthBY,IF(AND(AT137=3,AK137="E",AV137&gt;=0.5),PTHealthBY*P137,0))))</f>
        <v>0</v>
      </c>
      <c r="BP137" s="462">
        <f>IF(AND(AT137&lt;&gt;0,(AX137+BA137)&gt;=MAXSSDIBY),SSDIBY*MAXSSDIBY*P137,IF(AT137&lt;&gt;0,SSDIBY*W137,0))</f>
        <v>2592.096</v>
      </c>
      <c r="BQ137" s="462">
        <f>IF(AT137&lt;&gt;0,SSHIBY*W137,0)</f>
        <v>606.21600000000001</v>
      </c>
      <c r="BR137" s="462">
        <f>IF(AND(AT137&lt;&gt;0,AN137&lt;&gt;"NE"),VLOOKUP(AN137,Retirement_Rates,4,FALSE)*W137,0)</f>
        <v>4991.8752000000004</v>
      </c>
      <c r="BS137" s="462">
        <f>IF(AND(AT137&lt;&gt;0,AJ137&lt;&gt;"PF"),LifeBY*W137,0)</f>
        <v>301.43567999999999</v>
      </c>
      <c r="BT137" s="462">
        <f>IF(AND(AT137&lt;&gt;0,AM137="Y"),UIBY*W137,0)</f>
        <v>0</v>
      </c>
      <c r="BU137" s="462">
        <f>IF(AND(AT137&lt;&gt;0,N137&lt;&gt;"NR"),DHRBY*W137,0)</f>
        <v>127.93247999999998</v>
      </c>
      <c r="BV137" s="462">
        <f>IF(AT137&lt;&gt;0,WCBY*W137,0)</f>
        <v>1450.7376000000002</v>
      </c>
      <c r="BW137" s="462">
        <f>IF(OR(AND(AT137&lt;&gt;0,AJ137&lt;&gt;"PF",AN137&lt;&gt;"NE",AG137&lt;&gt;"A"),AND(AL137="E",OR(AT137=1,AT137=3))),SickBY*W137,0)</f>
        <v>0</v>
      </c>
      <c r="BX137" s="462">
        <f t="shared" si="41"/>
        <v>10070.292960000001</v>
      </c>
      <c r="BY137" s="462">
        <f t="shared" si="42"/>
        <v>0</v>
      </c>
      <c r="BZ137" s="462">
        <f t="shared" si="43"/>
        <v>0</v>
      </c>
      <c r="CA137" s="462">
        <f t="shared" si="44"/>
        <v>0</v>
      </c>
      <c r="CB137" s="462">
        <f t="shared" si="45"/>
        <v>0</v>
      </c>
      <c r="CC137" s="462">
        <f>IF(AT137&lt;&gt;0,SSHICHG*Y137,0)</f>
        <v>0</v>
      </c>
      <c r="CD137" s="462">
        <f>IF(AND(AT137&lt;&gt;0,AN137&lt;&gt;"NE"),VLOOKUP(AN137,Retirement_Rates,5,FALSE)*Y137,0)</f>
        <v>0</v>
      </c>
      <c r="CE137" s="462">
        <f>IF(AND(AT137&lt;&gt;0,AJ137&lt;&gt;"PF"),LifeCHG*Y137,0)</f>
        <v>0</v>
      </c>
      <c r="CF137" s="462">
        <f>IF(AND(AT137&lt;&gt;0,AM137="Y"),UICHG*Y137,0)</f>
        <v>-204.85919999999999</v>
      </c>
      <c r="CG137" s="462">
        <f>IF(AND(AT137&lt;&gt;0,N137&lt;&gt;"NR"),DHRCHG*Y137,0)</f>
        <v>0</v>
      </c>
      <c r="CH137" s="462">
        <f>IF(AT137&lt;&gt;0,WCCHG*Y137,0)</f>
        <v>326.10240000000005</v>
      </c>
      <c r="CI137" s="462">
        <f>IF(OR(AND(AT137&lt;&gt;0,AJ137&lt;&gt;"PF",AN137&lt;&gt;"NE",AG137&lt;&gt;"A"),AND(AL137="E",OR(AT137=1,AT137=3))),SickCHG*Y137,0)</f>
        <v>0</v>
      </c>
      <c r="CJ137" s="462">
        <f t="shared" si="46"/>
        <v>121.24320000000006</v>
      </c>
      <c r="CK137" s="462" t="str">
        <f t="shared" si="47"/>
        <v/>
      </c>
      <c r="CL137" s="462" t="str">
        <f t="shared" si="48"/>
        <v/>
      </c>
      <c r="CM137" s="462" t="str">
        <f t="shared" si="49"/>
        <v/>
      </c>
      <c r="CN137" s="462" t="str">
        <f t="shared" si="50"/>
        <v>0001-00</v>
      </c>
    </row>
    <row r="138" spans="1:92" ht="15" thickBot="1" x14ac:dyDescent="0.35">
      <c r="A138" s="376" t="s">
        <v>161</v>
      </c>
      <c r="B138" s="376" t="s">
        <v>162</v>
      </c>
      <c r="C138" s="376" t="s">
        <v>583</v>
      </c>
      <c r="D138" s="376" t="s">
        <v>221</v>
      </c>
      <c r="E138" s="376" t="s">
        <v>165</v>
      </c>
      <c r="F138" s="377" t="s">
        <v>166</v>
      </c>
      <c r="G138" s="376" t="s">
        <v>432</v>
      </c>
      <c r="H138" s="378"/>
      <c r="I138" s="378"/>
      <c r="J138" s="376" t="s">
        <v>168</v>
      </c>
      <c r="K138" s="376" t="s">
        <v>222</v>
      </c>
      <c r="L138" s="376" t="s">
        <v>166</v>
      </c>
      <c r="M138" s="376" t="s">
        <v>171</v>
      </c>
      <c r="N138" s="376" t="s">
        <v>223</v>
      </c>
      <c r="O138" s="379">
        <v>0</v>
      </c>
      <c r="P138" s="460">
        <v>0</v>
      </c>
      <c r="Q138" s="460">
        <v>0</v>
      </c>
      <c r="R138" s="380">
        <v>0</v>
      </c>
      <c r="S138" s="460">
        <v>0</v>
      </c>
      <c r="T138" s="380">
        <v>30499.1</v>
      </c>
      <c r="U138" s="380">
        <v>2313.4</v>
      </c>
      <c r="V138" s="380">
        <v>5187.5</v>
      </c>
      <c r="W138" s="380">
        <v>0</v>
      </c>
      <c r="X138" s="380">
        <v>0</v>
      </c>
      <c r="Y138" s="380">
        <v>0</v>
      </c>
      <c r="Z138" s="380">
        <v>0</v>
      </c>
      <c r="AA138" s="378"/>
      <c r="AB138" s="376" t="s">
        <v>45</v>
      </c>
      <c r="AC138" s="376" t="s">
        <v>45</v>
      </c>
      <c r="AD138" s="378"/>
      <c r="AE138" s="378"/>
      <c r="AF138" s="378"/>
      <c r="AG138" s="378"/>
      <c r="AH138" s="379">
        <v>0</v>
      </c>
      <c r="AI138" s="379">
        <v>0</v>
      </c>
      <c r="AJ138" s="378"/>
      <c r="AK138" s="378"/>
      <c r="AL138" s="376" t="s">
        <v>181</v>
      </c>
      <c r="AM138" s="378"/>
      <c r="AN138" s="378"/>
      <c r="AO138" s="379">
        <v>0</v>
      </c>
      <c r="AP138" s="460">
        <v>0</v>
      </c>
      <c r="AQ138" s="460">
        <v>0</v>
      </c>
      <c r="AR138" s="459"/>
      <c r="AS138" s="462">
        <f t="shared" si="34"/>
        <v>0</v>
      </c>
      <c r="AT138">
        <f t="shared" si="35"/>
        <v>0</v>
      </c>
      <c r="AU138" s="462" t="str">
        <f>IF(AT138=0,"",IF(AND(AT138=1,M138="F",SUMIF(C2:C391,C138,AS2:AS391)&lt;=1),SUMIF(C2:C391,C138,AS2:AS391),IF(AND(AT138=1,M138="F",SUMIF(C2:C391,C138,AS2:AS391)&gt;1),1,"")))</f>
        <v/>
      </c>
      <c r="AV138" s="462" t="str">
        <f>IF(AT138=0,"",IF(AND(AT138=3,M138="F",SUMIF(C2:C391,C138,AS2:AS391)&lt;=1),SUMIF(C2:C391,C138,AS2:AS391),IF(AND(AT138=3,M138="F",SUMIF(C2:C391,C138,AS2:AS391)&gt;1),1,"")))</f>
        <v/>
      </c>
      <c r="AW138" s="462">
        <f>SUMIF(C2:C391,C138,O2:O391)</f>
        <v>0</v>
      </c>
      <c r="AX138" s="462">
        <f>IF(AND(M138="F",AS138&lt;&gt;0),SUMIF(C2:C391,C138,W2:W391),0)</f>
        <v>0</v>
      </c>
      <c r="AY138" s="462" t="str">
        <f t="shared" si="36"/>
        <v/>
      </c>
      <c r="AZ138" s="462" t="str">
        <f t="shared" si="37"/>
        <v/>
      </c>
      <c r="BA138" s="462">
        <f t="shared" si="38"/>
        <v>0</v>
      </c>
      <c r="BB138" s="462">
        <f>IF(AND(AT138=1,AK138="E",AU138&gt;=0.75,AW138=1),Health,IF(AND(AT138=1,AK138="E",AU138&gt;=0.75),Health*P138,IF(AND(AT138=1,AK138="E",AU138&gt;=0.5,AW138=1),PTHealth,IF(AND(AT138=1,AK138="E",AU138&gt;=0.5),PTHealth*P138,0))))</f>
        <v>0</v>
      </c>
      <c r="BC138" s="462">
        <f>IF(AND(AT138=3,AK138="E",AV138&gt;=0.75,AW138=1),Health,IF(AND(AT138=3,AK138="E",AV138&gt;=0.75),Health*P138,IF(AND(AT138=3,AK138="E",AV138&gt;=0.5,AW138=1),PTHealth,IF(AND(AT138=3,AK138="E",AV138&gt;=0.5),PTHealth*P138,0))))</f>
        <v>0</v>
      </c>
      <c r="BD138" s="462">
        <f>IF(AND(AT138&lt;&gt;0,AX138&gt;=MAXSSDI),SSDI*MAXSSDI*P138,IF(AT138&lt;&gt;0,SSDI*W138,0))</f>
        <v>0</v>
      </c>
      <c r="BE138" s="462">
        <f>IF(AT138&lt;&gt;0,SSHI*W138,0)</f>
        <v>0</v>
      </c>
      <c r="BF138" s="462">
        <f>IF(AND(AT138&lt;&gt;0,AN138&lt;&gt;"NE"),VLOOKUP(AN138,Retirement_Rates,3,FALSE)*W138,0)</f>
        <v>0</v>
      </c>
      <c r="BG138" s="462">
        <f>IF(AND(AT138&lt;&gt;0,AJ138&lt;&gt;"PF"),Life*W138,0)</f>
        <v>0</v>
      </c>
      <c r="BH138" s="462">
        <f>IF(AND(AT138&lt;&gt;0,AM138="Y"),UI*W138,0)</f>
        <v>0</v>
      </c>
      <c r="BI138" s="462">
        <f>IF(AND(AT138&lt;&gt;0,N138&lt;&gt;"NR"),DHR*W138,0)</f>
        <v>0</v>
      </c>
      <c r="BJ138" s="462">
        <f>IF(AT138&lt;&gt;0,WC*W138,0)</f>
        <v>0</v>
      </c>
      <c r="BK138" s="462">
        <f>IF(OR(AND(AT138&lt;&gt;0,AJ138&lt;&gt;"PF",AN138&lt;&gt;"NE",AG138&lt;&gt;"A"),AND(AL138="E",OR(AT138=1,AT138=3))),Sick*W138,0)</f>
        <v>0</v>
      </c>
      <c r="BL138" s="462">
        <f t="shared" si="39"/>
        <v>0</v>
      </c>
      <c r="BM138" s="462">
        <f t="shared" si="40"/>
        <v>0</v>
      </c>
      <c r="BN138" s="462">
        <f>IF(AND(AT138=1,AK138="E",AU138&gt;=0.75,AW138=1),HealthBY,IF(AND(AT138=1,AK138="E",AU138&gt;=0.75),HealthBY*P138,IF(AND(AT138=1,AK138="E",AU138&gt;=0.5,AW138=1),PTHealthBY,IF(AND(AT138=1,AK138="E",AU138&gt;=0.5),PTHealthBY*P138,0))))</f>
        <v>0</v>
      </c>
      <c r="BO138" s="462">
        <f>IF(AND(AT138=3,AK138="E",AV138&gt;=0.75,AW138=1),HealthBY,IF(AND(AT138=3,AK138="E",AV138&gt;=0.75),HealthBY*P138,IF(AND(AT138=3,AK138="E",AV138&gt;=0.5,AW138=1),PTHealthBY,IF(AND(AT138=3,AK138="E",AV138&gt;=0.5),PTHealthBY*P138,0))))</f>
        <v>0</v>
      </c>
      <c r="BP138" s="462">
        <f>IF(AND(AT138&lt;&gt;0,(AX138+BA138)&gt;=MAXSSDIBY),SSDIBY*MAXSSDIBY*P138,IF(AT138&lt;&gt;0,SSDIBY*W138,0))</f>
        <v>0</v>
      </c>
      <c r="BQ138" s="462">
        <f>IF(AT138&lt;&gt;0,SSHIBY*W138,0)</f>
        <v>0</v>
      </c>
      <c r="BR138" s="462">
        <f>IF(AND(AT138&lt;&gt;0,AN138&lt;&gt;"NE"),VLOOKUP(AN138,Retirement_Rates,4,FALSE)*W138,0)</f>
        <v>0</v>
      </c>
      <c r="BS138" s="462">
        <f>IF(AND(AT138&lt;&gt;0,AJ138&lt;&gt;"PF"),LifeBY*W138,0)</f>
        <v>0</v>
      </c>
      <c r="BT138" s="462">
        <f>IF(AND(AT138&lt;&gt;0,AM138="Y"),UIBY*W138,0)</f>
        <v>0</v>
      </c>
      <c r="BU138" s="462">
        <f>IF(AND(AT138&lt;&gt;0,N138&lt;&gt;"NR"),DHRBY*W138,0)</f>
        <v>0</v>
      </c>
      <c r="BV138" s="462">
        <f>IF(AT138&lt;&gt;0,WCBY*W138,0)</f>
        <v>0</v>
      </c>
      <c r="BW138" s="462">
        <f>IF(OR(AND(AT138&lt;&gt;0,AJ138&lt;&gt;"PF",AN138&lt;&gt;"NE",AG138&lt;&gt;"A"),AND(AL138="E",OR(AT138=1,AT138=3))),SickBY*W138,0)</f>
        <v>0</v>
      </c>
      <c r="BX138" s="462">
        <f t="shared" si="41"/>
        <v>0</v>
      </c>
      <c r="BY138" s="462">
        <f t="shared" si="42"/>
        <v>0</v>
      </c>
      <c r="BZ138" s="462">
        <f t="shared" si="43"/>
        <v>0</v>
      </c>
      <c r="CA138" s="462">
        <f t="shared" si="44"/>
        <v>0</v>
      </c>
      <c r="CB138" s="462">
        <f t="shared" si="45"/>
        <v>0</v>
      </c>
      <c r="CC138" s="462">
        <f>IF(AT138&lt;&gt;0,SSHICHG*Y138,0)</f>
        <v>0</v>
      </c>
      <c r="CD138" s="462">
        <f>IF(AND(AT138&lt;&gt;0,AN138&lt;&gt;"NE"),VLOOKUP(AN138,Retirement_Rates,5,FALSE)*Y138,0)</f>
        <v>0</v>
      </c>
      <c r="CE138" s="462">
        <f>IF(AND(AT138&lt;&gt;0,AJ138&lt;&gt;"PF"),LifeCHG*Y138,0)</f>
        <v>0</v>
      </c>
      <c r="CF138" s="462">
        <f>IF(AND(AT138&lt;&gt;0,AM138="Y"),UICHG*Y138,0)</f>
        <v>0</v>
      </c>
      <c r="CG138" s="462">
        <f>IF(AND(AT138&lt;&gt;0,N138&lt;&gt;"NR"),DHRCHG*Y138,0)</f>
        <v>0</v>
      </c>
      <c r="CH138" s="462">
        <f>IF(AT138&lt;&gt;0,WCCHG*Y138,0)</f>
        <v>0</v>
      </c>
      <c r="CI138" s="462">
        <f>IF(OR(AND(AT138&lt;&gt;0,AJ138&lt;&gt;"PF",AN138&lt;&gt;"NE",AG138&lt;&gt;"A"),AND(AL138="E",OR(AT138=1,AT138=3))),SickCHG*Y138,0)</f>
        <v>0</v>
      </c>
      <c r="CJ138" s="462">
        <f t="shared" si="46"/>
        <v>0</v>
      </c>
      <c r="CK138" s="462" t="str">
        <f t="shared" si="47"/>
        <v/>
      </c>
      <c r="CL138" s="462">
        <f t="shared" si="48"/>
        <v>32812.5</v>
      </c>
      <c r="CM138" s="462">
        <f t="shared" si="49"/>
        <v>5187.5</v>
      </c>
      <c r="CN138" s="462" t="str">
        <f t="shared" si="50"/>
        <v>0001-00</v>
      </c>
    </row>
    <row r="139" spans="1:92" ht="15" thickBot="1" x14ac:dyDescent="0.35">
      <c r="A139" s="376" t="s">
        <v>161</v>
      </c>
      <c r="B139" s="376" t="s">
        <v>162</v>
      </c>
      <c r="C139" s="376" t="s">
        <v>584</v>
      </c>
      <c r="D139" s="376" t="s">
        <v>431</v>
      </c>
      <c r="E139" s="376" t="s">
        <v>165</v>
      </c>
      <c r="F139" s="377" t="s">
        <v>166</v>
      </c>
      <c r="G139" s="376" t="s">
        <v>432</v>
      </c>
      <c r="H139" s="378"/>
      <c r="I139" s="378"/>
      <c r="J139" s="376" t="s">
        <v>168</v>
      </c>
      <c r="K139" s="376" t="s">
        <v>433</v>
      </c>
      <c r="L139" s="376" t="s">
        <v>195</v>
      </c>
      <c r="M139" s="376" t="s">
        <v>171</v>
      </c>
      <c r="N139" s="376" t="s">
        <v>172</v>
      </c>
      <c r="O139" s="379">
        <v>1</v>
      </c>
      <c r="P139" s="460">
        <v>1</v>
      </c>
      <c r="Q139" s="460">
        <v>1</v>
      </c>
      <c r="R139" s="380">
        <v>80</v>
      </c>
      <c r="S139" s="460">
        <v>1</v>
      </c>
      <c r="T139" s="380">
        <v>45345.64</v>
      </c>
      <c r="U139" s="380">
        <v>0</v>
      </c>
      <c r="V139" s="380">
        <v>20657.22</v>
      </c>
      <c r="W139" s="380">
        <v>50814.400000000001</v>
      </c>
      <c r="X139" s="380">
        <v>23742.27</v>
      </c>
      <c r="Y139" s="380">
        <v>50814.400000000001</v>
      </c>
      <c r="Z139" s="380">
        <v>23889.63</v>
      </c>
      <c r="AA139" s="376" t="s">
        <v>585</v>
      </c>
      <c r="AB139" s="376" t="s">
        <v>586</v>
      </c>
      <c r="AC139" s="376" t="s">
        <v>587</v>
      </c>
      <c r="AD139" s="376" t="s">
        <v>176</v>
      </c>
      <c r="AE139" s="376" t="s">
        <v>433</v>
      </c>
      <c r="AF139" s="376" t="s">
        <v>199</v>
      </c>
      <c r="AG139" s="376" t="s">
        <v>178</v>
      </c>
      <c r="AH139" s="381">
        <v>24.43</v>
      </c>
      <c r="AI139" s="381">
        <v>970.5</v>
      </c>
      <c r="AJ139" s="376" t="s">
        <v>179</v>
      </c>
      <c r="AK139" s="376" t="s">
        <v>180</v>
      </c>
      <c r="AL139" s="376" t="s">
        <v>181</v>
      </c>
      <c r="AM139" s="376" t="s">
        <v>182</v>
      </c>
      <c r="AN139" s="376" t="s">
        <v>68</v>
      </c>
      <c r="AO139" s="379">
        <v>80</v>
      </c>
      <c r="AP139" s="460">
        <v>1</v>
      </c>
      <c r="AQ139" s="460">
        <v>1</v>
      </c>
      <c r="AR139" s="458" t="s">
        <v>183</v>
      </c>
      <c r="AS139" s="462">
        <f t="shared" si="34"/>
        <v>1</v>
      </c>
      <c r="AT139">
        <f t="shared" si="35"/>
        <v>1</v>
      </c>
      <c r="AU139" s="462">
        <f>IF(AT139=0,"",IF(AND(AT139=1,M139="F",SUMIF(C2:C391,C139,AS2:AS391)&lt;=1),SUMIF(C2:C391,C139,AS2:AS391),IF(AND(AT139=1,M139="F",SUMIF(C2:C391,C139,AS2:AS391)&gt;1),1,"")))</f>
        <v>1</v>
      </c>
      <c r="AV139" s="462" t="str">
        <f>IF(AT139=0,"",IF(AND(AT139=3,M139="F",SUMIF(C2:C391,C139,AS2:AS391)&lt;=1),SUMIF(C2:C391,C139,AS2:AS391),IF(AND(AT139=3,M139="F",SUMIF(C2:C391,C139,AS2:AS391)&gt;1),1,"")))</f>
        <v/>
      </c>
      <c r="AW139" s="462">
        <f>SUMIF(C2:C391,C139,O2:O391)</f>
        <v>1</v>
      </c>
      <c r="AX139" s="462">
        <f>IF(AND(M139="F",AS139&lt;&gt;0),SUMIF(C2:C391,C139,W2:W391),0)</f>
        <v>50814.400000000001</v>
      </c>
      <c r="AY139" s="462">
        <f t="shared" si="36"/>
        <v>50814.400000000001</v>
      </c>
      <c r="AZ139" s="462" t="str">
        <f t="shared" si="37"/>
        <v/>
      </c>
      <c r="BA139" s="462">
        <f t="shared" si="38"/>
        <v>0</v>
      </c>
      <c r="BB139" s="462">
        <f>IF(AND(AT139=1,AK139="E",AU139&gt;=0.75,AW139=1),Health,IF(AND(AT139=1,AK139="E",AU139&gt;=0.75),Health*P139,IF(AND(AT139=1,AK139="E",AU139&gt;=0.5,AW139=1),PTHealth,IF(AND(AT139=1,AK139="E",AU139&gt;=0.5),PTHealth*P139,0))))</f>
        <v>11650</v>
      </c>
      <c r="BC139" s="462">
        <f>IF(AND(AT139=3,AK139="E",AV139&gt;=0.75,AW139=1),Health,IF(AND(AT139=3,AK139="E",AV139&gt;=0.75),Health*P139,IF(AND(AT139=3,AK139="E",AV139&gt;=0.5,AW139=1),PTHealth,IF(AND(AT139=3,AK139="E",AV139&gt;=0.5),PTHealth*P139,0))))</f>
        <v>0</v>
      </c>
      <c r="BD139" s="462">
        <f>IF(AND(AT139&lt;&gt;0,AX139&gt;=MAXSSDI),SSDI*MAXSSDI*P139,IF(AT139&lt;&gt;0,SSDI*W139,0))</f>
        <v>3150.4928</v>
      </c>
      <c r="BE139" s="462">
        <f>IF(AT139&lt;&gt;0,SSHI*W139,0)</f>
        <v>736.80880000000002</v>
      </c>
      <c r="BF139" s="462">
        <f>IF(AND(AT139&lt;&gt;0,AN139&lt;&gt;"NE"),VLOOKUP(AN139,Retirement_Rates,3,FALSE)*W139,0)</f>
        <v>6067.2393600000005</v>
      </c>
      <c r="BG139" s="462">
        <f>IF(AND(AT139&lt;&gt;0,AJ139&lt;&gt;"PF"),Life*W139,0)</f>
        <v>366.371824</v>
      </c>
      <c r="BH139" s="462">
        <f>IF(AND(AT139&lt;&gt;0,AM139="Y"),UI*W139,0)</f>
        <v>248.99055999999999</v>
      </c>
      <c r="BI139" s="462">
        <f>IF(AND(AT139&lt;&gt;0,N139&lt;&gt;"NR"),DHR*W139,0)</f>
        <v>155.492064</v>
      </c>
      <c r="BJ139" s="462">
        <f>IF(AT139&lt;&gt;0,WC*W139,0)</f>
        <v>1366.9073600000002</v>
      </c>
      <c r="BK139" s="462">
        <f>IF(OR(AND(AT139&lt;&gt;0,AJ139&lt;&gt;"PF",AN139&lt;&gt;"NE",AG139&lt;&gt;"A"),AND(AL139="E",OR(AT139=1,AT139=3))),Sick*W139,0)</f>
        <v>0</v>
      </c>
      <c r="BL139" s="462">
        <f t="shared" si="39"/>
        <v>12092.302768000001</v>
      </c>
      <c r="BM139" s="462">
        <f t="shared" si="40"/>
        <v>0</v>
      </c>
      <c r="BN139" s="462">
        <f>IF(AND(AT139=1,AK139="E",AU139&gt;=0.75,AW139=1),HealthBY,IF(AND(AT139=1,AK139="E",AU139&gt;=0.75),HealthBY*P139,IF(AND(AT139=1,AK139="E",AU139&gt;=0.5,AW139=1),PTHealthBY,IF(AND(AT139=1,AK139="E",AU139&gt;=0.5),PTHealthBY*P139,0))))</f>
        <v>11650</v>
      </c>
      <c r="BO139" s="462">
        <f>IF(AND(AT139=3,AK139="E",AV139&gt;=0.75,AW139=1),HealthBY,IF(AND(AT139=3,AK139="E",AV139&gt;=0.75),HealthBY*P139,IF(AND(AT139=3,AK139="E",AV139&gt;=0.5,AW139=1),PTHealthBY,IF(AND(AT139=3,AK139="E",AV139&gt;=0.5),PTHealthBY*P139,0))))</f>
        <v>0</v>
      </c>
      <c r="BP139" s="462">
        <f>IF(AND(AT139&lt;&gt;0,(AX139+BA139)&gt;=MAXSSDIBY),SSDIBY*MAXSSDIBY*P139,IF(AT139&lt;&gt;0,SSDIBY*W139,0))</f>
        <v>3150.4928</v>
      </c>
      <c r="BQ139" s="462">
        <f>IF(AT139&lt;&gt;0,SSHIBY*W139,0)</f>
        <v>736.80880000000002</v>
      </c>
      <c r="BR139" s="462">
        <f>IF(AND(AT139&lt;&gt;0,AN139&lt;&gt;"NE"),VLOOKUP(AN139,Retirement_Rates,4,FALSE)*W139,0)</f>
        <v>6067.2393600000005</v>
      </c>
      <c r="BS139" s="462">
        <f>IF(AND(AT139&lt;&gt;0,AJ139&lt;&gt;"PF"),LifeBY*W139,0)</f>
        <v>366.371824</v>
      </c>
      <c r="BT139" s="462">
        <f>IF(AND(AT139&lt;&gt;0,AM139="Y"),UIBY*W139,0)</f>
        <v>0</v>
      </c>
      <c r="BU139" s="462">
        <f>IF(AND(AT139&lt;&gt;0,N139&lt;&gt;"NR"),DHRBY*W139,0)</f>
        <v>155.492064</v>
      </c>
      <c r="BV139" s="462">
        <f>IF(AT139&lt;&gt;0,WCBY*W139,0)</f>
        <v>1763.2596800000001</v>
      </c>
      <c r="BW139" s="462">
        <f>IF(OR(AND(AT139&lt;&gt;0,AJ139&lt;&gt;"PF",AN139&lt;&gt;"NE",AG139&lt;&gt;"A"),AND(AL139="E",OR(AT139=1,AT139=3))),SickBY*W139,0)</f>
        <v>0</v>
      </c>
      <c r="BX139" s="462">
        <f t="shared" si="41"/>
        <v>12239.664528000001</v>
      </c>
      <c r="BY139" s="462">
        <f t="shared" si="42"/>
        <v>0</v>
      </c>
      <c r="BZ139" s="462">
        <f t="shared" si="43"/>
        <v>0</v>
      </c>
      <c r="CA139" s="462">
        <f t="shared" si="44"/>
        <v>0</v>
      </c>
      <c r="CB139" s="462">
        <f t="shared" si="45"/>
        <v>0</v>
      </c>
      <c r="CC139" s="462">
        <f>IF(AT139&lt;&gt;0,SSHICHG*Y139,0)</f>
        <v>0</v>
      </c>
      <c r="CD139" s="462">
        <f>IF(AND(AT139&lt;&gt;0,AN139&lt;&gt;"NE"),VLOOKUP(AN139,Retirement_Rates,5,FALSE)*Y139,0)</f>
        <v>0</v>
      </c>
      <c r="CE139" s="462">
        <f>IF(AND(AT139&lt;&gt;0,AJ139&lt;&gt;"PF"),LifeCHG*Y139,0)</f>
        <v>0</v>
      </c>
      <c r="CF139" s="462">
        <f>IF(AND(AT139&lt;&gt;0,AM139="Y"),UICHG*Y139,0)</f>
        <v>-248.99055999999999</v>
      </c>
      <c r="CG139" s="462">
        <f>IF(AND(AT139&lt;&gt;0,N139&lt;&gt;"NR"),DHRCHG*Y139,0)</f>
        <v>0</v>
      </c>
      <c r="CH139" s="462">
        <f>IF(AT139&lt;&gt;0,WCCHG*Y139,0)</f>
        <v>396.35232000000008</v>
      </c>
      <c r="CI139" s="462">
        <f>IF(OR(AND(AT139&lt;&gt;0,AJ139&lt;&gt;"PF",AN139&lt;&gt;"NE",AG139&lt;&gt;"A"),AND(AL139="E",OR(AT139=1,AT139=3))),SickCHG*Y139,0)</f>
        <v>0</v>
      </c>
      <c r="CJ139" s="462">
        <f t="shared" si="46"/>
        <v>147.36176000000009</v>
      </c>
      <c r="CK139" s="462" t="str">
        <f t="shared" si="47"/>
        <v/>
      </c>
      <c r="CL139" s="462" t="str">
        <f t="shared" si="48"/>
        <v/>
      </c>
      <c r="CM139" s="462" t="str">
        <f t="shared" si="49"/>
        <v/>
      </c>
      <c r="CN139" s="462" t="str">
        <f t="shared" si="50"/>
        <v>0001-00</v>
      </c>
    </row>
    <row r="140" spans="1:92" ht="15" thickBot="1" x14ac:dyDescent="0.35">
      <c r="A140" s="376" t="s">
        <v>161</v>
      </c>
      <c r="B140" s="376" t="s">
        <v>162</v>
      </c>
      <c r="C140" s="376" t="s">
        <v>588</v>
      </c>
      <c r="D140" s="376" t="s">
        <v>460</v>
      </c>
      <c r="E140" s="376" t="s">
        <v>165</v>
      </c>
      <c r="F140" s="377" t="s">
        <v>166</v>
      </c>
      <c r="G140" s="376" t="s">
        <v>432</v>
      </c>
      <c r="H140" s="378"/>
      <c r="I140" s="378"/>
      <c r="J140" s="376" t="s">
        <v>168</v>
      </c>
      <c r="K140" s="376" t="s">
        <v>461</v>
      </c>
      <c r="L140" s="376" t="s">
        <v>240</v>
      </c>
      <c r="M140" s="376" t="s">
        <v>171</v>
      </c>
      <c r="N140" s="376" t="s">
        <v>172</v>
      </c>
      <c r="O140" s="379">
        <v>1</v>
      </c>
      <c r="P140" s="460">
        <v>1</v>
      </c>
      <c r="Q140" s="460">
        <v>1</v>
      </c>
      <c r="R140" s="380">
        <v>80</v>
      </c>
      <c r="S140" s="460">
        <v>1</v>
      </c>
      <c r="T140" s="380">
        <v>46744.57</v>
      </c>
      <c r="U140" s="380">
        <v>0</v>
      </c>
      <c r="V140" s="380">
        <v>22339.919999999998</v>
      </c>
      <c r="W140" s="380">
        <v>46820.800000000003</v>
      </c>
      <c r="X140" s="380">
        <v>22791.91</v>
      </c>
      <c r="Y140" s="380">
        <v>46820.800000000003</v>
      </c>
      <c r="Z140" s="380">
        <v>22927.7</v>
      </c>
      <c r="AA140" s="376" t="s">
        <v>589</v>
      </c>
      <c r="AB140" s="376" t="s">
        <v>590</v>
      </c>
      <c r="AC140" s="376" t="s">
        <v>270</v>
      </c>
      <c r="AD140" s="376" t="s">
        <v>372</v>
      </c>
      <c r="AE140" s="376" t="s">
        <v>461</v>
      </c>
      <c r="AF140" s="376" t="s">
        <v>244</v>
      </c>
      <c r="AG140" s="376" t="s">
        <v>178</v>
      </c>
      <c r="AH140" s="381">
        <v>22.51</v>
      </c>
      <c r="AI140" s="381">
        <v>18796.2</v>
      </c>
      <c r="AJ140" s="376" t="s">
        <v>179</v>
      </c>
      <c r="AK140" s="376" t="s">
        <v>180</v>
      </c>
      <c r="AL140" s="376" t="s">
        <v>181</v>
      </c>
      <c r="AM140" s="376" t="s">
        <v>182</v>
      </c>
      <c r="AN140" s="376" t="s">
        <v>68</v>
      </c>
      <c r="AO140" s="379">
        <v>80</v>
      </c>
      <c r="AP140" s="460">
        <v>1</v>
      </c>
      <c r="AQ140" s="460">
        <v>1</v>
      </c>
      <c r="AR140" s="458" t="s">
        <v>183</v>
      </c>
      <c r="AS140" s="462">
        <f t="shared" si="34"/>
        <v>1</v>
      </c>
      <c r="AT140">
        <f t="shared" si="35"/>
        <v>1</v>
      </c>
      <c r="AU140" s="462">
        <f>IF(AT140=0,"",IF(AND(AT140=1,M140="F",SUMIF(C2:C391,C140,AS2:AS391)&lt;=1),SUMIF(C2:C391,C140,AS2:AS391),IF(AND(AT140=1,M140="F",SUMIF(C2:C391,C140,AS2:AS391)&gt;1),1,"")))</f>
        <v>1</v>
      </c>
      <c r="AV140" s="462" t="str">
        <f>IF(AT140=0,"",IF(AND(AT140=3,M140="F",SUMIF(C2:C391,C140,AS2:AS391)&lt;=1),SUMIF(C2:C391,C140,AS2:AS391),IF(AND(AT140=3,M140="F",SUMIF(C2:C391,C140,AS2:AS391)&gt;1),1,"")))</f>
        <v/>
      </c>
      <c r="AW140" s="462">
        <f>SUMIF(C2:C391,C140,O2:O391)</f>
        <v>1</v>
      </c>
      <c r="AX140" s="462">
        <f>IF(AND(M140="F",AS140&lt;&gt;0),SUMIF(C2:C391,C140,W2:W391),0)</f>
        <v>46820.800000000003</v>
      </c>
      <c r="AY140" s="462">
        <f t="shared" si="36"/>
        <v>46820.800000000003</v>
      </c>
      <c r="AZ140" s="462" t="str">
        <f t="shared" si="37"/>
        <v/>
      </c>
      <c r="BA140" s="462">
        <f t="shared" si="38"/>
        <v>0</v>
      </c>
      <c r="BB140" s="462">
        <f>IF(AND(AT140=1,AK140="E",AU140&gt;=0.75,AW140=1),Health,IF(AND(AT140=1,AK140="E",AU140&gt;=0.75),Health*P140,IF(AND(AT140=1,AK140="E",AU140&gt;=0.5,AW140=1),PTHealth,IF(AND(AT140=1,AK140="E",AU140&gt;=0.5),PTHealth*P140,0))))</f>
        <v>11650</v>
      </c>
      <c r="BC140" s="462">
        <f>IF(AND(AT140=3,AK140="E",AV140&gt;=0.75,AW140=1),Health,IF(AND(AT140=3,AK140="E",AV140&gt;=0.75),Health*P140,IF(AND(AT140=3,AK140="E",AV140&gt;=0.5,AW140=1),PTHealth,IF(AND(AT140=3,AK140="E",AV140&gt;=0.5),PTHealth*P140,0))))</f>
        <v>0</v>
      </c>
      <c r="BD140" s="462">
        <f>IF(AND(AT140&lt;&gt;0,AX140&gt;=MAXSSDI),SSDI*MAXSSDI*P140,IF(AT140&lt;&gt;0,SSDI*W140,0))</f>
        <v>2902.8896</v>
      </c>
      <c r="BE140" s="462">
        <f>IF(AT140&lt;&gt;0,SSHI*W140,0)</f>
        <v>678.90160000000003</v>
      </c>
      <c r="BF140" s="462">
        <f>IF(AND(AT140&lt;&gt;0,AN140&lt;&gt;"NE"),VLOOKUP(AN140,Retirement_Rates,3,FALSE)*W140,0)</f>
        <v>5590.4035200000008</v>
      </c>
      <c r="BG140" s="462">
        <f>IF(AND(AT140&lt;&gt;0,AJ140&lt;&gt;"PF"),Life*W140,0)</f>
        <v>337.57796800000006</v>
      </c>
      <c r="BH140" s="462">
        <f>IF(AND(AT140&lt;&gt;0,AM140="Y"),UI*W140,0)</f>
        <v>229.42192</v>
      </c>
      <c r="BI140" s="462">
        <f>IF(AND(AT140&lt;&gt;0,N140&lt;&gt;"NR"),DHR*W140,0)</f>
        <v>143.271648</v>
      </c>
      <c r="BJ140" s="462">
        <f>IF(AT140&lt;&gt;0,WC*W140,0)</f>
        <v>1259.4795200000001</v>
      </c>
      <c r="BK140" s="462">
        <f>IF(OR(AND(AT140&lt;&gt;0,AJ140&lt;&gt;"PF",AN140&lt;&gt;"NE",AG140&lt;&gt;"A"),AND(AL140="E",OR(AT140=1,AT140=3))),Sick*W140,0)</f>
        <v>0</v>
      </c>
      <c r="BL140" s="462">
        <f t="shared" si="39"/>
        <v>11141.945776000002</v>
      </c>
      <c r="BM140" s="462">
        <f t="shared" si="40"/>
        <v>0</v>
      </c>
      <c r="BN140" s="462">
        <f>IF(AND(AT140=1,AK140="E",AU140&gt;=0.75,AW140=1),HealthBY,IF(AND(AT140=1,AK140="E",AU140&gt;=0.75),HealthBY*P140,IF(AND(AT140=1,AK140="E",AU140&gt;=0.5,AW140=1),PTHealthBY,IF(AND(AT140=1,AK140="E",AU140&gt;=0.5),PTHealthBY*P140,0))))</f>
        <v>11650</v>
      </c>
      <c r="BO140" s="462">
        <f>IF(AND(AT140=3,AK140="E",AV140&gt;=0.75,AW140=1),HealthBY,IF(AND(AT140=3,AK140="E",AV140&gt;=0.75),HealthBY*P140,IF(AND(AT140=3,AK140="E",AV140&gt;=0.5,AW140=1),PTHealthBY,IF(AND(AT140=3,AK140="E",AV140&gt;=0.5),PTHealthBY*P140,0))))</f>
        <v>0</v>
      </c>
      <c r="BP140" s="462">
        <f>IF(AND(AT140&lt;&gt;0,(AX140+BA140)&gt;=MAXSSDIBY),SSDIBY*MAXSSDIBY*P140,IF(AT140&lt;&gt;0,SSDIBY*W140,0))</f>
        <v>2902.8896</v>
      </c>
      <c r="BQ140" s="462">
        <f>IF(AT140&lt;&gt;0,SSHIBY*W140,0)</f>
        <v>678.90160000000003</v>
      </c>
      <c r="BR140" s="462">
        <f>IF(AND(AT140&lt;&gt;0,AN140&lt;&gt;"NE"),VLOOKUP(AN140,Retirement_Rates,4,FALSE)*W140,0)</f>
        <v>5590.4035200000008</v>
      </c>
      <c r="BS140" s="462">
        <f>IF(AND(AT140&lt;&gt;0,AJ140&lt;&gt;"PF"),LifeBY*W140,0)</f>
        <v>337.57796800000006</v>
      </c>
      <c r="BT140" s="462">
        <f>IF(AND(AT140&lt;&gt;0,AM140="Y"),UIBY*W140,0)</f>
        <v>0</v>
      </c>
      <c r="BU140" s="462">
        <f>IF(AND(AT140&lt;&gt;0,N140&lt;&gt;"NR"),DHRBY*W140,0)</f>
        <v>143.271648</v>
      </c>
      <c r="BV140" s="462">
        <f>IF(AT140&lt;&gt;0,WCBY*W140,0)</f>
        <v>1624.6817600000002</v>
      </c>
      <c r="BW140" s="462">
        <f>IF(OR(AND(AT140&lt;&gt;0,AJ140&lt;&gt;"PF",AN140&lt;&gt;"NE",AG140&lt;&gt;"A"),AND(AL140="E",OR(AT140=1,AT140=3))),SickBY*W140,0)</f>
        <v>0</v>
      </c>
      <c r="BX140" s="462">
        <f t="shared" si="41"/>
        <v>11277.726096</v>
      </c>
      <c r="BY140" s="462">
        <f t="shared" si="42"/>
        <v>0</v>
      </c>
      <c r="BZ140" s="462">
        <f t="shared" si="43"/>
        <v>0</v>
      </c>
      <c r="CA140" s="462">
        <f t="shared" si="44"/>
        <v>0</v>
      </c>
      <c r="CB140" s="462">
        <f t="shared" si="45"/>
        <v>0</v>
      </c>
      <c r="CC140" s="462">
        <f>IF(AT140&lt;&gt;0,SSHICHG*Y140,0)</f>
        <v>0</v>
      </c>
      <c r="CD140" s="462">
        <f>IF(AND(AT140&lt;&gt;0,AN140&lt;&gt;"NE"),VLOOKUP(AN140,Retirement_Rates,5,FALSE)*Y140,0)</f>
        <v>0</v>
      </c>
      <c r="CE140" s="462">
        <f>IF(AND(AT140&lt;&gt;0,AJ140&lt;&gt;"PF"),LifeCHG*Y140,0)</f>
        <v>0</v>
      </c>
      <c r="CF140" s="462">
        <f>IF(AND(AT140&lt;&gt;0,AM140="Y"),UICHG*Y140,0)</f>
        <v>-229.42192</v>
      </c>
      <c r="CG140" s="462">
        <f>IF(AND(AT140&lt;&gt;0,N140&lt;&gt;"NR"),DHRCHG*Y140,0)</f>
        <v>0</v>
      </c>
      <c r="CH140" s="462">
        <f>IF(AT140&lt;&gt;0,WCCHG*Y140,0)</f>
        <v>365.20224000000007</v>
      </c>
      <c r="CI140" s="462">
        <f>IF(OR(AND(AT140&lt;&gt;0,AJ140&lt;&gt;"PF",AN140&lt;&gt;"NE",AG140&lt;&gt;"A"),AND(AL140="E",OR(AT140=1,AT140=3))),SickCHG*Y140,0)</f>
        <v>0</v>
      </c>
      <c r="CJ140" s="462">
        <f t="shared" si="46"/>
        <v>135.78032000000007</v>
      </c>
      <c r="CK140" s="462" t="str">
        <f t="shared" si="47"/>
        <v/>
      </c>
      <c r="CL140" s="462" t="str">
        <f t="shared" si="48"/>
        <v/>
      </c>
      <c r="CM140" s="462" t="str">
        <f t="shared" si="49"/>
        <v/>
      </c>
      <c r="CN140" s="462" t="str">
        <f t="shared" si="50"/>
        <v>0001-00</v>
      </c>
    </row>
    <row r="141" spans="1:92" ht="15" thickBot="1" x14ac:dyDescent="0.35">
      <c r="A141" s="376" t="s">
        <v>161</v>
      </c>
      <c r="B141" s="376" t="s">
        <v>162</v>
      </c>
      <c r="C141" s="376" t="s">
        <v>591</v>
      </c>
      <c r="D141" s="376" t="s">
        <v>438</v>
      </c>
      <c r="E141" s="376" t="s">
        <v>165</v>
      </c>
      <c r="F141" s="377" t="s">
        <v>166</v>
      </c>
      <c r="G141" s="376" t="s">
        <v>432</v>
      </c>
      <c r="H141" s="378"/>
      <c r="I141" s="378"/>
      <c r="J141" s="376" t="s">
        <v>168</v>
      </c>
      <c r="K141" s="376" t="s">
        <v>439</v>
      </c>
      <c r="L141" s="376" t="s">
        <v>231</v>
      </c>
      <c r="M141" s="376" t="s">
        <v>171</v>
      </c>
      <c r="N141" s="376" t="s">
        <v>172</v>
      </c>
      <c r="O141" s="379">
        <v>1</v>
      </c>
      <c r="P141" s="460">
        <v>1</v>
      </c>
      <c r="Q141" s="460">
        <v>1</v>
      </c>
      <c r="R141" s="380">
        <v>80</v>
      </c>
      <c r="S141" s="460">
        <v>1</v>
      </c>
      <c r="T141" s="380">
        <v>41080.480000000003</v>
      </c>
      <c r="U141" s="380">
        <v>230.88</v>
      </c>
      <c r="V141" s="380">
        <v>21212.66</v>
      </c>
      <c r="W141" s="380">
        <v>40892.800000000003</v>
      </c>
      <c r="X141" s="380">
        <v>21381.23</v>
      </c>
      <c r="Y141" s="380">
        <v>40892.800000000003</v>
      </c>
      <c r="Z141" s="380">
        <v>21499.83</v>
      </c>
      <c r="AA141" s="376" t="s">
        <v>592</v>
      </c>
      <c r="AB141" s="376" t="s">
        <v>593</v>
      </c>
      <c r="AC141" s="376" t="s">
        <v>594</v>
      </c>
      <c r="AD141" s="376" t="s">
        <v>595</v>
      </c>
      <c r="AE141" s="376" t="s">
        <v>439</v>
      </c>
      <c r="AF141" s="376" t="s">
        <v>236</v>
      </c>
      <c r="AG141" s="376" t="s">
        <v>178</v>
      </c>
      <c r="AH141" s="381">
        <v>19.66</v>
      </c>
      <c r="AI141" s="381">
        <v>2506.9</v>
      </c>
      <c r="AJ141" s="376" t="s">
        <v>179</v>
      </c>
      <c r="AK141" s="376" t="s">
        <v>180</v>
      </c>
      <c r="AL141" s="376" t="s">
        <v>181</v>
      </c>
      <c r="AM141" s="376" t="s">
        <v>182</v>
      </c>
      <c r="AN141" s="376" t="s">
        <v>68</v>
      </c>
      <c r="AO141" s="379">
        <v>80</v>
      </c>
      <c r="AP141" s="460">
        <v>1</v>
      </c>
      <c r="AQ141" s="460">
        <v>1</v>
      </c>
      <c r="AR141" s="458" t="s">
        <v>183</v>
      </c>
      <c r="AS141" s="462">
        <f t="shared" si="34"/>
        <v>1</v>
      </c>
      <c r="AT141">
        <f t="shared" si="35"/>
        <v>1</v>
      </c>
      <c r="AU141" s="462">
        <f>IF(AT141=0,"",IF(AND(AT141=1,M141="F",SUMIF(C2:C391,C141,AS2:AS391)&lt;=1),SUMIF(C2:C391,C141,AS2:AS391),IF(AND(AT141=1,M141="F",SUMIF(C2:C391,C141,AS2:AS391)&gt;1),1,"")))</f>
        <v>1</v>
      </c>
      <c r="AV141" s="462" t="str">
        <f>IF(AT141=0,"",IF(AND(AT141=3,M141="F",SUMIF(C2:C391,C141,AS2:AS391)&lt;=1),SUMIF(C2:C391,C141,AS2:AS391),IF(AND(AT141=3,M141="F",SUMIF(C2:C391,C141,AS2:AS391)&gt;1),1,"")))</f>
        <v/>
      </c>
      <c r="AW141" s="462">
        <f>SUMIF(C2:C391,C141,O2:O391)</f>
        <v>1</v>
      </c>
      <c r="AX141" s="462">
        <f>IF(AND(M141="F",AS141&lt;&gt;0),SUMIF(C2:C391,C141,W2:W391),0)</f>
        <v>40892.800000000003</v>
      </c>
      <c r="AY141" s="462">
        <f t="shared" si="36"/>
        <v>40892.800000000003</v>
      </c>
      <c r="AZ141" s="462" t="str">
        <f t="shared" si="37"/>
        <v/>
      </c>
      <c r="BA141" s="462">
        <f t="shared" si="38"/>
        <v>0</v>
      </c>
      <c r="BB141" s="462">
        <f>IF(AND(AT141=1,AK141="E",AU141&gt;=0.75,AW141=1),Health,IF(AND(AT141=1,AK141="E",AU141&gt;=0.75),Health*P141,IF(AND(AT141=1,AK141="E",AU141&gt;=0.5,AW141=1),PTHealth,IF(AND(AT141=1,AK141="E",AU141&gt;=0.5),PTHealth*P141,0))))</f>
        <v>11650</v>
      </c>
      <c r="BC141" s="462">
        <f>IF(AND(AT141=3,AK141="E",AV141&gt;=0.75,AW141=1),Health,IF(AND(AT141=3,AK141="E",AV141&gt;=0.75),Health*P141,IF(AND(AT141=3,AK141="E",AV141&gt;=0.5,AW141=1),PTHealth,IF(AND(AT141=3,AK141="E",AV141&gt;=0.5),PTHealth*P141,0))))</f>
        <v>0</v>
      </c>
      <c r="BD141" s="462">
        <f>IF(AND(AT141&lt;&gt;0,AX141&gt;=MAXSSDI),SSDI*MAXSSDI*P141,IF(AT141&lt;&gt;0,SSDI*W141,0))</f>
        <v>2535.3536000000004</v>
      </c>
      <c r="BE141" s="462">
        <f>IF(AT141&lt;&gt;0,SSHI*W141,0)</f>
        <v>592.94560000000013</v>
      </c>
      <c r="BF141" s="462">
        <f>IF(AND(AT141&lt;&gt;0,AN141&lt;&gt;"NE"),VLOOKUP(AN141,Retirement_Rates,3,FALSE)*W141,0)</f>
        <v>4882.6003200000005</v>
      </c>
      <c r="BG141" s="462">
        <f>IF(AND(AT141&lt;&gt;0,AJ141&lt;&gt;"PF"),Life*W141,0)</f>
        <v>294.83708800000005</v>
      </c>
      <c r="BH141" s="462">
        <f>IF(AND(AT141&lt;&gt;0,AM141="Y"),UI*W141,0)</f>
        <v>200.37472</v>
      </c>
      <c r="BI141" s="462">
        <f>IF(AND(AT141&lt;&gt;0,N141&lt;&gt;"NR"),DHR*W141,0)</f>
        <v>125.131968</v>
      </c>
      <c r="BJ141" s="462">
        <f>IF(AT141&lt;&gt;0,WC*W141,0)</f>
        <v>1100.0163200000002</v>
      </c>
      <c r="BK141" s="462">
        <f>IF(OR(AND(AT141&lt;&gt;0,AJ141&lt;&gt;"PF",AN141&lt;&gt;"NE",AG141&lt;&gt;"A"),AND(AL141="E",OR(AT141=1,AT141=3))),Sick*W141,0)</f>
        <v>0</v>
      </c>
      <c r="BL141" s="462">
        <f t="shared" si="39"/>
        <v>9731.2596160000012</v>
      </c>
      <c r="BM141" s="462">
        <f t="shared" si="40"/>
        <v>0</v>
      </c>
      <c r="BN141" s="462">
        <f>IF(AND(AT141=1,AK141="E",AU141&gt;=0.75,AW141=1),HealthBY,IF(AND(AT141=1,AK141="E",AU141&gt;=0.75),HealthBY*P141,IF(AND(AT141=1,AK141="E",AU141&gt;=0.5,AW141=1),PTHealthBY,IF(AND(AT141=1,AK141="E",AU141&gt;=0.5),PTHealthBY*P141,0))))</f>
        <v>11650</v>
      </c>
      <c r="BO141" s="462">
        <f>IF(AND(AT141=3,AK141="E",AV141&gt;=0.75,AW141=1),HealthBY,IF(AND(AT141=3,AK141="E",AV141&gt;=0.75),HealthBY*P141,IF(AND(AT141=3,AK141="E",AV141&gt;=0.5,AW141=1),PTHealthBY,IF(AND(AT141=3,AK141="E",AV141&gt;=0.5),PTHealthBY*P141,0))))</f>
        <v>0</v>
      </c>
      <c r="BP141" s="462">
        <f>IF(AND(AT141&lt;&gt;0,(AX141+BA141)&gt;=MAXSSDIBY),SSDIBY*MAXSSDIBY*P141,IF(AT141&lt;&gt;0,SSDIBY*W141,0))</f>
        <v>2535.3536000000004</v>
      </c>
      <c r="BQ141" s="462">
        <f>IF(AT141&lt;&gt;0,SSHIBY*W141,0)</f>
        <v>592.94560000000013</v>
      </c>
      <c r="BR141" s="462">
        <f>IF(AND(AT141&lt;&gt;0,AN141&lt;&gt;"NE"),VLOOKUP(AN141,Retirement_Rates,4,FALSE)*W141,0)</f>
        <v>4882.6003200000005</v>
      </c>
      <c r="BS141" s="462">
        <f>IF(AND(AT141&lt;&gt;0,AJ141&lt;&gt;"PF"),LifeBY*W141,0)</f>
        <v>294.83708800000005</v>
      </c>
      <c r="BT141" s="462">
        <f>IF(AND(AT141&lt;&gt;0,AM141="Y"),UIBY*W141,0)</f>
        <v>0</v>
      </c>
      <c r="BU141" s="462">
        <f>IF(AND(AT141&lt;&gt;0,N141&lt;&gt;"NR"),DHRBY*W141,0)</f>
        <v>125.131968</v>
      </c>
      <c r="BV141" s="462">
        <f>IF(AT141&lt;&gt;0,WCBY*W141,0)</f>
        <v>1418.9801600000001</v>
      </c>
      <c r="BW141" s="462">
        <f>IF(OR(AND(AT141&lt;&gt;0,AJ141&lt;&gt;"PF",AN141&lt;&gt;"NE",AG141&lt;&gt;"A"),AND(AL141="E",OR(AT141=1,AT141=3))),SickBY*W141,0)</f>
        <v>0</v>
      </c>
      <c r="BX141" s="462">
        <f t="shared" si="41"/>
        <v>9849.8487359999999</v>
      </c>
      <c r="BY141" s="462">
        <f t="shared" si="42"/>
        <v>0</v>
      </c>
      <c r="BZ141" s="462">
        <f t="shared" si="43"/>
        <v>0</v>
      </c>
      <c r="CA141" s="462">
        <f t="shared" si="44"/>
        <v>0</v>
      </c>
      <c r="CB141" s="462">
        <f t="shared" si="45"/>
        <v>0</v>
      </c>
      <c r="CC141" s="462">
        <f>IF(AT141&lt;&gt;0,SSHICHG*Y141,0)</f>
        <v>0</v>
      </c>
      <c r="CD141" s="462">
        <f>IF(AND(AT141&lt;&gt;0,AN141&lt;&gt;"NE"),VLOOKUP(AN141,Retirement_Rates,5,FALSE)*Y141,0)</f>
        <v>0</v>
      </c>
      <c r="CE141" s="462">
        <f>IF(AND(AT141&lt;&gt;0,AJ141&lt;&gt;"PF"),LifeCHG*Y141,0)</f>
        <v>0</v>
      </c>
      <c r="CF141" s="462">
        <f>IF(AND(AT141&lt;&gt;0,AM141="Y"),UICHG*Y141,0)</f>
        <v>-200.37472</v>
      </c>
      <c r="CG141" s="462">
        <f>IF(AND(AT141&lt;&gt;0,N141&lt;&gt;"NR"),DHRCHG*Y141,0)</f>
        <v>0</v>
      </c>
      <c r="CH141" s="462">
        <f>IF(AT141&lt;&gt;0,WCCHG*Y141,0)</f>
        <v>318.96384000000006</v>
      </c>
      <c r="CI141" s="462">
        <f>IF(OR(AND(AT141&lt;&gt;0,AJ141&lt;&gt;"PF",AN141&lt;&gt;"NE",AG141&lt;&gt;"A"),AND(AL141="E",OR(AT141=1,AT141=3))),SickCHG*Y141,0)</f>
        <v>0</v>
      </c>
      <c r="CJ141" s="462">
        <f t="shared" si="46"/>
        <v>118.58912000000007</v>
      </c>
      <c r="CK141" s="462" t="str">
        <f t="shared" si="47"/>
        <v/>
      </c>
      <c r="CL141" s="462" t="str">
        <f t="shared" si="48"/>
        <v/>
      </c>
      <c r="CM141" s="462" t="str">
        <f t="shared" si="49"/>
        <v/>
      </c>
      <c r="CN141" s="462" t="str">
        <f t="shared" si="50"/>
        <v>0001-00</v>
      </c>
    </row>
    <row r="142" spans="1:92" ht="15" thickBot="1" x14ac:dyDescent="0.35">
      <c r="A142" s="376" t="s">
        <v>161</v>
      </c>
      <c r="B142" s="376" t="s">
        <v>162</v>
      </c>
      <c r="C142" s="376" t="s">
        <v>596</v>
      </c>
      <c r="D142" s="376" t="s">
        <v>438</v>
      </c>
      <c r="E142" s="376" t="s">
        <v>273</v>
      </c>
      <c r="F142" s="377" t="s">
        <v>166</v>
      </c>
      <c r="G142" s="376" t="s">
        <v>432</v>
      </c>
      <c r="H142" s="378"/>
      <c r="I142" s="378"/>
      <c r="J142" s="376" t="s">
        <v>168</v>
      </c>
      <c r="K142" s="376" t="s">
        <v>439</v>
      </c>
      <c r="L142" s="376" t="s">
        <v>231</v>
      </c>
      <c r="M142" s="376" t="s">
        <v>171</v>
      </c>
      <c r="N142" s="376" t="s">
        <v>172</v>
      </c>
      <c r="O142" s="379">
        <v>1</v>
      </c>
      <c r="P142" s="460">
        <v>1</v>
      </c>
      <c r="Q142" s="460">
        <v>1</v>
      </c>
      <c r="R142" s="380">
        <v>80</v>
      </c>
      <c r="S142" s="460">
        <v>1</v>
      </c>
      <c r="T142" s="380">
        <v>41423.199999999997</v>
      </c>
      <c r="U142" s="380">
        <v>0</v>
      </c>
      <c r="V142" s="380">
        <v>21035.27</v>
      </c>
      <c r="W142" s="380">
        <v>40892.800000000003</v>
      </c>
      <c r="X142" s="380">
        <v>21381.23</v>
      </c>
      <c r="Y142" s="380">
        <v>40892.800000000003</v>
      </c>
      <c r="Z142" s="380">
        <v>21499.83</v>
      </c>
      <c r="AA142" s="376" t="s">
        <v>597</v>
      </c>
      <c r="AB142" s="376" t="s">
        <v>598</v>
      </c>
      <c r="AC142" s="376" t="s">
        <v>599</v>
      </c>
      <c r="AD142" s="376" t="s">
        <v>176</v>
      </c>
      <c r="AE142" s="376" t="s">
        <v>439</v>
      </c>
      <c r="AF142" s="376" t="s">
        <v>236</v>
      </c>
      <c r="AG142" s="376" t="s">
        <v>178</v>
      </c>
      <c r="AH142" s="381">
        <v>19.66</v>
      </c>
      <c r="AI142" s="381">
        <v>4033.6</v>
      </c>
      <c r="AJ142" s="376" t="s">
        <v>179</v>
      </c>
      <c r="AK142" s="376" t="s">
        <v>180</v>
      </c>
      <c r="AL142" s="376" t="s">
        <v>181</v>
      </c>
      <c r="AM142" s="376" t="s">
        <v>182</v>
      </c>
      <c r="AN142" s="376" t="s">
        <v>68</v>
      </c>
      <c r="AO142" s="379">
        <v>80</v>
      </c>
      <c r="AP142" s="460">
        <v>1</v>
      </c>
      <c r="AQ142" s="460">
        <v>1</v>
      </c>
      <c r="AR142" s="458" t="s">
        <v>183</v>
      </c>
      <c r="AS142" s="462">
        <f t="shared" si="34"/>
        <v>1</v>
      </c>
      <c r="AT142">
        <f t="shared" si="35"/>
        <v>1</v>
      </c>
      <c r="AU142" s="462">
        <f>IF(AT142=0,"",IF(AND(AT142=1,M142="F",SUMIF(C2:C391,C142,AS2:AS391)&lt;=1),SUMIF(C2:C391,C142,AS2:AS391),IF(AND(AT142=1,M142="F",SUMIF(C2:C391,C142,AS2:AS391)&gt;1),1,"")))</f>
        <v>1</v>
      </c>
      <c r="AV142" s="462" t="str">
        <f>IF(AT142=0,"",IF(AND(AT142=3,M142="F",SUMIF(C2:C391,C142,AS2:AS391)&lt;=1),SUMIF(C2:C391,C142,AS2:AS391),IF(AND(AT142=3,M142="F",SUMIF(C2:C391,C142,AS2:AS391)&gt;1),1,"")))</f>
        <v/>
      </c>
      <c r="AW142" s="462">
        <f>SUMIF(C2:C391,C142,O2:O391)</f>
        <v>1</v>
      </c>
      <c r="AX142" s="462">
        <f>IF(AND(M142="F",AS142&lt;&gt;0),SUMIF(C2:C391,C142,W2:W391),0)</f>
        <v>40892.800000000003</v>
      </c>
      <c r="AY142" s="462">
        <f t="shared" si="36"/>
        <v>40892.800000000003</v>
      </c>
      <c r="AZ142" s="462" t="str">
        <f t="shared" si="37"/>
        <v/>
      </c>
      <c r="BA142" s="462">
        <f t="shared" si="38"/>
        <v>0</v>
      </c>
      <c r="BB142" s="462">
        <f>IF(AND(AT142=1,AK142="E",AU142&gt;=0.75,AW142=1),Health,IF(AND(AT142=1,AK142="E",AU142&gt;=0.75),Health*P142,IF(AND(AT142=1,AK142="E",AU142&gt;=0.5,AW142=1),PTHealth,IF(AND(AT142=1,AK142="E",AU142&gt;=0.5),PTHealth*P142,0))))</f>
        <v>11650</v>
      </c>
      <c r="BC142" s="462">
        <f>IF(AND(AT142=3,AK142="E",AV142&gt;=0.75,AW142=1),Health,IF(AND(AT142=3,AK142="E",AV142&gt;=0.75),Health*P142,IF(AND(AT142=3,AK142="E",AV142&gt;=0.5,AW142=1),PTHealth,IF(AND(AT142=3,AK142="E",AV142&gt;=0.5),PTHealth*P142,0))))</f>
        <v>0</v>
      </c>
      <c r="BD142" s="462">
        <f>IF(AND(AT142&lt;&gt;0,AX142&gt;=MAXSSDI),SSDI*MAXSSDI*P142,IF(AT142&lt;&gt;0,SSDI*W142,0))</f>
        <v>2535.3536000000004</v>
      </c>
      <c r="BE142" s="462">
        <f>IF(AT142&lt;&gt;0,SSHI*W142,0)</f>
        <v>592.94560000000013</v>
      </c>
      <c r="BF142" s="462">
        <f>IF(AND(AT142&lt;&gt;0,AN142&lt;&gt;"NE"),VLOOKUP(AN142,Retirement_Rates,3,FALSE)*W142,0)</f>
        <v>4882.6003200000005</v>
      </c>
      <c r="BG142" s="462">
        <f>IF(AND(AT142&lt;&gt;0,AJ142&lt;&gt;"PF"),Life*W142,0)</f>
        <v>294.83708800000005</v>
      </c>
      <c r="BH142" s="462">
        <f>IF(AND(AT142&lt;&gt;0,AM142="Y"),UI*W142,0)</f>
        <v>200.37472</v>
      </c>
      <c r="BI142" s="462">
        <f>IF(AND(AT142&lt;&gt;0,N142&lt;&gt;"NR"),DHR*W142,0)</f>
        <v>125.131968</v>
      </c>
      <c r="BJ142" s="462">
        <f>IF(AT142&lt;&gt;0,WC*W142,0)</f>
        <v>1100.0163200000002</v>
      </c>
      <c r="BK142" s="462">
        <f>IF(OR(AND(AT142&lt;&gt;0,AJ142&lt;&gt;"PF",AN142&lt;&gt;"NE",AG142&lt;&gt;"A"),AND(AL142="E",OR(AT142=1,AT142=3))),Sick*W142,0)</f>
        <v>0</v>
      </c>
      <c r="BL142" s="462">
        <f t="shared" si="39"/>
        <v>9731.2596160000012</v>
      </c>
      <c r="BM142" s="462">
        <f t="shared" si="40"/>
        <v>0</v>
      </c>
      <c r="BN142" s="462">
        <f>IF(AND(AT142=1,AK142="E",AU142&gt;=0.75,AW142=1),HealthBY,IF(AND(AT142=1,AK142="E",AU142&gt;=0.75),HealthBY*P142,IF(AND(AT142=1,AK142="E",AU142&gt;=0.5,AW142=1),PTHealthBY,IF(AND(AT142=1,AK142="E",AU142&gt;=0.5),PTHealthBY*P142,0))))</f>
        <v>11650</v>
      </c>
      <c r="BO142" s="462">
        <f>IF(AND(AT142=3,AK142="E",AV142&gt;=0.75,AW142=1),HealthBY,IF(AND(AT142=3,AK142="E",AV142&gt;=0.75),HealthBY*P142,IF(AND(AT142=3,AK142="E",AV142&gt;=0.5,AW142=1),PTHealthBY,IF(AND(AT142=3,AK142="E",AV142&gt;=0.5),PTHealthBY*P142,0))))</f>
        <v>0</v>
      </c>
      <c r="BP142" s="462">
        <f>IF(AND(AT142&lt;&gt;0,(AX142+BA142)&gt;=MAXSSDIBY),SSDIBY*MAXSSDIBY*P142,IF(AT142&lt;&gt;0,SSDIBY*W142,0))</f>
        <v>2535.3536000000004</v>
      </c>
      <c r="BQ142" s="462">
        <f>IF(AT142&lt;&gt;0,SSHIBY*W142,0)</f>
        <v>592.94560000000013</v>
      </c>
      <c r="BR142" s="462">
        <f>IF(AND(AT142&lt;&gt;0,AN142&lt;&gt;"NE"),VLOOKUP(AN142,Retirement_Rates,4,FALSE)*W142,0)</f>
        <v>4882.6003200000005</v>
      </c>
      <c r="BS142" s="462">
        <f>IF(AND(AT142&lt;&gt;0,AJ142&lt;&gt;"PF"),LifeBY*W142,0)</f>
        <v>294.83708800000005</v>
      </c>
      <c r="BT142" s="462">
        <f>IF(AND(AT142&lt;&gt;0,AM142="Y"),UIBY*W142,0)</f>
        <v>0</v>
      </c>
      <c r="BU142" s="462">
        <f>IF(AND(AT142&lt;&gt;0,N142&lt;&gt;"NR"),DHRBY*W142,0)</f>
        <v>125.131968</v>
      </c>
      <c r="BV142" s="462">
        <f>IF(AT142&lt;&gt;0,WCBY*W142,0)</f>
        <v>1418.9801600000001</v>
      </c>
      <c r="BW142" s="462">
        <f>IF(OR(AND(AT142&lt;&gt;0,AJ142&lt;&gt;"PF",AN142&lt;&gt;"NE",AG142&lt;&gt;"A"),AND(AL142="E",OR(AT142=1,AT142=3))),SickBY*W142,0)</f>
        <v>0</v>
      </c>
      <c r="BX142" s="462">
        <f t="shared" si="41"/>
        <v>9849.8487359999999</v>
      </c>
      <c r="BY142" s="462">
        <f t="shared" si="42"/>
        <v>0</v>
      </c>
      <c r="BZ142" s="462">
        <f t="shared" si="43"/>
        <v>0</v>
      </c>
      <c r="CA142" s="462">
        <f t="shared" si="44"/>
        <v>0</v>
      </c>
      <c r="CB142" s="462">
        <f t="shared" si="45"/>
        <v>0</v>
      </c>
      <c r="CC142" s="462">
        <f>IF(AT142&lt;&gt;0,SSHICHG*Y142,0)</f>
        <v>0</v>
      </c>
      <c r="CD142" s="462">
        <f>IF(AND(AT142&lt;&gt;0,AN142&lt;&gt;"NE"),VLOOKUP(AN142,Retirement_Rates,5,FALSE)*Y142,0)</f>
        <v>0</v>
      </c>
      <c r="CE142" s="462">
        <f>IF(AND(AT142&lt;&gt;0,AJ142&lt;&gt;"PF"),LifeCHG*Y142,0)</f>
        <v>0</v>
      </c>
      <c r="CF142" s="462">
        <f>IF(AND(AT142&lt;&gt;0,AM142="Y"),UICHG*Y142,0)</f>
        <v>-200.37472</v>
      </c>
      <c r="CG142" s="462">
        <f>IF(AND(AT142&lt;&gt;0,N142&lt;&gt;"NR"),DHRCHG*Y142,0)</f>
        <v>0</v>
      </c>
      <c r="CH142" s="462">
        <f>IF(AT142&lt;&gt;0,WCCHG*Y142,0)</f>
        <v>318.96384000000006</v>
      </c>
      <c r="CI142" s="462">
        <f>IF(OR(AND(AT142&lt;&gt;0,AJ142&lt;&gt;"PF",AN142&lt;&gt;"NE",AG142&lt;&gt;"A"),AND(AL142="E",OR(AT142=1,AT142=3))),SickCHG*Y142,0)</f>
        <v>0</v>
      </c>
      <c r="CJ142" s="462">
        <f t="shared" si="46"/>
        <v>118.58912000000007</v>
      </c>
      <c r="CK142" s="462" t="str">
        <f t="shared" si="47"/>
        <v/>
      </c>
      <c r="CL142" s="462" t="str">
        <f t="shared" si="48"/>
        <v/>
      </c>
      <c r="CM142" s="462" t="str">
        <f t="shared" si="49"/>
        <v/>
      </c>
      <c r="CN142" s="462" t="str">
        <f t="shared" si="50"/>
        <v>0243-00</v>
      </c>
    </row>
    <row r="143" spans="1:92" ht="15" thickBot="1" x14ac:dyDescent="0.35">
      <c r="A143" s="376" t="s">
        <v>161</v>
      </c>
      <c r="B143" s="376" t="s">
        <v>162</v>
      </c>
      <c r="C143" s="376" t="s">
        <v>600</v>
      </c>
      <c r="D143" s="376" t="s">
        <v>601</v>
      </c>
      <c r="E143" s="376" t="s">
        <v>273</v>
      </c>
      <c r="F143" s="377" t="s">
        <v>166</v>
      </c>
      <c r="G143" s="376" t="s">
        <v>432</v>
      </c>
      <c r="H143" s="378"/>
      <c r="I143" s="378"/>
      <c r="J143" s="376" t="s">
        <v>168</v>
      </c>
      <c r="K143" s="376" t="s">
        <v>602</v>
      </c>
      <c r="L143" s="376" t="s">
        <v>395</v>
      </c>
      <c r="M143" s="376" t="s">
        <v>171</v>
      </c>
      <c r="N143" s="376" t="s">
        <v>172</v>
      </c>
      <c r="O143" s="379">
        <v>1</v>
      </c>
      <c r="P143" s="460">
        <v>1</v>
      </c>
      <c r="Q143" s="460">
        <v>1</v>
      </c>
      <c r="R143" s="380">
        <v>80</v>
      </c>
      <c r="S143" s="460">
        <v>1</v>
      </c>
      <c r="T143" s="380">
        <v>36890.79</v>
      </c>
      <c r="U143" s="380">
        <v>0</v>
      </c>
      <c r="V143" s="380">
        <v>20144.36</v>
      </c>
      <c r="W143" s="380">
        <v>36587.199999999997</v>
      </c>
      <c r="X143" s="380">
        <v>20356.62</v>
      </c>
      <c r="Y143" s="380">
        <v>36587.199999999997</v>
      </c>
      <c r="Z143" s="380">
        <v>20462.73</v>
      </c>
      <c r="AA143" s="376" t="s">
        <v>603</v>
      </c>
      <c r="AB143" s="376" t="s">
        <v>604</v>
      </c>
      <c r="AC143" s="376" t="s">
        <v>605</v>
      </c>
      <c r="AD143" s="376" t="s">
        <v>170</v>
      </c>
      <c r="AE143" s="376" t="s">
        <v>602</v>
      </c>
      <c r="AF143" s="376" t="s">
        <v>399</v>
      </c>
      <c r="AG143" s="376" t="s">
        <v>178</v>
      </c>
      <c r="AH143" s="381">
        <v>17.59</v>
      </c>
      <c r="AI143" s="381">
        <v>17840.400000000001</v>
      </c>
      <c r="AJ143" s="376" t="s">
        <v>179</v>
      </c>
      <c r="AK143" s="376" t="s">
        <v>180</v>
      </c>
      <c r="AL143" s="376" t="s">
        <v>181</v>
      </c>
      <c r="AM143" s="376" t="s">
        <v>182</v>
      </c>
      <c r="AN143" s="376" t="s">
        <v>68</v>
      </c>
      <c r="AO143" s="379">
        <v>80</v>
      </c>
      <c r="AP143" s="460">
        <v>1</v>
      </c>
      <c r="AQ143" s="460">
        <v>1</v>
      </c>
      <c r="AR143" s="458" t="s">
        <v>183</v>
      </c>
      <c r="AS143" s="462">
        <f t="shared" si="34"/>
        <v>1</v>
      </c>
      <c r="AT143">
        <f t="shared" si="35"/>
        <v>1</v>
      </c>
      <c r="AU143" s="462">
        <f>IF(AT143=0,"",IF(AND(AT143=1,M143="F",SUMIF(C2:C391,C143,AS2:AS391)&lt;=1),SUMIF(C2:C391,C143,AS2:AS391),IF(AND(AT143=1,M143="F",SUMIF(C2:C391,C143,AS2:AS391)&gt;1),1,"")))</f>
        <v>1</v>
      </c>
      <c r="AV143" s="462" t="str">
        <f>IF(AT143=0,"",IF(AND(AT143=3,M143="F",SUMIF(C2:C391,C143,AS2:AS391)&lt;=1),SUMIF(C2:C391,C143,AS2:AS391),IF(AND(AT143=3,M143="F",SUMIF(C2:C391,C143,AS2:AS391)&gt;1),1,"")))</f>
        <v/>
      </c>
      <c r="AW143" s="462">
        <f>SUMIF(C2:C391,C143,O2:O391)</f>
        <v>1</v>
      </c>
      <c r="AX143" s="462">
        <f>IF(AND(M143="F",AS143&lt;&gt;0),SUMIF(C2:C391,C143,W2:W391),0)</f>
        <v>36587.199999999997</v>
      </c>
      <c r="AY143" s="462">
        <f t="shared" si="36"/>
        <v>36587.199999999997</v>
      </c>
      <c r="AZ143" s="462" t="str">
        <f t="shared" si="37"/>
        <v/>
      </c>
      <c r="BA143" s="462">
        <f t="shared" si="38"/>
        <v>0</v>
      </c>
      <c r="BB143" s="462">
        <f>IF(AND(AT143=1,AK143="E",AU143&gt;=0.75,AW143=1),Health,IF(AND(AT143=1,AK143="E",AU143&gt;=0.75),Health*P143,IF(AND(AT143=1,AK143="E",AU143&gt;=0.5,AW143=1),PTHealth,IF(AND(AT143=1,AK143="E",AU143&gt;=0.5),PTHealth*P143,0))))</f>
        <v>11650</v>
      </c>
      <c r="BC143" s="462">
        <f>IF(AND(AT143=3,AK143="E",AV143&gt;=0.75,AW143=1),Health,IF(AND(AT143=3,AK143="E",AV143&gt;=0.75),Health*P143,IF(AND(AT143=3,AK143="E",AV143&gt;=0.5,AW143=1),PTHealth,IF(AND(AT143=3,AK143="E",AV143&gt;=0.5),PTHealth*P143,0))))</f>
        <v>0</v>
      </c>
      <c r="BD143" s="462">
        <f>IF(AND(AT143&lt;&gt;0,AX143&gt;=MAXSSDI),SSDI*MAXSSDI*P143,IF(AT143&lt;&gt;0,SSDI*W143,0))</f>
        <v>2268.4063999999998</v>
      </c>
      <c r="BE143" s="462">
        <f>IF(AT143&lt;&gt;0,SSHI*W143,0)</f>
        <v>530.51440000000002</v>
      </c>
      <c r="BF143" s="462">
        <f>IF(AND(AT143&lt;&gt;0,AN143&lt;&gt;"NE"),VLOOKUP(AN143,Retirement_Rates,3,FALSE)*W143,0)</f>
        <v>4368.5116799999996</v>
      </c>
      <c r="BG143" s="462">
        <f>IF(AND(AT143&lt;&gt;0,AJ143&lt;&gt;"PF"),Life*W143,0)</f>
        <v>263.79371199999997</v>
      </c>
      <c r="BH143" s="462">
        <f>IF(AND(AT143&lt;&gt;0,AM143="Y"),UI*W143,0)</f>
        <v>179.27727999999999</v>
      </c>
      <c r="BI143" s="462">
        <f>IF(AND(AT143&lt;&gt;0,N143&lt;&gt;"NR"),DHR*W143,0)</f>
        <v>111.95683199999998</v>
      </c>
      <c r="BJ143" s="462">
        <f>IF(AT143&lt;&gt;0,WC*W143,0)</f>
        <v>984.19567999999992</v>
      </c>
      <c r="BK143" s="462">
        <f>IF(OR(AND(AT143&lt;&gt;0,AJ143&lt;&gt;"PF",AN143&lt;&gt;"NE",AG143&lt;&gt;"A"),AND(AL143="E",OR(AT143=1,AT143=3))),Sick*W143,0)</f>
        <v>0</v>
      </c>
      <c r="BL143" s="462">
        <f t="shared" si="39"/>
        <v>8706.6559839999991</v>
      </c>
      <c r="BM143" s="462">
        <f t="shared" si="40"/>
        <v>0</v>
      </c>
      <c r="BN143" s="462">
        <f>IF(AND(AT143=1,AK143="E",AU143&gt;=0.75,AW143=1),HealthBY,IF(AND(AT143=1,AK143="E",AU143&gt;=0.75),HealthBY*P143,IF(AND(AT143=1,AK143="E",AU143&gt;=0.5,AW143=1),PTHealthBY,IF(AND(AT143=1,AK143="E",AU143&gt;=0.5),PTHealthBY*P143,0))))</f>
        <v>11650</v>
      </c>
      <c r="BO143" s="462">
        <f>IF(AND(AT143=3,AK143="E",AV143&gt;=0.75,AW143=1),HealthBY,IF(AND(AT143=3,AK143="E",AV143&gt;=0.75),HealthBY*P143,IF(AND(AT143=3,AK143="E",AV143&gt;=0.5,AW143=1),PTHealthBY,IF(AND(AT143=3,AK143="E",AV143&gt;=0.5),PTHealthBY*P143,0))))</f>
        <v>0</v>
      </c>
      <c r="BP143" s="462">
        <f>IF(AND(AT143&lt;&gt;0,(AX143+BA143)&gt;=MAXSSDIBY),SSDIBY*MAXSSDIBY*P143,IF(AT143&lt;&gt;0,SSDIBY*W143,0))</f>
        <v>2268.4063999999998</v>
      </c>
      <c r="BQ143" s="462">
        <f>IF(AT143&lt;&gt;0,SSHIBY*W143,0)</f>
        <v>530.51440000000002</v>
      </c>
      <c r="BR143" s="462">
        <f>IF(AND(AT143&lt;&gt;0,AN143&lt;&gt;"NE"),VLOOKUP(AN143,Retirement_Rates,4,FALSE)*W143,0)</f>
        <v>4368.5116799999996</v>
      </c>
      <c r="BS143" s="462">
        <f>IF(AND(AT143&lt;&gt;0,AJ143&lt;&gt;"PF"),LifeBY*W143,0)</f>
        <v>263.79371199999997</v>
      </c>
      <c r="BT143" s="462">
        <f>IF(AND(AT143&lt;&gt;0,AM143="Y"),UIBY*W143,0)</f>
        <v>0</v>
      </c>
      <c r="BU143" s="462">
        <f>IF(AND(AT143&lt;&gt;0,N143&lt;&gt;"NR"),DHRBY*W143,0)</f>
        <v>111.95683199999998</v>
      </c>
      <c r="BV143" s="462">
        <f>IF(AT143&lt;&gt;0,WCBY*W143,0)</f>
        <v>1269.57584</v>
      </c>
      <c r="BW143" s="462">
        <f>IF(OR(AND(AT143&lt;&gt;0,AJ143&lt;&gt;"PF",AN143&lt;&gt;"NE",AG143&lt;&gt;"A"),AND(AL143="E",OR(AT143=1,AT143=3))),SickBY*W143,0)</f>
        <v>0</v>
      </c>
      <c r="BX143" s="462">
        <f t="shared" si="41"/>
        <v>8812.7588639999994</v>
      </c>
      <c r="BY143" s="462">
        <f t="shared" si="42"/>
        <v>0</v>
      </c>
      <c r="BZ143" s="462">
        <f t="shared" si="43"/>
        <v>0</v>
      </c>
      <c r="CA143" s="462">
        <f t="shared" si="44"/>
        <v>0</v>
      </c>
      <c r="CB143" s="462">
        <f t="shared" si="45"/>
        <v>0</v>
      </c>
      <c r="CC143" s="462">
        <f>IF(AT143&lt;&gt;0,SSHICHG*Y143,0)</f>
        <v>0</v>
      </c>
      <c r="CD143" s="462">
        <f>IF(AND(AT143&lt;&gt;0,AN143&lt;&gt;"NE"),VLOOKUP(AN143,Retirement_Rates,5,FALSE)*Y143,0)</f>
        <v>0</v>
      </c>
      <c r="CE143" s="462">
        <f>IF(AND(AT143&lt;&gt;0,AJ143&lt;&gt;"PF"),LifeCHG*Y143,0)</f>
        <v>0</v>
      </c>
      <c r="CF143" s="462">
        <f>IF(AND(AT143&lt;&gt;0,AM143="Y"),UICHG*Y143,0)</f>
        <v>-179.27727999999999</v>
      </c>
      <c r="CG143" s="462">
        <f>IF(AND(AT143&lt;&gt;0,N143&lt;&gt;"NR"),DHRCHG*Y143,0)</f>
        <v>0</v>
      </c>
      <c r="CH143" s="462">
        <f>IF(AT143&lt;&gt;0,WCCHG*Y143,0)</f>
        <v>285.38016000000005</v>
      </c>
      <c r="CI143" s="462">
        <f>IF(OR(AND(AT143&lt;&gt;0,AJ143&lt;&gt;"PF",AN143&lt;&gt;"NE",AG143&lt;&gt;"A"),AND(AL143="E",OR(AT143=1,AT143=3))),SickCHG*Y143,0)</f>
        <v>0</v>
      </c>
      <c r="CJ143" s="462">
        <f t="shared" si="46"/>
        <v>106.10288000000006</v>
      </c>
      <c r="CK143" s="462" t="str">
        <f t="shared" si="47"/>
        <v/>
      </c>
      <c r="CL143" s="462" t="str">
        <f t="shared" si="48"/>
        <v/>
      </c>
      <c r="CM143" s="462" t="str">
        <f t="shared" si="49"/>
        <v/>
      </c>
      <c r="CN143" s="462" t="str">
        <f t="shared" si="50"/>
        <v>0243-00</v>
      </c>
    </row>
    <row r="144" spans="1:92" ht="15" thickBot="1" x14ac:dyDescent="0.35">
      <c r="A144" s="376" t="s">
        <v>161</v>
      </c>
      <c r="B144" s="376" t="s">
        <v>162</v>
      </c>
      <c r="C144" s="376" t="s">
        <v>437</v>
      </c>
      <c r="D144" s="376" t="s">
        <v>438</v>
      </c>
      <c r="E144" s="376" t="s">
        <v>273</v>
      </c>
      <c r="F144" s="377" t="s">
        <v>166</v>
      </c>
      <c r="G144" s="376" t="s">
        <v>432</v>
      </c>
      <c r="H144" s="378"/>
      <c r="I144" s="378"/>
      <c r="J144" s="376" t="s">
        <v>193</v>
      </c>
      <c r="K144" s="376" t="s">
        <v>439</v>
      </c>
      <c r="L144" s="376" t="s">
        <v>231</v>
      </c>
      <c r="M144" s="376" t="s">
        <v>171</v>
      </c>
      <c r="N144" s="376" t="s">
        <v>172</v>
      </c>
      <c r="O144" s="379">
        <v>1</v>
      </c>
      <c r="P144" s="460">
        <v>0.6</v>
      </c>
      <c r="Q144" s="460">
        <v>0.6</v>
      </c>
      <c r="R144" s="380">
        <v>80</v>
      </c>
      <c r="S144" s="460">
        <v>0.6</v>
      </c>
      <c r="T144" s="380">
        <v>19357.64</v>
      </c>
      <c r="U144" s="380">
        <v>0</v>
      </c>
      <c r="V144" s="380">
        <v>10864.66</v>
      </c>
      <c r="W144" s="380">
        <v>24111.360000000001</v>
      </c>
      <c r="X144" s="380">
        <v>12727.75</v>
      </c>
      <c r="Y144" s="380">
        <v>24111.360000000001</v>
      </c>
      <c r="Z144" s="380">
        <v>12797.68</v>
      </c>
      <c r="AA144" s="376" t="s">
        <v>440</v>
      </c>
      <c r="AB144" s="376" t="s">
        <v>441</v>
      </c>
      <c r="AC144" s="376" t="s">
        <v>341</v>
      </c>
      <c r="AD144" s="376" t="s">
        <v>176</v>
      </c>
      <c r="AE144" s="376" t="s">
        <v>439</v>
      </c>
      <c r="AF144" s="376" t="s">
        <v>236</v>
      </c>
      <c r="AG144" s="376" t="s">
        <v>178</v>
      </c>
      <c r="AH144" s="381">
        <v>19.32</v>
      </c>
      <c r="AI144" s="381">
        <v>4860.5</v>
      </c>
      <c r="AJ144" s="376" t="s">
        <v>179</v>
      </c>
      <c r="AK144" s="376" t="s">
        <v>180</v>
      </c>
      <c r="AL144" s="376" t="s">
        <v>181</v>
      </c>
      <c r="AM144" s="376" t="s">
        <v>182</v>
      </c>
      <c r="AN144" s="376" t="s">
        <v>68</v>
      </c>
      <c r="AO144" s="379">
        <v>80</v>
      </c>
      <c r="AP144" s="460">
        <v>1</v>
      </c>
      <c r="AQ144" s="460">
        <v>0.6</v>
      </c>
      <c r="AR144" s="458" t="s">
        <v>183</v>
      </c>
      <c r="AS144" s="462">
        <f t="shared" si="34"/>
        <v>0.6</v>
      </c>
      <c r="AT144">
        <f t="shared" si="35"/>
        <v>1</v>
      </c>
      <c r="AU144" s="462">
        <f>IF(AT144=0,"",IF(AND(AT144=1,M144="F",SUMIF(C2:C391,C144,AS2:AS391)&lt;=1),SUMIF(C2:C391,C144,AS2:AS391),IF(AND(AT144=1,M144="F",SUMIF(C2:C391,C144,AS2:AS391)&gt;1),1,"")))</f>
        <v>1</v>
      </c>
      <c r="AV144" s="462" t="str">
        <f>IF(AT144=0,"",IF(AND(AT144=3,M144="F",SUMIF(C2:C391,C144,AS2:AS391)&lt;=1),SUMIF(C2:C391,C144,AS2:AS391),IF(AND(AT144=3,M144="F",SUMIF(C2:C391,C144,AS2:AS391)&gt;1),1,"")))</f>
        <v/>
      </c>
      <c r="AW144" s="462">
        <f>SUMIF(C2:C391,C144,O2:O391)</f>
        <v>3</v>
      </c>
      <c r="AX144" s="462">
        <f>IF(AND(M144="F",AS144&lt;&gt;0),SUMIF(C2:C391,C144,W2:W391),0)</f>
        <v>40185.599999999999</v>
      </c>
      <c r="AY144" s="462">
        <f t="shared" si="36"/>
        <v>24111.360000000001</v>
      </c>
      <c r="AZ144" s="462" t="str">
        <f t="shared" si="37"/>
        <v/>
      </c>
      <c r="BA144" s="462">
        <f t="shared" si="38"/>
        <v>0</v>
      </c>
      <c r="BB144" s="462">
        <f>IF(AND(AT144=1,AK144="E",AU144&gt;=0.75,AW144=1),Health,IF(AND(AT144=1,AK144="E",AU144&gt;=0.75),Health*P144,IF(AND(AT144=1,AK144="E",AU144&gt;=0.5,AW144=1),PTHealth,IF(AND(AT144=1,AK144="E",AU144&gt;=0.5),PTHealth*P144,0))))</f>
        <v>6990</v>
      </c>
      <c r="BC144" s="462">
        <f>IF(AND(AT144=3,AK144="E",AV144&gt;=0.75,AW144=1),Health,IF(AND(AT144=3,AK144="E",AV144&gt;=0.75),Health*P144,IF(AND(AT144=3,AK144="E",AV144&gt;=0.5,AW144=1),PTHealth,IF(AND(AT144=3,AK144="E",AV144&gt;=0.5),PTHealth*P144,0))))</f>
        <v>0</v>
      </c>
      <c r="BD144" s="462">
        <f>IF(AND(AT144&lt;&gt;0,AX144&gt;=MAXSSDI),SSDI*MAXSSDI*P144,IF(AT144&lt;&gt;0,SSDI*W144,0))</f>
        <v>1494.9043200000001</v>
      </c>
      <c r="BE144" s="462">
        <f>IF(AT144&lt;&gt;0,SSHI*W144,0)</f>
        <v>349.61472000000003</v>
      </c>
      <c r="BF144" s="462">
        <f>IF(AND(AT144&lt;&gt;0,AN144&lt;&gt;"NE"),VLOOKUP(AN144,Retirement_Rates,3,FALSE)*W144,0)</f>
        <v>2878.8963840000001</v>
      </c>
      <c r="BG144" s="462">
        <f>IF(AND(AT144&lt;&gt;0,AJ144&lt;&gt;"PF"),Life*W144,0)</f>
        <v>173.84290560000002</v>
      </c>
      <c r="BH144" s="462">
        <f>IF(AND(AT144&lt;&gt;0,AM144="Y"),UI*W144,0)</f>
        <v>118.145664</v>
      </c>
      <c r="BI144" s="462">
        <f>IF(AND(AT144&lt;&gt;0,N144&lt;&gt;"NR"),DHR*W144,0)</f>
        <v>73.780761599999991</v>
      </c>
      <c r="BJ144" s="462">
        <f>IF(AT144&lt;&gt;0,WC*W144,0)</f>
        <v>648.59558400000003</v>
      </c>
      <c r="BK144" s="462">
        <f>IF(OR(AND(AT144&lt;&gt;0,AJ144&lt;&gt;"PF",AN144&lt;&gt;"NE",AG144&lt;&gt;"A"),AND(AL144="E",OR(AT144=1,AT144=3))),Sick*W144,0)</f>
        <v>0</v>
      </c>
      <c r="BL144" s="462">
        <f t="shared" si="39"/>
        <v>5737.7803392000005</v>
      </c>
      <c r="BM144" s="462">
        <f t="shared" si="40"/>
        <v>0</v>
      </c>
      <c r="BN144" s="462">
        <f>IF(AND(AT144=1,AK144="E",AU144&gt;=0.75,AW144=1),HealthBY,IF(AND(AT144=1,AK144="E",AU144&gt;=0.75),HealthBY*P144,IF(AND(AT144=1,AK144="E",AU144&gt;=0.5,AW144=1),PTHealthBY,IF(AND(AT144=1,AK144="E",AU144&gt;=0.5),PTHealthBY*P144,0))))</f>
        <v>6990</v>
      </c>
      <c r="BO144" s="462">
        <f>IF(AND(AT144=3,AK144="E",AV144&gt;=0.75,AW144=1),HealthBY,IF(AND(AT144=3,AK144="E",AV144&gt;=0.75),HealthBY*P144,IF(AND(AT144=3,AK144="E",AV144&gt;=0.5,AW144=1),PTHealthBY,IF(AND(AT144=3,AK144="E",AV144&gt;=0.5),PTHealthBY*P144,0))))</f>
        <v>0</v>
      </c>
      <c r="BP144" s="462">
        <f>IF(AND(AT144&lt;&gt;0,(AX144+BA144)&gt;=MAXSSDIBY),SSDIBY*MAXSSDIBY*P144,IF(AT144&lt;&gt;0,SSDIBY*W144,0))</f>
        <v>1494.9043200000001</v>
      </c>
      <c r="BQ144" s="462">
        <f>IF(AT144&lt;&gt;0,SSHIBY*W144,0)</f>
        <v>349.61472000000003</v>
      </c>
      <c r="BR144" s="462">
        <f>IF(AND(AT144&lt;&gt;0,AN144&lt;&gt;"NE"),VLOOKUP(AN144,Retirement_Rates,4,FALSE)*W144,0)</f>
        <v>2878.8963840000001</v>
      </c>
      <c r="BS144" s="462">
        <f>IF(AND(AT144&lt;&gt;0,AJ144&lt;&gt;"PF"),LifeBY*W144,0)</f>
        <v>173.84290560000002</v>
      </c>
      <c r="BT144" s="462">
        <f>IF(AND(AT144&lt;&gt;0,AM144="Y"),UIBY*W144,0)</f>
        <v>0</v>
      </c>
      <c r="BU144" s="462">
        <f>IF(AND(AT144&lt;&gt;0,N144&lt;&gt;"NR"),DHRBY*W144,0)</f>
        <v>73.780761599999991</v>
      </c>
      <c r="BV144" s="462">
        <f>IF(AT144&lt;&gt;0,WCBY*W144,0)</f>
        <v>836.66419200000007</v>
      </c>
      <c r="BW144" s="462">
        <f>IF(OR(AND(AT144&lt;&gt;0,AJ144&lt;&gt;"PF",AN144&lt;&gt;"NE",AG144&lt;&gt;"A"),AND(AL144="E",OR(AT144=1,AT144=3))),SickBY*W144,0)</f>
        <v>0</v>
      </c>
      <c r="BX144" s="462">
        <f t="shared" si="41"/>
        <v>5807.7032832000014</v>
      </c>
      <c r="BY144" s="462">
        <f t="shared" si="42"/>
        <v>0</v>
      </c>
      <c r="BZ144" s="462">
        <f t="shared" si="43"/>
        <v>0</v>
      </c>
      <c r="CA144" s="462">
        <f t="shared" si="44"/>
        <v>0</v>
      </c>
      <c r="CB144" s="462">
        <f t="shared" si="45"/>
        <v>0</v>
      </c>
      <c r="CC144" s="462">
        <f>IF(AT144&lt;&gt;0,SSHICHG*Y144,0)</f>
        <v>0</v>
      </c>
      <c r="CD144" s="462">
        <f>IF(AND(AT144&lt;&gt;0,AN144&lt;&gt;"NE"),VLOOKUP(AN144,Retirement_Rates,5,FALSE)*Y144,0)</f>
        <v>0</v>
      </c>
      <c r="CE144" s="462">
        <f>IF(AND(AT144&lt;&gt;0,AJ144&lt;&gt;"PF"),LifeCHG*Y144,0)</f>
        <v>0</v>
      </c>
      <c r="CF144" s="462">
        <f>IF(AND(AT144&lt;&gt;0,AM144="Y"),UICHG*Y144,0)</f>
        <v>-118.145664</v>
      </c>
      <c r="CG144" s="462">
        <f>IF(AND(AT144&lt;&gt;0,N144&lt;&gt;"NR"),DHRCHG*Y144,0)</f>
        <v>0</v>
      </c>
      <c r="CH144" s="462">
        <f>IF(AT144&lt;&gt;0,WCCHG*Y144,0)</f>
        <v>188.06860800000004</v>
      </c>
      <c r="CI144" s="462">
        <f>IF(OR(AND(AT144&lt;&gt;0,AJ144&lt;&gt;"PF",AN144&lt;&gt;"NE",AG144&lt;&gt;"A"),AND(AL144="E",OR(AT144=1,AT144=3))),SickCHG*Y144,0)</f>
        <v>0</v>
      </c>
      <c r="CJ144" s="462">
        <f t="shared" si="46"/>
        <v>69.922944000000044</v>
      </c>
      <c r="CK144" s="462" t="str">
        <f t="shared" si="47"/>
        <v/>
      </c>
      <c r="CL144" s="462" t="str">
        <f t="shared" si="48"/>
        <v/>
      </c>
      <c r="CM144" s="462" t="str">
        <f t="shared" si="49"/>
        <v/>
      </c>
      <c r="CN144" s="462" t="str">
        <f t="shared" si="50"/>
        <v>0243-00</v>
      </c>
    </row>
    <row r="145" spans="1:92" ht="15" thickBot="1" x14ac:dyDescent="0.35">
      <c r="A145" s="376" t="s">
        <v>161</v>
      </c>
      <c r="B145" s="376" t="s">
        <v>162</v>
      </c>
      <c r="C145" s="376" t="s">
        <v>606</v>
      </c>
      <c r="D145" s="376" t="s">
        <v>405</v>
      </c>
      <c r="E145" s="376" t="s">
        <v>273</v>
      </c>
      <c r="F145" s="377" t="s">
        <v>166</v>
      </c>
      <c r="G145" s="376" t="s">
        <v>432</v>
      </c>
      <c r="H145" s="378"/>
      <c r="I145" s="378"/>
      <c r="J145" s="376" t="s">
        <v>168</v>
      </c>
      <c r="K145" s="376" t="s">
        <v>406</v>
      </c>
      <c r="L145" s="376" t="s">
        <v>316</v>
      </c>
      <c r="M145" s="376" t="s">
        <v>171</v>
      </c>
      <c r="N145" s="376" t="s">
        <v>172</v>
      </c>
      <c r="O145" s="379">
        <v>1</v>
      </c>
      <c r="P145" s="460">
        <v>1</v>
      </c>
      <c r="Q145" s="460">
        <v>1</v>
      </c>
      <c r="R145" s="380">
        <v>44</v>
      </c>
      <c r="S145" s="460">
        <v>0.55000000000000004</v>
      </c>
      <c r="T145" s="380">
        <v>15178.91</v>
      </c>
      <c r="U145" s="380">
        <v>0</v>
      </c>
      <c r="V145" s="380">
        <v>13108.06</v>
      </c>
      <c r="W145" s="380">
        <v>15249.52</v>
      </c>
      <c r="X145" s="380">
        <v>15278.9</v>
      </c>
      <c r="Y145" s="380">
        <v>15249.52</v>
      </c>
      <c r="Z145" s="380">
        <v>15323.12</v>
      </c>
      <c r="AA145" s="376" t="s">
        <v>607</v>
      </c>
      <c r="AB145" s="376" t="s">
        <v>608</v>
      </c>
      <c r="AC145" s="376" t="s">
        <v>609</v>
      </c>
      <c r="AD145" s="376" t="s">
        <v>176</v>
      </c>
      <c r="AE145" s="376" t="s">
        <v>406</v>
      </c>
      <c r="AF145" s="376" t="s">
        <v>320</v>
      </c>
      <c r="AG145" s="376" t="s">
        <v>178</v>
      </c>
      <c r="AH145" s="381">
        <v>13.33</v>
      </c>
      <c r="AI145" s="381">
        <v>2353.1999999999998</v>
      </c>
      <c r="AJ145" s="376" t="s">
        <v>249</v>
      </c>
      <c r="AK145" s="376" t="s">
        <v>180</v>
      </c>
      <c r="AL145" s="376" t="s">
        <v>181</v>
      </c>
      <c r="AM145" s="376" t="s">
        <v>182</v>
      </c>
      <c r="AN145" s="376" t="s">
        <v>68</v>
      </c>
      <c r="AO145" s="379">
        <v>44</v>
      </c>
      <c r="AP145" s="460">
        <v>1</v>
      </c>
      <c r="AQ145" s="460">
        <v>0.55000000000000004</v>
      </c>
      <c r="AR145" s="458" t="s">
        <v>183</v>
      </c>
      <c r="AS145" s="462">
        <f t="shared" si="34"/>
        <v>0.55000000000000004</v>
      </c>
      <c r="AT145">
        <f t="shared" si="35"/>
        <v>1</v>
      </c>
      <c r="AU145" s="462">
        <f>IF(AT145=0,"",IF(AND(AT145=1,M145="F",SUMIF(C2:C391,C145,AS2:AS391)&lt;=1),SUMIF(C2:C391,C145,AS2:AS391),IF(AND(AT145=1,M145="F",SUMIF(C2:C391,C145,AS2:AS391)&gt;1),1,"")))</f>
        <v>0.55000000000000004</v>
      </c>
      <c r="AV145" s="462" t="str">
        <f>IF(AT145=0,"",IF(AND(AT145=3,M145="F",SUMIF(C2:C391,C145,AS2:AS391)&lt;=1),SUMIF(C2:C391,C145,AS2:AS391),IF(AND(AT145=3,M145="F",SUMIF(C2:C391,C145,AS2:AS391)&gt;1),1,"")))</f>
        <v/>
      </c>
      <c r="AW145" s="462">
        <f>SUMIF(C2:C391,C145,O2:O391)</f>
        <v>1</v>
      </c>
      <c r="AX145" s="462">
        <f>IF(AND(M145="F",AS145&lt;&gt;0),SUMIF(C2:C391,C145,W2:W391),0)</f>
        <v>15249.52</v>
      </c>
      <c r="AY145" s="462">
        <f t="shared" si="36"/>
        <v>15249.52</v>
      </c>
      <c r="AZ145" s="462" t="str">
        <f t="shared" si="37"/>
        <v/>
      </c>
      <c r="BA145" s="462">
        <f t="shared" si="38"/>
        <v>0</v>
      </c>
      <c r="BB145" s="462">
        <f>IF(AND(AT145=1,AK145="E",AU145&gt;=0.75,AW145=1),Health,IF(AND(AT145=1,AK145="E",AU145&gt;=0.75),Health*P145,IF(AND(AT145=1,AK145="E",AU145&gt;=0.5,AW145=1),PTHealth,IF(AND(AT145=1,AK145="E",AU145&gt;=0.5),PTHealth*P145,0))))</f>
        <v>9320</v>
      </c>
      <c r="BC145" s="462">
        <f>IF(AND(AT145=3,AK145="E",AV145&gt;=0.75,AW145=1),Health,IF(AND(AT145=3,AK145="E",AV145&gt;=0.75),Health*P145,IF(AND(AT145=3,AK145="E",AV145&gt;=0.5,AW145=1),PTHealth,IF(AND(AT145=3,AK145="E",AV145&gt;=0.5),PTHealth*P145,0))))</f>
        <v>0</v>
      </c>
      <c r="BD145" s="462">
        <f>IF(AND(AT145&lt;&gt;0,AX145&gt;=MAXSSDI),SSDI*MAXSSDI*P145,IF(AT145&lt;&gt;0,SSDI*W145,0))</f>
        <v>945.47023999999999</v>
      </c>
      <c r="BE145" s="462">
        <f>IF(AT145&lt;&gt;0,SSHI*W145,0)</f>
        <v>221.11804000000001</v>
      </c>
      <c r="BF145" s="462">
        <f>IF(AND(AT145&lt;&gt;0,AN145&lt;&gt;"NE"),VLOOKUP(AN145,Retirement_Rates,3,FALSE)*W145,0)</f>
        <v>1820.7926880000002</v>
      </c>
      <c r="BG145" s="462">
        <f>IF(AND(AT145&lt;&gt;0,AJ145&lt;&gt;"PF"),Life*W145,0)</f>
        <v>109.9490392</v>
      </c>
      <c r="BH145" s="462">
        <f>IF(AND(AT145&lt;&gt;0,AM145="Y"),UI*W145,0)</f>
        <v>74.722648000000007</v>
      </c>
      <c r="BI145" s="462">
        <f>IF(AND(AT145&lt;&gt;0,N145&lt;&gt;"NR"),DHR*W145,0)</f>
        <v>46.663531200000001</v>
      </c>
      <c r="BJ145" s="462">
        <f>IF(AT145&lt;&gt;0,WC*W145,0)</f>
        <v>410.21208799999999</v>
      </c>
      <c r="BK145" s="462">
        <f>IF(OR(AND(AT145&lt;&gt;0,AJ145&lt;&gt;"PF",AN145&lt;&gt;"NE",AG145&lt;&gt;"A"),AND(AL145="E",OR(AT145=1,AT145=3))),Sick*W145,0)</f>
        <v>0</v>
      </c>
      <c r="BL145" s="462">
        <f t="shared" si="39"/>
        <v>3628.9282744000002</v>
      </c>
      <c r="BM145" s="462">
        <f t="shared" si="40"/>
        <v>0</v>
      </c>
      <c r="BN145" s="462">
        <f>IF(AND(AT145=1,AK145="E",AU145&gt;=0.75,AW145=1),HealthBY,IF(AND(AT145=1,AK145="E",AU145&gt;=0.75),HealthBY*P145,IF(AND(AT145=1,AK145="E",AU145&gt;=0.5,AW145=1),PTHealthBY,IF(AND(AT145=1,AK145="E",AU145&gt;=0.5),PTHealthBY*P145,0))))</f>
        <v>9320</v>
      </c>
      <c r="BO145" s="462">
        <f>IF(AND(AT145=3,AK145="E",AV145&gt;=0.75,AW145=1),HealthBY,IF(AND(AT145=3,AK145="E",AV145&gt;=0.75),HealthBY*P145,IF(AND(AT145=3,AK145="E",AV145&gt;=0.5,AW145=1),PTHealthBY,IF(AND(AT145=3,AK145="E",AV145&gt;=0.5),PTHealthBY*P145,0))))</f>
        <v>0</v>
      </c>
      <c r="BP145" s="462">
        <f>IF(AND(AT145&lt;&gt;0,(AX145+BA145)&gt;=MAXSSDIBY),SSDIBY*MAXSSDIBY*P145,IF(AT145&lt;&gt;0,SSDIBY*W145,0))</f>
        <v>945.47023999999999</v>
      </c>
      <c r="BQ145" s="462">
        <f>IF(AT145&lt;&gt;0,SSHIBY*W145,0)</f>
        <v>221.11804000000001</v>
      </c>
      <c r="BR145" s="462">
        <f>IF(AND(AT145&lt;&gt;0,AN145&lt;&gt;"NE"),VLOOKUP(AN145,Retirement_Rates,4,FALSE)*W145,0)</f>
        <v>1820.7926880000002</v>
      </c>
      <c r="BS145" s="462">
        <f>IF(AND(AT145&lt;&gt;0,AJ145&lt;&gt;"PF"),LifeBY*W145,0)</f>
        <v>109.9490392</v>
      </c>
      <c r="BT145" s="462">
        <f>IF(AND(AT145&lt;&gt;0,AM145="Y"),UIBY*W145,0)</f>
        <v>0</v>
      </c>
      <c r="BU145" s="462">
        <f>IF(AND(AT145&lt;&gt;0,N145&lt;&gt;"NR"),DHRBY*W145,0)</f>
        <v>46.663531200000001</v>
      </c>
      <c r="BV145" s="462">
        <f>IF(AT145&lt;&gt;0,WCBY*W145,0)</f>
        <v>529.15834400000006</v>
      </c>
      <c r="BW145" s="462">
        <f>IF(OR(AND(AT145&lt;&gt;0,AJ145&lt;&gt;"PF",AN145&lt;&gt;"NE",AG145&lt;&gt;"A"),AND(AL145="E",OR(AT145=1,AT145=3))),SickBY*W145,0)</f>
        <v>0</v>
      </c>
      <c r="BX145" s="462">
        <f t="shared" si="41"/>
        <v>3673.1518824</v>
      </c>
      <c r="BY145" s="462">
        <f t="shared" si="42"/>
        <v>0</v>
      </c>
      <c r="BZ145" s="462">
        <f t="shared" si="43"/>
        <v>0</v>
      </c>
      <c r="CA145" s="462">
        <f t="shared" si="44"/>
        <v>0</v>
      </c>
      <c r="CB145" s="462">
        <f t="shared" si="45"/>
        <v>0</v>
      </c>
      <c r="CC145" s="462">
        <f>IF(AT145&lt;&gt;0,SSHICHG*Y145,0)</f>
        <v>0</v>
      </c>
      <c r="CD145" s="462">
        <f>IF(AND(AT145&lt;&gt;0,AN145&lt;&gt;"NE"),VLOOKUP(AN145,Retirement_Rates,5,FALSE)*Y145,0)</f>
        <v>0</v>
      </c>
      <c r="CE145" s="462">
        <f>IF(AND(AT145&lt;&gt;0,AJ145&lt;&gt;"PF"),LifeCHG*Y145,0)</f>
        <v>0</v>
      </c>
      <c r="CF145" s="462">
        <f>IF(AND(AT145&lt;&gt;0,AM145="Y"),UICHG*Y145,0)</f>
        <v>-74.722648000000007</v>
      </c>
      <c r="CG145" s="462">
        <f>IF(AND(AT145&lt;&gt;0,N145&lt;&gt;"NR"),DHRCHG*Y145,0)</f>
        <v>0</v>
      </c>
      <c r="CH145" s="462">
        <f>IF(AT145&lt;&gt;0,WCCHG*Y145,0)</f>
        <v>118.94625600000002</v>
      </c>
      <c r="CI145" s="462">
        <f>IF(OR(AND(AT145&lt;&gt;0,AJ145&lt;&gt;"PF",AN145&lt;&gt;"NE",AG145&lt;&gt;"A"),AND(AL145="E",OR(AT145=1,AT145=3))),SickCHG*Y145,0)</f>
        <v>0</v>
      </c>
      <c r="CJ145" s="462">
        <f t="shared" si="46"/>
        <v>44.223608000000013</v>
      </c>
      <c r="CK145" s="462" t="str">
        <f t="shared" si="47"/>
        <v/>
      </c>
      <c r="CL145" s="462" t="str">
        <f t="shared" si="48"/>
        <v/>
      </c>
      <c r="CM145" s="462" t="str">
        <f t="shared" si="49"/>
        <v/>
      </c>
      <c r="CN145" s="462" t="str">
        <f t="shared" si="50"/>
        <v>0243-00</v>
      </c>
    </row>
    <row r="146" spans="1:92" ht="15" thickBot="1" x14ac:dyDescent="0.35">
      <c r="A146" s="376" t="s">
        <v>161</v>
      </c>
      <c r="B146" s="376" t="s">
        <v>162</v>
      </c>
      <c r="C146" s="376" t="s">
        <v>610</v>
      </c>
      <c r="D146" s="376" t="s">
        <v>221</v>
      </c>
      <c r="E146" s="376" t="s">
        <v>273</v>
      </c>
      <c r="F146" s="377" t="s">
        <v>166</v>
      </c>
      <c r="G146" s="376" t="s">
        <v>432</v>
      </c>
      <c r="H146" s="378"/>
      <c r="I146" s="378"/>
      <c r="J146" s="376" t="s">
        <v>168</v>
      </c>
      <c r="K146" s="376" t="s">
        <v>222</v>
      </c>
      <c r="L146" s="376" t="s">
        <v>166</v>
      </c>
      <c r="M146" s="376" t="s">
        <v>171</v>
      </c>
      <c r="N146" s="376" t="s">
        <v>223</v>
      </c>
      <c r="O146" s="379">
        <v>0</v>
      </c>
      <c r="P146" s="460">
        <v>0</v>
      </c>
      <c r="Q146" s="460">
        <v>0</v>
      </c>
      <c r="R146" s="380">
        <v>0</v>
      </c>
      <c r="S146" s="460">
        <v>0</v>
      </c>
      <c r="T146" s="380">
        <v>14916.63</v>
      </c>
      <c r="U146" s="380">
        <v>915</v>
      </c>
      <c r="V146" s="380">
        <v>2068.37</v>
      </c>
      <c r="W146" s="380">
        <v>0</v>
      </c>
      <c r="X146" s="380">
        <v>0</v>
      </c>
      <c r="Y146" s="380">
        <v>0</v>
      </c>
      <c r="Z146" s="380">
        <v>0</v>
      </c>
      <c r="AA146" s="378"/>
      <c r="AB146" s="376" t="s">
        <v>45</v>
      </c>
      <c r="AC146" s="376" t="s">
        <v>45</v>
      </c>
      <c r="AD146" s="378"/>
      <c r="AE146" s="378"/>
      <c r="AF146" s="378"/>
      <c r="AG146" s="378"/>
      <c r="AH146" s="379">
        <v>0</v>
      </c>
      <c r="AI146" s="379">
        <v>0</v>
      </c>
      <c r="AJ146" s="378"/>
      <c r="AK146" s="378"/>
      <c r="AL146" s="376" t="s">
        <v>181</v>
      </c>
      <c r="AM146" s="378"/>
      <c r="AN146" s="378"/>
      <c r="AO146" s="379">
        <v>0</v>
      </c>
      <c r="AP146" s="460">
        <v>0</v>
      </c>
      <c r="AQ146" s="460">
        <v>0</v>
      </c>
      <c r="AR146" s="459"/>
      <c r="AS146" s="462">
        <f t="shared" si="34"/>
        <v>0</v>
      </c>
      <c r="AT146">
        <f t="shared" si="35"/>
        <v>0</v>
      </c>
      <c r="AU146" s="462" t="str">
        <f>IF(AT146=0,"",IF(AND(AT146=1,M146="F",SUMIF(C2:C391,C146,AS2:AS391)&lt;=1),SUMIF(C2:C391,C146,AS2:AS391),IF(AND(AT146=1,M146="F",SUMIF(C2:C391,C146,AS2:AS391)&gt;1),1,"")))</f>
        <v/>
      </c>
      <c r="AV146" s="462" t="str">
        <f>IF(AT146=0,"",IF(AND(AT146=3,M146="F",SUMIF(C2:C391,C146,AS2:AS391)&lt;=1),SUMIF(C2:C391,C146,AS2:AS391),IF(AND(AT146=3,M146="F",SUMIF(C2:C391,C146,AS2:AS391)&gt;1),1,"")))</f>
        <v/>
      </c>
      <c r="AW146" s="462">
        <f>SUMIF(C2:C391,C146,O2:O391)</f>
        <v>0</v>
      </c>
      <c r="AX146" s="462">
        <f>IF(AND(M146="F",AS146&lt;&gt;0),SUMIF(C2:C391,C146,W2:W391),0)</f>
        <v>0</v>
      </c>
      <c r="AY146" s="462" t="str">
        <f t="shared" si="36"/>
        <v/>
      </c>
      <c r="AZ146" s="462" t="str">
        <f t="shared" si="37"/>
        <v/>
      </c>
      <c r="BA146" s="462">
        <f t="shared" si="38"/>
        <v>0</v>
      </c>
      <c r="BB146" s="462">
        <f>IF(AND(AT146=1,AK146="E",AU146&gt;=0.75,AW146=1),Health,IF(AND(AT146=1,AK146="E",AU146&gt;=0.75),Health*P146,IF(AND(AT146=1,AK146="E",AU146&gt;=0.5,AW146=1),PTHealth,IF(AND(AT146=1,AK146="E",AU146&gt;=0.5),PTHealth*P146,0))))</f>
        <v>0</v>
      </c>
      <c r="BC146" s="462">
        <f>IF(AND(AT146=3,AK146="E",AV146&gt;=0.75,AW146=1),Health,IF(AND(AT146=3,AK146="E",AV146&gt;=0.75),Health*P146,IF(AND(AT146=3,AK146="E",AV146&gt;=0.5,AW146=1),PTHealth,IF(AND(AT146=3,AK146="E",AV146&gt;=0.5),PTHealth*P146,0))))</f>
        <v>0</v>
      </c>
      <c r="BD146" s="462">
        <f>IF(AND(AT146&lt;&gt;0,AX146&gt;=MAXSSDI),SSDI*MAXSSDI*P146,IF(AT146&lt;&gt;0,SSDI*W146,0))</f>
        <v>0</v>
      </c>
      <c r="BE146" s="462">
        <f>IF(AT146&lt;&gt;0,SSHI*W146,0)</f>
        <v>0</v>
      </c>
      <c r="BF146" s="462">
        <f>IF(AND(AT146&lt;&gt;0,AN146&lt;&gt;"NE"),VLOOKUP(AN146,Retirement_Rates,3,FALSE)*W146,0)</f>
        <v>0</v>
      </c>
      <c r="BG146" s="462">
        <f>IF(AND(AT146&lt;&gt;0,AJ146&lt;&gt;"PF"),Life*W146,0)</f>
        <v>0</v>
      </c>
      <c r="BH146" s="462">
        <f>IF(AND(AT146&lt;&gt;0,AM146="Y"),UI*W146,0)</f>
        <v>0</v>
      </c>
      <c r="BI146" s="462">
        <f>IF(AND(AT146&lt;&gt;0,N146&lt;&gt;"NR"),DHR*W146,0)</f>
        <v>0</v>
      </c>
      <c r="BJ146" s="462">
        <f>IF(AT146&lt;&gt;0,WC*W146,0)</f>
        <v>0</v>
      </c>
      <c r="BK146" s="462">
        <f>IF(OR(AND(AT146&lt;&gt;0,AJ146&lt;&gt;"PF",AN146&lt;&gt;"NE",AG146&lt;&gt;"A"),AND(AL146="E",OR(AT146=1,AT146=3))),Sick*W146,0)</f>
        <v>0</v>
      </c>
      <c r="BL146" s="462">
        <f t="shared" si="39"/>
        <v>0</v>
      </c>
      <c r="BM146" s="462">
        <f t="shared" si="40"/>
        <v>0</v>
      </c>
      <c r="BN146" s="462">
        <f>IF(AND(AT146=1,AK146="E",AU146&gt;=0.75,AW146=1),HealthBY,IF(AND(AT146=1,AK146="E",AU146&gt;=0.75),HealthBY*P146,IF(AND(AT146=1,AK146="E",AU146&gt;=0.5,AW146=1),PTHealthBY,IF(AND(AT146=1,AK146="E",AU146&gt;=0.5),PTHealthBY*P146,0))))</f>
        <v>0</v>
      </c>
      <c r="BO146" s="462">
        <f>IF(AND(AT146=3,AK146="E",AV146&gt;=0.75,AW146=1),HealthBY,IF(AND(AT146=3,AK146="E",AV146&gt;=0.75),HealthBY*P146,IF(AND(AT146=3,AK146="E",AV146&gt;=0.5,AW146=1),PTHealthBY,IF(AND(AT146=3,AK146="E",AV146&gt;=0.5),PTHealthBY*P146,0))))</f>
        <v>0</v>
      </c>
      <c r="BP146" s="462">
        <f>IF(AND(AT146&lt;&gt;0,(AX146+BA146)&gt;=MAXSSDIBY),SSDIBY*MAXSSDIBY*P146,IF(AT146&lt;&gt;0,SSDIBY*W146,0))</f>
        <v>0</v>
      </c>
      <c r="BQ146" s="462">
        <f>IF(AT146&lt;&gt;0,SSHIBY*W146,0)</f>
        <v>0</v>
      </c>
      <c r="BR146" s="462">
        <f>IF(AND(AT146&lt;&gt;0,AN146&lt;&gt;"NE"),VLOOKUP(AN146,Retirement_Rates,4,FALSE)*W146,0)</f>
        <v>0</v>
      </c>
      <c r="BS146" s="462">
        <f>IF(AND(AT146&lt;&gt;0,AJ146&lt;&gt;"PF"),LifeBY*W146,0)</f>
        <v>0</v>
      </c>
      <c r="BT146" s="462">
        <f>IF(AND(AT146&lt;&gt;0,AM146="Y"),UIBY*W146,0)</f>
        <v>0</v>
      </c>
      <c r="BU146" s="462">
        <f>IF(AND(AT146&lt;&gt;0,N146&lt;&gt;"NR"),DHRBY*W146,0)</f>
        <v>0</v>
      </c>
      <c r="BV146" s="462">
        <f>IF(AT146&lt;&gt;0,WCBY*W146,0)</f>
        <v>0</v>
      </c>
      <c r="BW146" s="462">
        <f>IF(OR(AND(AT146&lt;&gt;0,AJ146&lt;&gt;"PF",AN146&lt;&gt;"NE",AG146&lt;&gt;"A"),AND(AL146="E",OR(AT146=1,AT146=3))),SickBY*W146,0)</f>
        <v>0</v>
      </c>
      <c r="BX146" s="462">
        <f t="shared" si="41"/>
        <v>0</v>
      </c>
      <c r="BY146" s="462">
        <f t="shared" si="42"/>
        <v>0</v>
      </c>
      <c r="BZ146" s="462">
        <f t="shared" si="43"/>
        <v>0</v>
      </c>
      <c r="CA146" s="462">
        <f t="shared" si="44"/>
        <v>0</v>
      </c>
      <c r="CB146" s="462">
        <f t="shared" si="45"/>
        <v>0</v>
      </c>
      <c r="CC146" s="462">
        <f>IF(AT146&lt;&gt;0,SSHICHG*Y146,0)</f>
        <v>0</v>
      </c>
      <c r="CD146" s="462">
        <f>IF(AND(AT146&lt;&gt;0,AN146&lt;&gt;"NE"),VLOOKUP(AN146,Retirement_Rates,5,FALSE)*Y146,0)</f>
        <v>0</v>
      </c>
      <c r="CE146" s="462">
        <f>IF(AND(AT146&lt;&gt;0,AJ146&lt;&gt;"PF"),LifeCHG*Y146,0)</f>
        <v>0</v>
      </c>
      <c r="CF146" s="462">
        <f>IF(AND(AT146&lt;&gt;0,AM146="Y"),UICHG*Y146,0)</f>
        <v>0</v>
      </c>
      <c r="CG146" s="462">
        <f>IF(AND(AT146&lt;&gt;0,N146&lt;&gt;"NR"),DHRCHG*Y146,0)</f>
        <v>0</v>
      </c>
      <c r="CH146" s="462">
        <f>IF(AT146&lt;&gt;0,WCCHG*Y146,0)</f>
        <v>0</v>
      </c>
      <c r="CI146" s="462">
        <f>IF(OR(AND(AT146&lt;&gt;0,AJ146&lt;&gt;"PF",AN146&lt;&gt;"NE",AG146&lt;&gt;"A"),AND(AL146="E",OR(AT146=1,AT146=3))),SickCHG*Y146,0)</f>
        <v>0</v>
      </c>
      <c r="CJ146" s="462">
        <f t="shared" si="46"/>
        <v>0</v>
      </c>
      <c r="CK146" s="462" t="str">
        <f t="shared" si="47"/>
        <v/>
      </c>
      <c r="CL146" s="462">
        <f t="shared" si="48"/>
        <v>15831.63</v>
      </c>
      <c r="CM146" s="462">
        <f t="shared" si="49"/>
        <v>2068.37</v>
      </c>
      <c r="CN146" s="462" t="str">
        <f t="shared" si="50"/>
        <v>0243-00</v>
      </c>
    </row>
    <row r="147" spans="1:92" ht="15" thickBot="1" x14ac:dyDescent="0.35">
      <c r="A147" s="376" t="s">
        <v>161</v>
      </c>
      <c r="B147" s="376" t="s">
        <v>162</v>
      </c>
      <c r="C147" s="376" t="s">
        <v>611</v>
      </c>
      <c r="D147" s="376" t="s">
        <v>438</v>
      </c>
      <c r="E147" s="376" t="s">
        <v>273</v>
      </c>
      <c r="F147" s="377" t="s">
        <v>166</v>
      </c>
      <c r="G147" s="376" t="s">
        <v>432</v>
      </c>
      <c r="H147" s="378"/>
      <c r="I147" s="378"/>
      <c r="J147" s="376" t="s">
        <v>193</v>
      </c>
      <c r="K147" s="376" t="s">
        <v>439</v>
      </c>
      <c r="L147" s="376" t="s">
        <v>231</v>
      </c>
      <c r="M147" s="376" t="s">
        <v>171</v>
      </c>
      <c r="N147" s="376" t="s">
        <v>172</v>
      </c>
      <c r="O147" s="379">
        <v>1</v>
      </c>
      <c r="P147" s="460">
        <v>0.25</v>
      </c>
      <c r="Q147" s="460">
        <v>0.25</v>
      </c>
      <c r="R147" s="380">
        <v>80</v>
      </c>
      <c r="S147" s="460">
        <v>0.25</v>
      </c>
      <c r="T147" s="380">
        <v>10480.85</v>
      </c>
      <c r="U147" s="380">
        <v>0</v>
      </c>
      <c r="V147" s="380">
        <v>5307.09</v>
      </c>
      <c r="W147" s="380">
        <v>10223.200000000001</v>
      </c>
      <c r="X147" s="380">
        <v>5345.3</v>
      </c>
      <c r="Y147" s="380">
        <v>10223.200000000001</v>
      </c>
      <c r="Z147" s="380">
        <v>5374.95</v>
      </c>
      <c r="AA147" s="376" t="s">
        <v>612</v>
      </c>
      <c r="AB147" s="376" t="s">
        <v>613</v>
      </c>
      <c r="AC147" s="376" t="s">
        <v>614</v>
      </c>
      <c r="AD147" s="376" t="s">
        <v>615</v>
      </c>
      <c r="AE147" s="376" t="s">
        <v>439</v>
      </c>
      <c r="AF147" s="376" t="s">
        <v>236</v>
      </c>
      <c r="AG147" s="376" t="s">
        <v>178</v>
      </c>
      <c r="AH147" s="381">
        <v>19.66</v>
      </c>
      <c r="AI147" s="381">
        <v>6771.6</v>
      </c>
      <c r="AJ147" s="376" t="s">
        <v>179</v>
      </c>
      <c r="AK147" s="376" t="s">
        <v>180</v>
      </c>
      <c r="AL147" s="376" t="s">
        <v>181</v>
      </c>
      <c r="AM147" s="376" t="s">
        <v>182</v>
      </c>
      <c r="AN147" s="376" t="s">
        <v>68</v>
      </c>
      <c r="AO147" s="379">
        <v>80</v>
      </c>
      <c r="AP147" s="460">
        <v>1</v>
      </c>
      <c r="AQ147" s="460">
        <v>0.25</v>
      </c>
      <c r="AR147" s="458" t="s">
        <v>183</v>
      </c>
      <c r="AS147" s="462">
        <f t="shared" si="34"/>
        <v>0.25</v>
      </c>
      <c r="AT147">
        <f t="shared" si="35"/>
        <v>1</v>
      </c>
      <c r="AU147" s="462">
        <f>IF(AT147=0,"",IF(AND(AT147=1,M147="F",SUMIF(C2:C391,C147,AS2:AS391)&lt;=1),SUMIF(C2:C391,C147,AS2:AS391),IF(AND(AT147=1,M147="F",SUMIF(C2:C391,C147,AS2:AS391)&gt;1),1,"")))</f>
        <v>1</v>
      </c>
      <c r="AV147" s="462" t="str">
        <f>IF(AT147=0,"",IF(AND(AT147=3,M147="F",SUMIF(C2:C391,C147,AS2:AS391)&lt;=1),SUMIF(C2:C391,C147,AS2:AS391),IF(AND(AT147=3,M147="F",SUMIF(C2:C391,C147,AS2:AS391)&gt;1),1,"")))</f>
        <v/>
      </c>
      <c r="AW147" s="462">
        <f>SUMIF(C2:C391,C147,O2:O391)</f>
        <v>2</v>
      </c>
      <c r="AX147" s="462">
        <f>IF(AND(M147="F",AS147&lt;&gt;0),SUMIF(C2:C391,C147,W2:W391),0)</f>
        <v>40892.800000000003</v>
      </c>
      <c r="AY147" s="462">
        <f t="shared" si="36"/>
        <v>10223.200000000001</v>
      </c>
      <c r="AZ147" s="462" t="str">
        <f t="shared" si="37"/>
        <v/>
      </c>
      <c r="BA147" s="462">
        <f t="shared" si="38"/>
        <v>0</v>
      </c>
      <c r="BB147" s="462">
        <f>IF(AND(AT147=1,AK147="E",AU147&gt;=0.75,AW147=1),Health,IF(AND(AT147=1,AK147="E",AU147&gt;=0.75),Health*P147,IF(AND(AT147=1,AK147="E",AU147&gt;=0.5,AW147=1),PTHealth,IF(AND(AT147=1,AK147="E",AU147&gt;=0.5),PTHealth*P147,0))))</f>
        <v>2912.5</v>
      </c>
      <c r="BC147" s="462">
        <f>IF(AND(AT147=3,AK147="E",AV147&gt;=0.75,AW147=1),Health,IF(AND(AT147=3,AK147="E",AV147&gt;=0.75),Health*P147,IF(AND(AT147=3,AK147="E",AV147&gt;=0.5,AW147=1),PTHealth,IF(AND(AT147=3,AK147="E",AV147&gt;=0.5),PTHealth*P147,0))))</f>
        <v>0</v>
      </c>
      <c r="BD147" s="462">
        <f>IF(AND(AT147&lt;&gt;0,AX147&gt;=MAXSSDI),SSDI*MAXSSDI*P147,IF(AT147&lt;&gt;0,SSDI*W147,0))</f>
        <v>633.83840000000009</v>
      </c>
      <c r="BE147" s="462">
        <f>IF(AT147&lt;&gt;0,SSHI*W147,0)</f>
        <v>148.23640000000003</v>
      </c>
      <c r="BF147" s="462">
        <f>IF(AND(AT147&lt;&gt;0,AN147&lt;&gt;"NE"),VLOOKUP(AN147,Retirement_Rates,3,FALSE)*W147,0)</f>
        <v>1220.6500800000001</v>
      </c>
      <c r="BG147" s="462">
        <f>IF(AND(AT147&lt;&gt;0,AJ147&lt;&gt;"PF"),Life*W147,0)</f>
        <v>73.709272000000013</v>
      </c>
      <c r="BH147" s="462">
        <f>IF(AND(AT147&lt;&gt;0,AM147="Y"),UI*W147,0)</f>
        <v>50.093679999999999</v>
      </c>
      <c r="BI147" s="462">
        <f>IF(AND(AT147&lt;&gt;0,N147&lt;&gt;"NR"),DHR*W147,0)</f>
        <v>31.282992</v>
      </c>
      <c r="BJ147" s="462">
        <f>IF(AT147&lt;&gt;0,WC*W147,0)</f>
        <v>275.00408000000004</v>
      </c>
      <c r="BK147" s="462">
        <f>IF(OR(AND(AT147&lt;&gt;0,AJ147&lt;&gt;"PF",AN147&lt;&gt;"NE",AG147&lt;&gt;"A"),AND(AL147="E",OR(AT147=1,AT147=3))),Sick*W147,0)</f>
        <v>0</v>
      </c>
      <c r="BL147" s="462">
        <f t="shared" si="39"/>
        <v>2432.8149040000003</v>
      </c>
      <c r="BM147" s="462">
        <f t="shared" si="40"/>
        <v>0</v>
      </c>
      <c r="BN147" s="462">
        <f>IF(AND(AT147=1,AK147="E",AU147&gt;=0.75,AW147=1),HealthBY,IF(AND(AT147=1,AK147="E",AU147&gt;=0.75),HealthBY*P147,IF(AND(AT147=1,AK147="E",AU147&gt;=0.5,AW147=1),PTHealthBY,IF(AND(AT147=1,AK147="E",AU147&gt;=0.5),PTHealthBY*P147,0))))</f>
        <v>2912.5</v>
      </c>
      <c r="BO147" s="462">
        <f>IF(AND(AT147=3,AK147="E",AV147&gt;=0.75,AW147=1),HealthBY,IF(AND(AT147=3,AK147="E",AV147&gt;=0.75),HealthBY*P147,IF(AND(AT147=3,AK147="E",AV147&gt;=0.5,AW147=1),PTHealthBY,IF(AND(AT147=3,AK147="E",AV147&gt;=0.5),PTHealthBY*P147,0))))</f>
        <v>0</v>
      </c>
      <c r="BP147" s="462">
        <f>IF(AND(AT147&lt;&gt;0,(AX147+BA147)&gt;=MAXSSDIBY),SSDIBY*MAXSSDIBY*P147,IF(AT147&lt;&gt;0,SSDIBY*W147,0))</f>
        <v>633.83840000000009</v>
      </c>
      <c r="BQ147" s="462">
        <f>IF(AT147&lt;&gt;0,SSHIBY*W147,0)</f>
        <v>148.23640000000003</v>
      </c>
      <c r="BR147" s="462">
        <f>IF(AND(AT147&lt;&gt;0,AN147&lt;&gt;"NE"),VLOOKUP(AN147,Retirement_Rates,4,FALSE)*W147,0)</f>
        <v>1220.6500800000001</v>
      </c>
      <c r="BS147" s="462">
        <f>IF(AND(AT147&lt;&gt;0,AJ147&lt;&gt;"PF"),LifeBY*W147,0)</f>
        <v>73.709272000000013</v>
      </c>
      <c r="BT147" s="462">
        <f>IF(AND(AT147&lt;&gt;0,AM147="Y"),UIBY*W147,0)</f>
        <v>0</v>
      </c>
      <c r="BU147" s="462">
        <f>IF(AND(AT147&lt;&gt;0,N147&lt;&gt;"NR"),DHRBY*W147,0)</f>
        <v>31.282992</v>
      </c>
      <c r="BV147" s="462">
        <f>IF(AT147&lt;&gt;0,WCBY*W147,0)</f>
        <v>354.74504000000002</v>
      </c>
      <c r="BW147" s="462">
        <f>IF(OR(AND(AT147&lt;&gt;0,AJ147&lt;&gt;"PF",AN147&lt;&gt;"NE",AG147&lt;&gt;"A"),AND(AL147="E",OR(AT147=1,AT147=3))),SickBY*W147,0)</f>
        <v>0</v>
      </c>
      <c r="BX147" s="462">
        <f t="shared" si="41"/>
        <v>2462.462184</v>
      </c>
      <c r="BY147" s="462">
        <f t="shared" si="42"/>
        <v>0</v>
      </c>
      <c r="BZ147" s="462">
        <f t="shared" si="43"/>
        <v>0</v>
      </c>
      <c r="CA147" s="462">
        <f t="shared" si="44"/>
        <v>0</v>
      </c>
      <c r="CB147" s="462">
        <f t="shared" si="45"/>
        <v>0</v>
      </c>
      <c r="CC147" s="462">
        <f>IF(AT147&lt;&gt;0,SSHICHG*Y147,0)</f>
        <v>0</v>
      </c>
      <c r="CD147" s="462">
        <f>IF(AND(AT147&lt;&gt;0,AN147&lt;&gt;"NE"),VLOOKUP(AN147,Retirement_Rates,5,FALSE)*Y147,0)</f>
        <v>0</v>
      </c>
      <c r="CE147" s="462">
        <f>IF(AND(AT147&lt;&gt;0,AJ147&lt;&gt;"PF"),LifeCHG*Y147,0)</f>
        <v>0</v>
      </c>
      <c r="CF147" s="462">
        <f>IF(AND(AT147&lt;&gt;0,AM147="Y"),UICHG*Y147,0)</f>
        <v>-50.093679999999999</v>
      </c>
      <c r="CG147" s="462">
        <f>IF(AND(AT147&lt;&gt;0,N147&lt;&gt;"NR"),DHRCHG*Y147,0)</f>
        <v>0</v>
      </c>
      <c r="CH147" s="462">
        <f>IF(AT147&lt;&gt;0,WCCHG*Y147,0)</f>
        <v>79.740960000000015</v>
      </c>
      <c r="CI147" s="462">
        <f>IF(OR(AND(AT147&lt;&gt;0,AJ147&lt;&gt;"PF",AN147&lt;&gt;"NE",AG147&lt;&gt;"A"),AND(AL147="E",OR(AT147=1,AT147=3))),SickCHG*Y147,0)</f>
        <v>0</v>
      </c>
      <c r="CJ147" s="462">
        <f t="shared" si="46"/>
        <v>29.647280000000016</v>
      </c>
      <c r="CK147" s="462" t="str">
        <f t="shared" si="47"/>
        <v/>
      </c>
      <c r="CL147" s="462" t="str">
        <f t="shared" si="48"/>
        <v/>
      </c>
      <c r="CM147" s="462" t="str">
        <f t="shared" si="49"/>
        <v/>
      </c>
      <c r="CN147" s="462" t="str">
        <f t="shared" si="50"/>
        <v>0243-00</v>
      </c>
    </row>
    <row r="148" spans="1:92" ht="15" thickBot="1" x14ac:dyDescent="0.35">
      <c r="A148" s="376" t="s">
        <v>161</v>
      </c>
      <c r="B148" s="376" t="s">
        <v>162</v>
      </c>
      <c r="C148" s="376" t="s">
        <v>616</v>
      </c>
      <c r="D148" s="376" t="s">
        <v>617</v>
      </c>
      <c r="E148" s="376" t="s">
        <v>273</v>
      </c>
      <c r="F148" s="377" t="s">
        <v>166</v>
      </c>
      <c r="G148" s="376" t="s">
        <v>432</v>
      </c>
      <c r="H148" s="378"/>
      <c r="I148" s="378"/>
      <c r="J148" s="376" t="s">
        <v>168</v>
      </c>
      <c r="K148" s="376" t="s">
        <v>618</v>
      </c>
      <c r="L148" s="378"/>
      <c r="M148" s="378"/>
      <c r="N148" s="378"/>
      <c r="O148" s="379">
        <v>0</v>
      </c>
      <c r="P148" s="460">
        <v>0</v>
      </c>
      <c r="Q148" s="460">
        <v>0</v>
      </c>
      <c r="R148" s="380">
        <v>0</v>
      </c>
      <c r="S148" s="460">
        <v>0</v>
      </c>
      <c r="T148" s="380">
        <v>-4814.1499999999996</v>
      </c>
      <c r="U148" s="380">
        <v>0</v>
      </c>
      <c r="V148" s="380">
        <v>0</v>
      </c>
      <c r="W148" s="380">
        <v>0</v>
      </c>
      <c r="X148" s="380">
        <v>0</v>
      </c>
      <c r="Y148" s="380">
        <v>0</v>
      </c>
      <c r="Z148" s="380">
        <v>0</v>
      </c>
      <c r="AA148" s="378"/>
      <c r="AB148" s="376" t="s">
        <v>45</v>
      </c>
      <c r="AC148" s="376" t="s">
        <v>45</v>
      </c>
      <c r="AD148" s="378"/>
      <c r="AE148" s="378"/>
      <c r="AF148" s="378"/>
      <c r="AG148" s="378"/>
      <c r="AH148" s="379">
        <v>0</v>
      </c>
      <c r="AI148" s="379">
        <v>0</v>
      </c>
      <c r="AJ148" s="378"/>
      <c r="AK148" s="378"/>
      <c r="AL148" s="376" t="s">
        <v>181</v>
      </c>
      <c r="AM148" s="378"/>
      <c r="AN148" s="378"/>
      <c r="AO148" s="379">
        <v>0</v>
      </c>
      <c r="AP148" s="460">
        <v>0</v>
      </c>
      <c r="AQ148" s="460">
        <v>0</v>
      </c>
      <c r="AR148" s="459"/>
      <c r="AS148" s="462">
        <f t="shared" si="34"/>
        <v>0</v>
      </c>
      <c r="AT148">
        <f t="shared" si="35"/>
        <v>0</v>
      </c>
      <c r="AU148" s="462" t="str">
        <f>IF(AT148=0,"",IF(AND(AT148=1,M148="F",SUMIF(C2:C391,C148,AS2:AS391)&lt;=1),SUMIF(C2:C391,C148,AS2:AS391),IF(AND(AT148=1,M148="F",SUMIF(C2:C391,C148,AS2:AS391)&gt;1),1,"")))</f>
        <v/>
      </c>
      <c r="AV148" s="462" t="str">
        <f>IF(AT148=0,"",IF(AND(AT148=3,M148="F",SUMIF(C2:C391,C148,AS2:AS391)&lt;=1),SUMIF(C2:C391,C148,AS2:AS391),IF(AND(AT148=3,M148="F",SUMIF(C2:C391,C148,AS2:AS391)&gt;1),1,"")))</f>
        <v/>
      </c>
      <c r="AW148" s="462">
        <f>SUMIF(C2:C391,C148,O2:O391)</f>
        <v>0</v>
      </c>
      <c r="AX148" s="462">
        <f>IF(AND(M148="F",AS148&lt;&gt;0),SUMIF(C2:C391,C148,W2:W391),0)</f>
        <v>0</v>
      </c>
      <c r="AY148" s="462" t="str">
        <f t="shared" si="36"/>
        <v/>
      </c>
      <c r="AZ148" s="462" t="str">
        <f t="shared" si="37"/>
        <v/>
      </c>
      <c r="BA148" s="462">
        <f t="shared" si="38"/>
        <v>0</v>
      </c>
      <c r="BB148" s="462">
        <f>IF(AND(AT148=1,AK148="E",AU148&gt;=0.75,AW148=1),Health,IF(AND(AT148=1,AK148="E",AU148&gt;=0.75),Health*P148,IF(AND(AT148=1,AK148="E",AU148&gt;=0.5,AW148=1),PTHealth,IF(AND(AT148=1,AK148="E",AU148&gt;=0.5),PTHealth*P148,0))))</f>
        <v>0</v>
      </c>
      <c r="BC148" s="462">
        <f>IF(AND(AT148=3,AK148="E",AV148&gt;=0.75,AW148=1),Health,IF(AND(AT148=3,AK148="E",AV148&gt;=0.75),Health*P148,IF(AND(AT148=3,AK148="E",AV148&gt;=0.5,AW148=1),PTHealth,IF(AND(AT148=3,AK148="E",AV148&gt;=0.5),PTHealth*P148,0))))</f>
        <v>0</v>
      </c>
      <c r="BD148" s="462">
        <f>IF(AND(AT148&lt;&gt;0,AX148&gt;=MAXSSDI),SSDI*MAXSSDI*P148,IF(AT148&lt;&gt;0,SSDI*W148,0))</f>
        <v>0</v>
      </c>
      <c r="BE148" s="462">
        <f>IF(AT148&lt;&gt;0,SSHI*W148,0)</f>
        <v>0</v>
      </c>
      <c r="BF148" s="462">
        <f>IF(AND(AT148&lt;&gt;0,AN148&lt;&gt;"NE"),VLOOKUP(AN148,Retirement_Rates,3,FALSE)*W148,0)</f>
        <v>0</v>
      </c>
      <c r="BG148" s="462">
        <f>IF(AND(AT148&lt;&gt;0,AJ148&lt;&gt;"PF"),Life*W148,0)</f>
        <v>0</v>
      </c>
      <c r="BH148" s="462">
        <f>IF(AND(AT148&lt;&gt;0,AM148="Y"),UI*W148,0)</f>
        <v>0</v>
      </c>
      <c r="BI148" s="462">
        <f>IF(AND(AT148&lt;&gt;0,N148&lt;&gt;"NR"),DHR*W148,0)</f>
        <v>0</v>
      </c>
      <c r="BJ148" s="462">
        <f>IF(AT148&lt;&gt;0,WC*W148,0)</f>
        <v>0</v>
      </c>
      <c r="BK148" s="462">
        <f>IF(OR(AND(AT148&lt;&gt;0,AJ148&lt;&gt;"PF",AN148&lt;&gt;"NE",AG148&lt;&gt;"A"),AND(AL148="E",OR(AT148=1,AT148=3))),Sick*W148,0)</f>
        <v>0</v>
      </c>
      <c r="BL148" s="462">
        <f t="shared" si="39"/>
        <v>0</v>
      </c>
      <c r="BM148" s="462">
        <f t="shared" si="40"/>
        <v>0</v>
      </c>
      <c r="BN148" s="462">
        <f>IF(AND(AT148=1,AK148="E",AU148&gt;=0.75,AW148=1),HealthBY,IF(AND(AT148=1,AK148="E",AU148&gt;=0.75),HealthBY*P148,IF(AND(AT148=1,AK148="E",AU148&gt;=0.5,AW148=1),PTHealthBY,IF(AND(AT148=1,AK148="E",AU148&gt;=0.5),PTHealthBY*P148,0))))</f>
        <v>0</v>
      </c>
      <c r="BO148" s="462">
        <f>IF(AND(AT148=3,AK148="E",AV148&gt;=0.75,AW148=1),HealthBY,IF(AND(AT148=3,AK148="E",AV148&gt;=0.75),HealthBY*P148,IF(AND(AT148=3,AK148="E",AV148&gt;=0.5,AW148=1),PTHealthBY,IF(AND(AT148=3,AK148="E",AV148&gt;=0.5),PTHealthBY*P148,0))))</f>
        <v>0</v>
      </c>
      <c r="BP148" s="462">
        <f>IF(AND(AT148&lt;&gt;0,(AX148+BA148)&gt;=MAXSSDIBY),SSDIBY*MAXSSDIBY*P148,IF(AT148&lt;&gt;0,SSDIBY*W148,0))</f>
        <v>0</v>
      </c>
      <c r="BQ148" s="462">
        <f>IF(AT148&lt;&gt;0,SSHIBY*W148,0)</f>
        <v>0</v>
      </c>
      <c r="BR148" s="462">
        <f>IF(AND(AT148&lt;&gt;0,AN148&lt;&gt;"NE"),VLOOKUP(AN148,Retirement_Rates,4,FALSE)*W148,0)</f>
        <v>0</v>
      </c>
      <c r="BS148" s="462">
        <f>IF(AND(AT148&lt;&gt;0,AJ148&lt;&gt;"PF"),LifeBY*W148,0)</f>
        <v>0</v>
      </c>
      <c r="BT148" s="462">
        <f>IF(AND(AT148&lt;&gt;0,AM148="Y"),UIBY*W148,0)</f>
        <v>0</v>
      </c>
      <c r="BU148" s="462">
        <f>IF(AND(AT148&lt;&gt;0,N148&lt;&gt;"NR"),DHRBY*W148,0)</f>
        <v>0</v>
      </c>
      <c r="BV148" s="462">
        <f>IF(AT148&lt;&gt;0,WCBY*W148,0)</f>
        <v>0</v>
      </c>
      <c r="BW148" s="462">
        <f>IF(OR(AND(AT148&lt;&gt;0,AJ148&lt;&gt;"PF",AN148&lt;&gt;"NE",AG148&lt;&gt;"A"),AND(AL148="E",OR(AT148=1,AT148=3))),SickBY*W148,0)</f>
        <v>0</v>
      </c>
      <c r="BX148" s="462">
        <f t="shared" si="41"/>
        <v>0</v>
      </c>
      <c r="BY148" s="462">
        <f t="shared" si="42"/>
        <v>0</v>
      </c>
      <c r="BZ148" s="462">
        <f t="shared" si="43"/>
        <v>0</v>
      </c>
      <c r="CA148" s="462">
        <f t="shared" si="44"/>
        <v>0</v>
      </c>
      <c r="CB148" s="462">
        <f t="shared" si="45"/>
        <v>0</v>
      </c>
      <c r="CC148" s="462">
        <f>IF(AT148&lt;&gt;0,SSHICHG*Y148,0)</f>
        <v>0</v>
      </c>
      <c r="CD148" s="462">
        <f>IF(AND(AT148&lt;&gt;0,AN148&lt;&gt;"NE"),VLOOKUP(AN148,Retirement_Rates,5,FALSE)*Y148,0)</f>
        <v>0</v>
      </c>
      <c r="CE148" s="462">
        <f>IF(AND(AT148&lt;&gt;0,AJ148&lt;&gt;"PF"),LifeCHG*Y148,0)</f>
        <v>0</v>
      </c>
      <c r="CF148" s="462">
        <f>IF(AND(AT148&lt;&gt;0,AM148="Y"),UICHG*Y148,0)</f>
        <v>0</v>
      </c>
      <c r="CG148" s="462">
        <f>IF(AND(AT148&lt;&gt;0,N148&lt;&gt;"NR"),DHRCHG*Y148,0)</f>
        <v>0</v>
      </c>
      <c r="CH148" s="462">
        <f>IF(AT148&lt;&gt;0,WCCHG*Y148,0)</f>
        <v>0</v>
      </c>
      <c r="CI148" s="462">
        <f>IF(OR(AND(AT148&lt;&gt;0,AJ148&lt;&gt;"PF",AN148&lt;&gt;"NE",AG148&lt;&gt;"A"),AND(AL148="E",OR(AT148=1,AT148=3))),SickCHG*Y148,0)</f>
        <v>0</v>
      </c>
      <c r="CJ148" s="462">
        <f t="shared" si="46"/>
        <v>0</v>
      </c>
      <c r="CK148" s="462" t="str">
        <f t="shared" si="47"/>
        <v/>
      </c>
      <c r="CL148" s="462" t="str">
        <f t="shared" si="48"/>
        <v/>
      </c>
      <c r="CM148" s="462" t="str">
        <f t="shared" si="49"/>
        <v/>
      </c>
      <c r="CN148" s="462" t="str">
        <f t="shared" si="50"/>
        <v>0243-00</v>
      </c>
    </row>
    <row r="149" spans="1:92" ht="15" thickBot="1" x14ac:dyDescent="0.35">
      <c r="A149" s="376" t="s">
        <v>161</v>
      </c>
      <c r="B149" s="376" t="s">
        <v>162</v>
      </c>
      <c r="C149" s="376" t="s">
        <v>619</v>
      </c>
      <c r="D149" s="376" t="s">
        <v>221</v>
      </c>
      <c r="E149" s="376" t="s">
        <v>273</v>
      </c>
      <c r="F149" s="377" t="s">
        <v>166</v>
      </c>
      <c r="G149" s="376" t="s">
        <v>432</v>
      </c>
      <c r="H149" s="378"/>
      <c r="I149" s="378"/>
      <c r="J149" s="376" t="s">
        <v>168</v>
      </c>
      <c r="K149" s="376" t="s">
        <v>222</v>
      </c>
      <c r="L149" s="376" t="s">
        <v>166</v>
      </c>
      <c r="M149" s="376" t="s">
        <v>225</v>
      </c>
      <c r="N149" s="376" t="s">
        <v>223</v>
      </c>
      <c r="O149" s="379">
        <v>0</v>
      </c>
      <c r="P149" s="460">
        <v>1</v>
      </c>
      <c r="Q149" s="460">
        <v>0</v>
      </c>
      <c r="R149" s="380">
        <v>0</v>
      </c>
      <c r="S149" s="460">
        <v>0</v>
      </c>
      <c r="T149" s="380">
        <v>0</v>
      </c>
      <c r="U149" s="380">
        <v>0</v>
      </c>
      <c r="V149" s="380">
        <v>0</v>
      </c>
      <c r="W149" s="380">
        <v>0</v>
      </c>
      <c r="X149" s="380">
        <v>0</v>
      </c>
      <c r="Y149" s="380">
        <v>0</v>
      </c>
      <c r="Z149" s="380">
        <v>0</v>
      </c>
      <c r="AA149" s="378"/>
      <c r="AB149" s="376" t="s">
        <v>45</v>
      </c>
      <c r="AC149" s="376" t="s">
        <v>45</v>
      </c>
      <c r="AD149" s="378"/>
      <c r="AE149" s="378"/>
      <c r="AF149" s="378"/>
      <c r="AG149" s="378"/>
      <c r="AH149" s="379">
        <v>0</v>
      </c>
      <c r="AI149" s="379">
        <v>0</v>
      </c>
      <c r="AJ149" s="378"/>
      <c r="AK149" s="378"/>
      <c r="AL149" s="376" t="s">
        <v>181</v>
      </c>
      <c r="AM149" s="378"/>
      <c r="AN149" s="378"/>
      <c r="AO149" s="379">
        <v>0</v>
      </c>
      <c r="AP149" s="460">
        <v>0</v>
      </c>
      <c r="AQ149" s="460">
        <v>0</v>
      </c>
      <c r="AR149" s="459"/>
      <c r="AS149" s="462">
        <f t="shared" si="34"/>
        <v>0</v>
      </c>
      <c r="AT149">
        <f t="shared" si="35"/>
        <v>0</v>
      </c>
      <c r="AU149" s="462" t="str">
        <f>IF(AT149=0,"",IF(AND(AT149=1,M149="F",SUMIF(C2:C391,C149,AS2:AS391)&lt;=1),SUMIF(C2:C391,C149,AS2:AS391),IF(AND(AT149=1,M149="F",SUMIF(C2:C391,C149,AS2:AS391)&gt;1),1,"")))</f>
        <v/>
      </c>
      <c r="AV149" s="462" t="str">
        <f>IF(AT149=0,"",IF(AND(AT149=3,M149="F",SUMIF(C2:C391,C149,AS2:AS391)&lt;=1),SUMIF(C2:C391,C149,AS2:AS391),IF(AND(AT149=3,M149="F",SUMIF(C2:C391,C149,AS2:AS391)&gt;1),1,"")))</f>
        <v/>
      </c>
      <c r="AW149" s="462">
        <f>SUMIF(C2:C391,C149,O2:O391)</f>
        <v>0</v>
      </c>
      <c r="AX149" s="462">
        <f>IF(AND(M149="F",AS149&lt;&gt;0),SUMIF(C2:C391,C149,W2:W391),0)</f>
        <v>0</v>
      </c>
      <c r="AY149" s="462" t="str">
        <f t="shared" si="36"/>
        <v/>
      </c>
      <c r="AZ149" s="462" t="str">
        <f t="shared" si="37"/>
        <v/>
      </c>
      <c r="BA149" s="462">
        <f t="shared" si="38"/>
        <v>0</v>
      </c>
      <c r="BB149" s="462">
        <f>IF(AND(AT149=1,AK149="E",AU149&gt;=0.75,AW149=1),Health,IF(AND(AT149=1,AK149="E",AU149&gt;=0.75),Health*P149,IF(AND(AT149=1,AK149="E",AU149&gt;=0.5,AW149=1),PTHealth,IF(AND(AT149=1,AK149="E",AU149&gt;=0.5),PTHealth*P149,0))))</f>
        <v>0</v>
      </c>
      <c r="BC149" s="462">
        <f>IF(AND(AT149=3,AK149="E",AV149&gt;=0.75,AW149=1),Health,IF(AND(AT149=3,AK149="E",AV149&gt;=0.75),Health*P149,IF(AND(AT149=3,AK149="E",AV149&gt;=0.5,AW149=1),PTHealth,IF(AND(AT149=3,AK149="E",AV149&gt;=0.5),PTHealth*P149,0))))</f>
        <v>0</v>
      </c>
      <c r="BD149" s="462">
        <f>IF(AND(AT149&lt;&gt;0,AX149&gt;=MAXSSDI),SSDI*MAXSSDI*P149,IF(AT149&lt;&gt;0,SSDI*W149,0))</f>
        <v>0</v>
      </c>
      <c r="BE149" s="462">
        <f>IF(AT149&lt;&gt;0,SSHI*W149,0)</f>
        <v>0</v>
      </c>
      <c r="BF149" s="462">
        <f>IF(AND(AT149&lt;&gt;0,AN149&lt;&gt;"NE"),VLOOKUP(AN149,Retirement_Rates,3,FALSE)*W149,0)</f>
        <v>0</v>
      </c>
      <c r="BG149" s="462">
        <f>IF(AND(AT149&lt;&gt;0,AJ149&lt;&gt;"PF"),Life*W149,0)</f>
        <v>0</v>
      </c>
      <c r="BH149" s="462">
        <f>IF(AND(AT149&lt;&gt;0,AM149="Y"),UI*W149,0)</f>
        <v>0</v>
      </c>
      <c r="BI149" s="462">
        <f>IF(AND(AT149&lt;&gt;0,N149&lt;&gt;"NR"),DHR*W149,0)</f>
        <v>0</v>
      </c>
      <c r="BJ149" s="462">
        <f>IF(AT149&lt;&gt;0,WC*W149,0)</f>
        <v>0</v>
      </c>
      <c r="BK149" s="462">
        <f>IF(OR(AND(AT149&lt;&gt;0,AJ149&lt;&gt;"PF",AN149&lt;&gt;"NE",AG149&lt;&gt;"A"),AND(AL149="E",OR(AT149=1,AT149=3))),Sick*W149,0)</f>
        <v>0</v>
      </c>
      <c r="BL149" s="462">
        <f t="shared" si="39"/>
        <v>0</v>
      </c>
      <c r="BM149" s="462">
        <f t="shared" si="40"/>
        <v>0</v>
      </c>
      <c r="BN149" s="462">
        <f>IF(AND(AT149=1,AK149="E",AU149&gt;=0.75,AW149=1),HealthBY,IF(AND(AT149=1,AK149="E",AU149&gt;=0.75),HealthBY*P149,IF(AND(AT149=1,AK149="E",AU149&gt;=0.5,AW149=1),PTHealthBY,IF(AND(AT149=1,AK149="E",AU149&gt;=0.5),PTHealthBY*P149,0))))</f>
        <v>0</v>
      </c>
      <c r="BO149" s="462">
        <f>IF(AND(AT149=3,AK149="E",AV149&gt;=0.75,AW149=1),HealthBY,IF(AND(AT149=3,AK149="E",AV149&gt;=0.75),HealthBY*P149,IF(AND(AT149=3,AK149="E",AV149&gt;=0.5,AW149=1),PTHealthBY,IF(AND(AT149=3,AK149="E",AV149&gt;=0.5),PTHealthBY*P149,0))))</f>
        <v>0</v>
      </c>
      <c r="BP149" s="462">
        <f>IF(AND(AT149&lt;&gt;0,(AX149+BA149)&gt;=MAXSSDIBY),SSDIBY*MAXSSDIBY*P149,IF(AT149&lt;&gt;0,SSDIBY*W149,0))</f>
        <v>0</v>
      </c>
      <c r="BQ149" s="462">
        <f>IF(AT149&lt;&gt;0,SSHIBY*W149,0)</f>
        <v>0</v>
      </c>
      <c r="BR149" s="462">
        <f>IF(AND(AT149&lt;&gt;0,AN149&lt;&gt;"NE"),VLOOKUP(AN149,Retirement_Rates,4,FALSE)*W149,0)</f>
        <v>0</v>
      </c>
      <c r="BS149" s="462">
        <f>IF(AND(AT149&lt;&gt;0,AJ149&lt;&gt;"PF"),LifeBY*W149,0)</f>
        <v>0</v>
      </c>
      <c r="BT149" s="462">
        <f>IF(AND(AT149&lt;&gt;0,AM149="Y"),UIBY*W149,0)</f>
        <v>0</v>
      </c>
      <c r="BU149" s="462">
        <f>IF(AND(AT149&lt;&gt;0,N149&lt;&gt;"NR"),DHRBY*W149,0)</f>
        <v>0</v>
      </c>
      <c r="BV149" s="462">
        <f>IF(AT149&lt;&gt;0,WCBY*W149,0)</f>
        <v>0</v>
      </c>
      <c r="BW149" s="462">
        <f>IF(OR(AND(AT149&lt;&gt;0,AJ149&lt;&gt;"PF",AN149&lt;&gt;"NE",AG149&lt;&gt;"A"),AND(AL149="E",OR(AT149=1,AT149=3))),SickBY*W149,0)</f>
        <v>0</v>
      </c>
      <c r="BX149" s="462">
        <f t="shared" si="41"/>
        <v>0</v>
      </c>
      <c r="BY149" s="462">
        <f t="shared" si="42"/>
        <v>0</v>
      </c>
      <c r="BZ149" s="462">
        <f t="shared" si="43"/>
        <v>0</v>
      </c>
      <c r="CA149" s="462">
        <f t="shared" si="44"/>
        <v>0</v>
      </c>
      <c r="CB149" s="462">
        <f t="shared" si="45"/>
        <v>0</v>
      </c>
      <c r="CC149" s="462">
        <f>IF(AT149&lt;&gt;0,SSHICHG*Y149,0)</f>
        <v>0</v>
      </c>
      <c r="CD149" s="462">
        <f>IF(AND(AT149&lt;&gt;0,AN149&lt;&gt;"NE"),VLOOKUP(AN149,Retirement_Rates,5,FALSE)*Y149,0)</f>
        <v>0</v>
      </c>
      <c r="CE149" s="462">
        <f>IF(AND(AT149&lt;&gt;0,AJ149&lt;&gt;"PF"),LifeCHG*Y149,0)</f>
        <v>0</v>
      </c>
      <c r="CF149" s="462">
        <f>IF(AND(AT149&lt;&gt;0,AM149="Y"),UICHG*Y149,0)</f>
        <v>0</v>
      </c>
      <c r="CG149" s="462">
        <f>IF(AND(AT149&lt;&gt;0,N149&lt;&gt;"NR"),DHRCHG*Y149,0)</f>
        <v>0</v>
      </c>
      <c r="CH149" s="462">
        <f>IF(AT149&lt;&gt;0,WCCHG*Y149,0)</f>
        <v>0</v>
      </c>
      <c r="CI149" s="462">
        <f>IF(OR(AND(AT149&lt;&gt;0,AJ149&lt;&gt;"PF",AN149&lt;&gt;"NE",AG149&lt;&gt;"A"),AND(AL149="E",OR(AT149=1,AT149=3))),SickCHG*Y149,0)</f>
        <v>0</v>
      </c>
      <c r="CJ149" s="462">
        <f t="shared" si="46"/>
        <v>0</v>
      </c>
      <c r="CK149" s="462" t="str">
        <f t="shared" si="47"/>
        <v/>
      </c>
      <c r="CL149" s="462">
        <f t="shared" si="48"/>
        <v>0</v>
      </c>
      <c r="CM149" s="462">
        <f t="shared" si="49"/>
        <v>0</v>
      </c>
      <c r="CN149" s="462" t="str">
        <f t="shared" si="50"/>
        <v>0243-00</v>
      </c>
    </row>
    <row r="150" spans="1:92" ht="15" thickBot="1" x14ac:dyDescent="0.35">
      <c r="A150" s="376" t="s">
        <v>161</v>
      </c>
      <c r="B150" s="376" t="s">
        <v>162</v>
      </c>
      <c r="C150" s="376" t="s">
        <v>620</v>
      </c>
      <c r="D150" s="376" t="s">
        <v>621</v>
      </c>
      <c r="E150" s="376" t="s">
        <v>273</v>
      </c>
      <c r="F150" s="377" t="s">
        <v>166</v>
      </c>
      <c r="G150" s="376" t="s">
        <v>432</v>
      </c>
      <c r="H150" s="378"/>
      <c r="I150" s="378"/>
      <c r="J150" s="376" t="s">
        <v>168</v>
      </c>
      <c r="K150" s="376" t="s">
        <v>622</v>
      </c>
      <c r="L150" s="376" t="s">
        <v>215</v>
      </c>
      <c r="M150" s="376" t="s">
        <v>171</v>
      </c>
      <c r="N150" s="376" t="s">
        <v>172</v>
      </c>
      <c r="O150" s="379">
        <v>1</v>
      </c>
      <c r="P150" s="460">
        <v>1</v>
      </c>
      <c r="Q150" s="460">
        <v>1</v>
      </c>
      <c r="R150" s="380">
        <v>80</v>
      </c>
      <c r="S150" s="460">
        <v>1</v>
      </c>
      <c r="T150" s="380">
        <v>82256</v>
      </c>
      <c r="U150" s="380">
        <v>0</v>
      </c>
      <c r="V150" s="380">
        <v>29519.78</v>
      </c>
      <c r="W150" s="380">
        <v>78561.600000000006</v>
      </c>
      <c r="X150" s="380">
        <v>30345.26</v>
      </c>
      <c r="Y150" s="380">
        <v>78561.600000000006</v>
      </c>
      <c r="Z150" s="380">
        <v>30573.09</v>
      </c>
      <c r="AA150" s="376" t="s">
        <v>623</v>
      </c>
      <c r="AB150" s="376" t="s">
        <v>624</v>
      </c>
      <c r="AC150" s="376" t="s">
        <v>445</v>
      </c>
      <c r="AD150" s="376" t="s">
        <v>180</v>
      </c>
      <c r="AE150" s="376" t="s">
        <v>622</v>
      </c>
      <c r="AF150" s="376" t="s">
        <v>219</v>
      </c>
      <c r="AG150" s="376" t="s">
        <v>178</v>
      </c>
      <c r="AH150" s="381">
        <v>37.770000000000003</v>
      </c>
      <c r="AI150" s="381">
        <v>46833.1</v>
      </c>
      <c r="AJ150" s="376" t="s">
        <v>179</v>
      </c>
      <c r="AK150" s="376" t="s">
        <v>180</v>
      </c>
      <c r="AL150" s="376" t="s">
        <v>181</v>
      </c>
      <c r="AM150" s="376" t="s">
        <v>182</v>
      </c>
      <c r="AN150" s="376" t="s">
        <v>68</v>
      </c>
      <c r="AO150" s="379">
        <v>80</v>
      </c>
      <c r="AP150" s="460">
        <v>1</v>
      </c>
      <c r="AQ150" s="460">
        <v>1</v>
      </c>
      <c r="AR150" s="458" t="s">
        <v>183</v>
      </c>
      <c r="AS150" s="462">
        <f t="shared" si="34"/>
        <v>1</v>
      </c>
      <c r="AT150">
        <f t="shared" si="35"/>
        <v>1</v>
      </c>
      <c r="AU150" s="462">
        <f>IF(AT150=0,"",IF(AND(AT150=1,M150="F",SUMIF(C2:C391,C150,AS2:AS391)&lt;=1),SUMIF(C2:C391,C150,AS2:AS391),IF(AND(AT150=1,M150="F",SUMIF(C2:C391,C150,AS2:AS391)&gt;1),1,"")))</f>
        <v>1</v>
      </c>
      <c r="AV150" s="462" t="str">
        <f>IF(AT150=0,"",IF(AND(AT150=3,M150="F",SUMIF(C2:C391,C150,AS2:AS391)&lt;=1),SUMIF(C2:C391,C150,AS2:AS391),IF(AND(AT150=3,M150="F",SUMIF(C2:C391,C150,AS2:AS391)&gt;1),1,"")))</f>
        <v/>
      </c>
      <c r="AW150" s="462">
        <f>SUMIF(C2:C391,C150,O2:O391)</f>
        <v>1</v>
      </c>
      <c r="AX150" s="462">
        <f>IF(AND(M150="F",AS150&lt;&gt;0),SUMIF(C2:C391,C150,W2:W391),0)</f>
        <v>78561.600000000006</v>
      </c>
      <c r="AY150" s="462">
        <f t="shared" si="36"/>
        <v>78561.600000000006</v>
      </c>
      <c r="AZ150" s="462" t="str">
        <f t="shared" si="37"/>
        <v/>
      </c>
      <c r="BA150" s="462">
        <f t="shared" si="38"/>
        <v>0</v>
      </c>
      <c r="BB150" s="462">
        <f>IF(AND(AT150=1,AK150="E",AU150&gt;=0.75,AW150=1),Health,IF(AND(AT150=1,AK150="E",AU150&gt;=0.75),Health*P150,IF(AND(AT150=1,AK150="E",AU150&gt;=0.5,AW150=1),PTHealth,IF(AND(AT150=1,AK150="E",AU150&gt;=0.5),PTHealth*P150,0))))</f>
        <v>11650</v>
      </c>
      <c r="BC150" s="462">
        <f>IF(AND(AT150=3,AK150="E",AV150&gt;=0.75,AW150=1),Health,IF(AND(AT150=3,AK150="E",AV150&gt;=0.75),Health*P150,IF(AND(AT150=3,AK150="E",AV150&gt;=0.5,AW150=1),PTHealth,IF(AND(AT150=3,AK150="E",AV150&gt;=0.5),PTHealth*P150,0))))</f>
        <v>0</v>
      </c>
      <c r="BD150" s="462">
        <f>IF(AND(AT150&lt;&gt;0,AX150&gt;=MAXSSDI),SSDI*MAXSSDI*P150,IF(AT150&lt;&gt;0,SSDI*W150,0))</f>
        <v>4870.8191999999999</v>
      </c>
      <c r="BE150" s="462">
        <f>IF(AT150&lt;&gt;0,SSHI*W150,0)</f>
        <v>1139.1432000000002</v>
      </c>
      <c r="BF150" s="462">
        <f>IF(AND(AT150&lt;&gt;0,AN150&lt;&gt;"NE"),VLOOKUP(AN150,Retirement_Rates,3,FALSE)*W150,0)</f>
        <v>9380.2550400000018</v>
      </c>
      <c r="BG150" s="462">
        <f>IF(AND(AT150&lt;&gt;0,AJ150&lt;&gt;"PF"),Life*W150,0)</f>
        <v>566.42913600000009</v>
      </c>
      <c r="BH150" s="462">
        <f>IF(AND(AT150&lt;&gt;0,AM150="Y"),UI*W150,0)</f>
        <v>384.95184</v>
      </c>
      <c r="BI150" s="462">
        <f>IF(AND(AT150&lt;&gt;0,N150&lt;&gt;"NR"),DHR*W150,0)</f>
        <v>240.39849599999999</v>
      </c>
      <c r="BJ150" s="462">
        <f>IF(AT150&lt;&gt;0,WC*W150,0)</f>
        <v>2113.3070400000001</v>
      </c>
      <c r="BK150" s="462">
        <f>IF(OR(AND(AT150&lt;&gt;0,AJ150&lt;&gt;"PF",AN150&lt;&gt;"NE",AG150&lt;&gt;"A"),AND(AL150="E",OR(AT150=1,AT150=3))),Sick*W150,0)</f>
        <v>0</v>
      </c>
      <c r="BL150" s="462">
        <f t="shared" si="39"/>
        <v>18695.303952000002</v>
      </c>
      <c r="BM150" s="462">
        <f t="shared" si="40"/>
        <v>0</v>
      </c>
      <c r="BN150" s="462">
        <f>IF(AND(AT150=1,AK150="E",AU150&gt;=0.75,AW150=1),HealthBY,IF(AND(AT150=1,AK150="E",AU150&gt;=0.75),HealthBY*P150,IF(AND(AT150=1,AK150="E",AU150&gt;=0.5,AW150=1),PTHealthBY,IF(AND(AT150=1,AK150="E",AU150&gt;=0.5),PTHealthBY*P150,0))))</f>
        <v>11650</v>
      </c>
      <c r="BO150" s="462">
        <f>IF(AND(AT150=3,AK150="E",AV150&gt;=0.75,AW150=1),HealthBY,IF(AND(AT150=3,AK150="E",AV150&gt;=0.75),HealthBY*P150,IF(AND(AT150=3,AK150="E",AV150&gt;=0.5,AW150=1),PTHealthBY,IF(AND(AT150=3,AK150="E",AV150&gt;=0.5),PTHealthBY*P150,0))))</f>
        <v>0</v>
      </c>
      <c r="BP150" s="462">
        <f>IF(AND(AT150&lt;&gt;0,(AX150+BA150)&gt;=MAXSSDIBY),SSDIBY*MAXSSDIBY*P150,IF(AT150&lt;&gt;0,SSDIBY*W150,0))</f>
        <v>4870.8191999999999</v>
      </c>
      <c r="BQ150" s="462">
        <f>IF(AT150&lt;&gt;0,SSHIBY*W150,0)</f>
        <v>1139.1432000000002</v>
      </c>
      <c r="BR150" s="462">
        <f>IF(AND(AT150&lt;&gt;0,AN150&lt;&gt;"NE"),VLOOKUP(AN150,Retirement_Rates,4,FALSE)*W150,0)</f>
        <v>9380.2550400000018</v>
      </c>
      <c r="BS150" s="462">
        <f>IF(AND(AT150&lt;&gt;0,AJ150&lt;&gt;"PF"),LifeBY*W150,0)</f>
        <v>566.42913600000009</v>
      </c>
      <c r="BT150" s="462">
        <f>IF(AND(AT150&lt;&gt;0,AM150="Y"),UIBY*W150,0)</f>
        <v>0</v>
      </c>
      <c r="BU150" s="462">
        <f>IF(AND(AT150&lt;&gt;0,N150&lt;&gt;"NR"),DHRBY*W150,0)</f>
        <v>240.39849599999999</v>
      </c>
      <c r="BV150" s="462">
        <f>IF(AT150&lt;&gt;0,WCBY*W150,0)</f>
        <v>2726.0875200000005</v>
      </c>
      <c r="BW150" s="462">
        <f>IF(OR(AND(AT150&lt;&gt;0,AJ150&lt;&gt;"PF",AN150&lt;&gt;"NE",AG150&lt;&gt;"A"),AND(AL150="E",OR(AT150=1,AT150=3))),SickBY*W150,0)</f>
        <v>0</v>
      </c>
      <c r="BX150" s="462">
        <f t="shared" si="41"/>
        <v>18923.132592000002</v>
      </c>
      <c r="BY150" s="462">
        <f t="shared" si="42"/>
        <v>0</v>
      </c>
      <c r="BZ150" s="462">
        <f t="shared" si="43"/>
        <v>0</v>
      </c>
      <c r="CA150" s="462">
        <f t="shared" si="44"/>
        <v>0</v>
      </c>
      <c r="CB150" s="462">
        <f t="shared" si="45"/>
        <v>0</v>
      </c>
      <c r="CC150" s="462">
        <f>IF(AT150&lt;&gt;0,SSHICHG*Y150,0)</f>
        <v>0</v>
      </c>
      <c r="CD150" s="462">
        <f>IF(AND(AT150&lt;&gt;0,AN150&lt;&gt;"NE"),VLOOKUP(AN150,Retirement_Rates,5,FALSE)*Y150,0)</f>
        <v>0</v>
      </c>
      <c r="CE150" s="462">
        <f>IF(AND(AT150&lt;&gt;0,AJ150&lt;&gt;"PF"),LifeCHG*Y150,0)</f>
        <v>0</v>
      </c>
      <c r="CF150" s="462">
        <f>IF(AND(AT150&lt;&gt;0,AM150="Y"),UICHG*Y150,0)</f>
        <v>-384.95184</v>
      </c>
      <c r="CG150" s="462">
        <f>IF(AND(AT150&lt;&gt;0,N150&lt;&gt;"NR"),DHRCHG*Y150,0)</f>
        <v>0</v>
      </c>
      <c r="CH150" s="462">
        <f>IF(AT150&lt;&gt;0,WCCHG*Y150,0)</f>
        <v>612.78048000000013</v>
      </c>
      <c r="CI150" s="462">
        <f>IF(OR(AND(AT150&lt;&gt;0,AJ150&lt;&gt;"PF",AN150&lt;&gt;"NE",AG150&lt;&gt;"A"),AND(AL150="E",OR(AT150=1,AT150=3))),SickCHG*Y150,0)</f>
        <v>0</v>
      </c>
      <c r="CJ150" s="462">
        <f t="shared" si="46"/>
        <v>227.82864000000012</v>
      </c>
      <c r="CK150" s="462" t="str">
        <f t="shared" si="47"/>
        <v/>
      </c>
      <c r="CL150" s="462" t="str">
        <f t="shared" si="48"/>
        <v/>
      </c>
      <c r="CM150" s="462" t="str">
        <f t="shared" si="49"/>
        <v/>
      </c>
      <c r="CN150" s="462" t="str">
        <f t="shared" si="50"/>
        <v>0243-00</v>
      </c>
    </row>
    <row r="151" spans="1:92" ht="15" thickBot="1" x14ac:dyDescent="0.35">
      <c r="A151" s="376" t="s">
        <v>161</v>
      </c>
      <c r="B151" s="376" t="s">
        <v>162</v>
      </c>
      <c r="C151" s="376" t="s">
        <v>625</v>
      </c>
      <c r="D151" s="376" t="s">
        <v>221</v>
      </c>
      <c r="E151" s="376" t="s">
        <v>273</v>
      </c>
      <c r="F151" s="377" t="s">
        <v>166</v>
      </c>
      <c r="G151" s="376" t="s">
        <v>432</v>
      </c>
      <c r="H151" s="378"/>
      <c r="I151" s="378"/>
      <c r="J151" s="376" t="s">
        <v>168</v>
      </c>
      <c r="K151" s="376" t="s">
        <v>222</v>
      </c>
      <c r="L151" s="376" t="s">
        <v>166</v>
      </c>
      <c r="M151" s="376" t="s">
        <v>171</v>
      </c>
      <c r="N151" s="376" t="s">
        <v>223</v>
      </c>
      <c r="O151" s="379">
        <v>0</v>
      </c>
      <c r="P151" s="460">
        <v>1</v>
      </c>
      <c r="Q151" s="460">
        <v>0</v>
      </c>
      <c r="R151" s="380">
        <v>0</v>
      </c>
      <c r="S151" s="460">
        <v>0</v>
      </c>
      <c r="T151" s="380">
        <v>12214.5</v>
      </c>
      <c r="U151" s="380">
        <v>0</v>
      </c>
      <c r="V151" s="380">
        <v>991.82</v>
      </c>
      <c r="W151" s="380">
        <v>12214.5</v>
      </c>
      <c r="X151" s="380">
        <v>991.82</v>
      </c>
      <c r="Y151" s="380">
        <v>12214.5</v>
      </c>
      <c r="Z151" s="380">
        <v>991.82</v>
      </c>
      <c r="AA151" s="378"/>
      <c r="AB151" s="376" t="s">
        <v>45</v>
      </c>
      <c r="AC151" s="376" t="s">
        <v>45</v>
      </c>
      <c r="AD151" s="378"/>
      <c r="AE151" s="378"/>
      <c r="AF151" s="378"/>
      <c r="AG151" s="378"/>
      <c r="AH151" s="379">
        <v>0</v>
      </c>
      <c r="AI151" s="379">
        <v>0</v>
      </c>
      <c r="AJ151" s="378"/>
      <c r="AK151" s="378"/>
      <c r="AL151" s="376" t="s">
        <v>181</v>
      </c>
      <c r="AM151" s="378"/>
      <c r="AN151" s="378"/>
      <c r="AO151" s="379">
        <v>0</v>
      </c>
      <c r="AP151" s="460">
        <v>0</v>
      </c>
      <c r="AQ151" s="460">
        <v>0</v>
      </c>
      <c r="AR151" s="459"/>
      <c r="AS151" s="462">
        <f t="shared" si="34"/>
        <v>0</v>
      </c>
      <c r="AT151">
        <f t="shared" si="35"/>
        <v>0</v>
      </c>
      <c r="AU151" s="462" t="str">
        <f>IF(AT151=0,"",IF(AND(AT151=1,M151="F",SUMIF(C2:C391,C151,AS2:AS391)&lt;=1),SUMIF(C2:C391,C151,AS2:AS391),IF(AND(AT151=1,M151="F",SUMIF(C2:C391,C151,AS2:AS391)&gt;1),1,"")))</f>
        <v/>
      </c>
      <c r="AV151" s="462" t="str">
        <f>IF(AT151=0,"",IF(AND(AT151=3,M151="F",SUMIF(C2:C391,C151,AS2:AS391)&lt;=1),SUMIF(C2:C391,C151,AS2:AS391),IF(AND(AT151=3,M151="F",SUMIF(C2:C391,C151,AS2:AS391)&gt;1),1,"")))</f>
        <v/>
      </c>
      <c r="AW151" s="462">
        <f>SUMIF(C2:C391,C151,O2:O391)</f>
        <v>0</v>
      </c>
      <c r="AX151" s="462">
        <f>IF(AND(M151="F",AS151&lt;&gt;0),SUMIF(C2:C391,C151,W2:W391),0)</f>
        <v>0</v>
      </c>
      <c r="AY151" s="462" t="str">
        <f t="shared" si="36"/>
        <v/>
      </c>
      <c r="AZ151" s="462" t="str">
        <f t="shared" si="37"/>
        <v/>
      </c>
      <c r="BA151" s="462">
        <f t="shared" si="38"/>
        <v>0</v>
      </c>
      <c r="BB151" s="462">
        <f>IF(AND(AT151=1,AK151="E",AU151&gt;=0.75,AW151=1),Health,IF(AND(AT151=1,AK151="E",AU151&gt;=0.75),Health*P151,IF(AND(AT151=1,AK151="E",AU151&gt;=0.5,AW151=1),PTHealth,IF(AND(AT151=1,AK151="E",AU151&gt;=0.5),PTHealth*P151,0))))</f>
        <v>0</v>
      </c>
      <c r="BC151" s="462">
        <f>IF(AND(AT151=3,AK151="E",AV151&gt;=0.75,AW151=1),Health,IF(AND(AT151=3,AK151="E",AV151&gt;=0.75),Health*P151,IF(AND(AT151=3,AK151="E",AV151&gt;=0.5,AW151=1),PTHealth,IF(AND(AT151=3,AK151="E",AV151&gt;=0.5),PTHealth*P151,0))))</f>
        <v>0</v>
      </c>
      <c r="BD151" s="462">
        <f>IF(AND(AT151&lt;&gt;0,AX151&gt;=MAXSSDI),SSDI*MAXSSDI*P151,IF(AT151&lt;&gt;0,SSDI*W151,0))</f>
        <v>0</v>
      </c>
      <c r="BE151" s="462">
        <f>IF(AT151&lt;&gt;0,SSHI*W151,0)</f>
        <v>0</v>
      </c>
      <c r="BF151" s="462">
        <f>IF(AND(AT151&lt;&gt;0,AN151&lt;&gt;"NE"),VLOOKUP(AN151,Retirement_Rates,3,FALSE)*W151,0)</f>
        <v>0</v>
      </c>
      <c r="BG151" s="462">
        <f>IF(AND(AT151&lt;&gt;0,AJ151&lt;&gt;"PF"),Life*W151,0)</f>
        <v>0</v>
      </c>
      <c r="BH151" s="462">
        <f>IF(AND(AT151&lt;&gt;0,AM151="Y"),UI*W151,0)</f>
        <v>0</v>
      </c>
      <c r="BI151" s="462">
        <f>IF(AND(AT151&lt;&gt;0,N151&lt;&gt;"NR"),DHR*W151,0)</f>
        <v>0</v>
      </c>
      <c r="BJ151" s="462">
        <f>IF(AT151&lt;&gt;0,WC*W151,0)</f>
        <v>0</v>
      </c>
      <c r="BK151" s="462">
        <f>IF(OR(AND(AT151&lt;&gt;0,AJ151&lt;&gt;"PF",AN151&lt;&gt;"NE",AG151&lt;&gt;"A"),AND(AL151="E",OR(AT151=1,AT151=3))),Sick*W151,0)</f>
        <v>0</v>
      </c>
      <c r="BL151" s="462">
        <f t="shared" si="39"/>
        <v>0</v>
      </c>
      <c r="BM151" s="462">
        <f t="shared" si="40"/>
        <v>0</v>
      </c>
      <c r="BN151" s="462">
        <f>IF(AND(AT151=1,AK151="E",AU151&gt;=0.75,AW151=1),HealthBY,IF(AND(AT151=1,AK151="E",AU151&gt;=0.75),HealthBY*P151,IF(AND(AT151=1,AK151="E",AU151&gt;=0.5,AW151=1),PTHealthBY,IF(AND(AT151=1,AK151="E",AU151&gt;=0.5),PTHealthBY*P151,0))))</f>
        <v>0</v>
      </c>
      <c r="BO151" s="462">
        <f>IF(AND(AT151=3,AK151="E",AV151&gt;=0.75,AW151=1),HealthBY,IF(AND(AT151=3,AK151="E",AV151&gt;=0.75),HealthBY*P151,IF(AND(AT151=3,AK151="E",AV151&gt;=0.5,AW151=1),PTHealthBY,IF(AND(AT151=3,AK151="E",AV151&gt;=0.5),PTHealthBY*P151,0))))</f>
        <v>0</v>
      </c>
      <c r="BP151" s="462">
        <f>IF(AND(AT151&lt;&gt;0,(AX151+BA151)&gt;=MAXSSDIBY),SSDIBY*MAXSSDIBY*P151,IF(AT151&lt;&gt;0,SSDIBY*W151,0))</f>
        <v>0</v>
      </c>
      <c r="BQ151" s="462">
        <f>IF(AT151&lt;&gt;0,SSHIBY*W151,0)</f>
        <v>0</v>
      </c>
      <c r="BR151" s="462">
        <f>IF(AND(AT151&lt;&gt;0,AN151&lt;&gt;"NE"),VLOOKUP(AN151,Retirement_Rates,4,FALSE)*W151,0)</f>
        <v>0</v>
      </c>
      <c r="BS151" s="462">
        <f>IF(AND(AT151&lt;&gt;0,AJ151&lt;&gt;"PF"),LifeBY*W151,0)</f>
        <v>0</v>
      </c>
      <c r="BT151" s="462">
        <f>IF(AND(AT151&lt;&gt;0,AM151="Y"),UIBY*W151,0)</f>
        <v>0</v>
      </c>
      <c r="BU151" s="462">
        <f>IF(AND(AT151&lt;&gt;0,N151&lt;&gt;"NR"),DHRBY*W151,0)</f>
        <v>0</v>
      </c>
      <c r="BV151" s="462">
        <f>IF(AT151&lt;&gt;0,WCBY*W151,0)</f>
        <v>0</v>
      </c>
      <c r="BW151" s="462">
        <f>IF(OR(AND(AT151&lt;&gt;0,AJ151&lt;&gt;"PF",AN151&lt;&gt;"NE",AG151&lt;&gt;"A"),AND(AL151="E",OR(AT151=1,AT151=3))),SickBY*W151,0)</f>
        <v>0</v>
      </c>
      <c r="BX151" s="462">
        <f t="shared" si="41"/>
        <v>0</v>
      </c>
      <c r="BY151" s="462">
        <f t="shared" si="42"/>
        <v>0</v>
      </c>
      <c r="BZ151" s="462">
        <f t="shared" si="43"/>
        <v>0</v>
      </c>
      <c r="CA151" s="462">
        <f t="shared" si="44"/>
        <v>0</v>
      </c>
      <c r="CB151" s="462">
        <f t="shared" si="45"/>
        <v>0</v>
      </c>
      <c r="CC151" s="462">
        <f>IF(AT151&lt;&gt;0,SSHICHG*Y151,0)</f>
        <v>0</v>
      </c>
      <c r="CD151" s="462">
        <f>IF(AND(AT151&lt;&gt;0,AN151&lt;&gt;"NE"),VLOOKUP(AN151,Retirement_Rates,5,FALSE)*Y151,0)</f>
        <v>0</v>
      </c>
      <c r="CE151" s="462">
        <f>IF(AND(AT151&lt;&gt;0,AJ151&lt;&gt;"PF"),LifeCHG*Y151,0)</f>
        <v>0</v>
      </c>
      <c r="CF151" s="462">
        <f>IF(AND(AT151&lt;&gt;0,AM151="Y"),UICHG*Y151,0)</f>
        <v>0</v>
      </c>
      <c r="CG151" s="462">
        <f>IF(AND(AT151&lt;&gt;0,N151&lt;&gt;"NR"),DHRCHG*Y151,0)</f>
        <v>0</v>
      </c>
      <c r="CH151" s="462">
        <f>IF(AT151&lt;&gt;0,WCCHG*Y151,0)</f>
        <v>0</v>
      </c>
      <c r="CI151" s="462">
        <f>IF(OR(AND(AT151&lt;&gt;0,AJ151&lt;&gt;"PF",AN151&lt;&gt;"NE",AG151&lt;&gt;"A"),AND(AL151="E",OR(AT151=1,AT151=3))),SickCHG*Y151,0)</f>
        <v>0</v>
      </c>
      <c r="CJ151" s="462">
        <f t="shared" si="46"/>
        <v>0</v>
      </c>
      <c r="CK151" s="462" t="str">
        <f t="shared" si="47"/>
        <v/>
      </c>
      <c r="CL151" s="462">
        <f t="shared" si="48"/>
        <v>12214.5</v>
      </c>
      <c r="CM151" s="462">
        <f t="shared" si="49"/>
        <v>991.82</v>
      </c>
      <c r="CN151" s="462" t="str">
        <f t="shared" si="50"/>
        <v>0243-00</v>
      </c>
    </row>
    <row r="152" spans="1:92" ht="15" thickBot="1" x14ac:dyDescent="0.35">
      <c r="A152" s="376" t="s">
        <v>161</v>
      </c>
      <c r="B152" s="376" t="s">
        <v>162</v>
      </c>
      <c r="C152" s="376" t="s">
        <v>626</v>
      </c>
      <c r="D152" s="376" t="s">
        <v>627</v>
      </c>
      <c r="E152" s="376" t="s">
        <v>273</v>
      </c>
      <c r="F152" s="377" t="s">
        <v>166</v>
      </c>
      <c r="G152" s="376" t="s">
        <v>432</v>
      </c>
      <c r="H152" s="378"/>
      <c r="I152" s="378"/>
      <c r="J152" s="376" t="s">
        <v>193</v>
      </c>
      <c r="K152" s="376" t="s">
        <v>628</v>
      </c>
      <c r="L152" s="376" t="s">
        <v>240</v>
      </c>
      <c r="M152" s="376" t="s">
        <v>171</v>
      </c>
      <c r="N152" s="376" t="s">
        <v>172</v>
      </c>
      <c r="O152" s="379">
        <v>1</v>
      </c>
      <c r="P152" s="460">
        <v>0.75</v>
      </c>
      <c r="Q152" s="460">
        <v>0.75</v>
      </c>
      <c r="R152" s="380">
        <v>80</v>
      </c>
      <c r="S152" s="460">
        <v>0.75</v>
      </c>
      <c r="T152" s="380">
        <v>35317.97</v>
      </c>
      <c r="U152" s="380">
        <v>0</v>
      </c>
      <c r="V152" s="380">
        <v>16641.91</v>
      </c>
      <c r="W152" s="380">
        <v>34678.800000000003</v>
      </c>
      <c r="X152" s="380">
        <v>16989.98</v>
      </c>
      <c r="Y152" s="380">
        <v>34678.800000000003</v>
      </c>
      <c r="Z152" s="380">
        <v>17090.55</v>
      </c>
      <c r="AA152" s="376" t="s">
        <v>629</v>
      </c>
      <c r="AB152" s="376" t="s">
        <v>543</v>
      </c>
      <c r="AC152" s="376" t="s">
        <v>630</v>
      </c>
      <c r="AD152" s="376" t="s">
        <v>180</v>
      </c>
      <c r="AE152" s="376" t="s">
        <v>628</v>
      </c>
      <c r="AF152" s="376" t="s">
        <v>244</v>
      </c>
      <c r="AG152" s="376" t="s">
        <v>178</v>
      </c>
      <c r="AH152" s="381">
        <v>22.23</v>
      </c>
      <c r="AI152" s="381">
        <v>25918.3</v>
      </c>
      <c r="AJ152" s="376" t="s">
        <v>179</v>
      </c>
      <c r="AK152" s="376" t="s">
        <v>180</v>
      </c>
      <c r="AL152" s="376" t="s">
        <v>181</v>
      </c>
      <c r="AM152" s="376" t="s">
        <v>182</v>
      </c>
      <c r="AN152" s="376" t="s">
        <v>68</v>
      </c>
      <c r="AO152" s="379">
        <v>80</v>
      </c>
      <c r="AP152" s="460">
        <v>1</v>
      </c>
      <c r="AQ152" s="460">
        <v>0.75</v>
      </c>
      <c r="AR152" s="458" t="s">
        <v>183</v>
      </c>
      <c r="AS152" s="462">
        <f t="shared" si="34"/>
        <v>0.75</v>
      </c>
      <c r="AT152">
        <f t="shared" si="35"/>
        <v>1</v>
      </c>
      <c r="AU152" s="462">
        <f>IF(AT152=0,"",IF(AND(AT152=1,M152="F",SUMIF(C2:C391,C152,AS2:AS391)&lt;=1),SUMIF(C2:C391,C152,AS2:AS391),IF(AND(AT152=1,M152="F",SUMIF(C2:C391,C152,AS2:AS391)&gt;1),1,"")))</f>
        <v>1</v>
      </c>
      <c r="AV152" s="462" t="str">
        <f>IF(AT152=0,"",IF(AND(AT152=3,M152="F",SUMIF(C2:C391,C152,AS2:AS391)&lt;=1),SUMIF(C2:C391,C152,AS2:AS391),IF(AND(AT152=3,M152="F",SUMIF(C2:C391,C152,AS2:AS391)&gt;1),1,"")))</f>
        <v/>
      </c>
      <c r="AW152" s="462">
        <f>SUMIF(C2:C391,C152,O2:O391)</f>
        <v>2</v>
      </c>
      <c r="AX152" s="462">
        <f>IF(AND(M152="F",AS152&lt;&gt;0),SUMIF(C2:C391,C152,W2:W391),0)</f>
        <v>46238.400000000001</v>
      </c>
      <c r="AY152" s="462">
        <f t="shared" si="36"/>
        <v>34678.800000000003</v>
      </c>
      <c r="AZ152" s="462" t="str">
        <f t="shared" si="37"/>
        <v/>
      </c>
      <c r="BA152" s="462">
        <f t="shared" si="38"/>
        <v>0</v>
      </c>
      <c r="BB152" s="462">
        <f>IF(AND(AT152=1,AK152="E",AU152&gt;=0.75,AW152=1),Health,IF(AND(AT152=1,AK152="E",AU152&gt;=0.75),Health*P152,IF(AND(AT152=1,AK152="E",AU152&gt;=0.5,AW152=1),PTHealth,IF(AND(AT152=1,AK152="E",AU152&gt;=0.5),PTHealth*P152,0))))</f>
        <v>8737.5</v>
      </c>
      <c r="BC152" s="462">
        <f>IF(AND(AT152=3,AK152="E",AV152&gt;=0.75,AW152=1),Health,IF(AND(AT152=3,AK152="E",AV152&gt;=0.75),Health*P152,IF(AND(AT152=3,AK152="E",AV152&gt;=0.5,AW152=1),PTHealth,IF(AND(AT152=3,AK152="E",AV152&gt;=0.5),PTHealth*P152,0))))</f>
        <v>0</v>
      </c>
      <c r="BD152" s="462">
        <f>IF(AND(AT152&lt;&gt;0,AX152&gt;=MAXSSDI),SSDI*MAXSSDI*P152,IF(AT152&lt;&gt;0,SSDI*W152,0))</f>
        <v>2150.0856000000003</v>
      </c>
      <c r="BE152" s="462">
        <f>IF(AT152&lt;&gt;0,SSHI*W152,0)</f>
        <v>502.84260000000006</v>
      </c>
      <c r="BF152" s="462">
        <f>IF(AND(AT152&lt;&gt;0,AN152&lt;&gt;"NE"),VLOOKUP(AN152,Retirement_Rates,3,FALSE)*W152,0)</f>
        <v>4140.6487200000001</v>
      </c>
      <c r="BG152" s="462">
        <f>IF(AND(AT152&lt;&gt;0,AJ152&lt;&gt;"PF"),Life*W152,0)</f>
        <v>250.03414800000002</v>
      </c>
      <c r="BH152" s="462">
        <f>IF(AND(AT152&lt;&gt;0,AM152="Y"),UI*W152,0)</f>
        <v>169.92612</v>
      </c>
      <c r="BI152" s="462">
        <f>IF(AND(AT152&lt;&gt;0,N152&lt;&gt;"NR"),DHR*W152,0)</f>
        <v>106.11712800000001</v>
      </c>
      <c r="BJ152" s="462">
        <f>IF(AT152&lt;&gt;0,WC*W152,0)</f>
        <v>932.85972000000004</v>
      </c>
      <c r="BK152" s="462">
        <f>IF(OR(AND(AT152&lt;&gt;0,AJ152&lt;&gt;"PF",AN152&lt;&gt;"NE",AG152&lt;&gt;"A"),AND(AL152="E",OR(AT152=1,AT152=3))),Sick*W152,0)</f>
        <v>0</v>
      </c>
      <c r="BL152" s="462">
        <f t="shared" si="39"/>
        <v>8252.5140360000005</v>
      </c>
      <c r="BM152" s="462">
        <f t="shared" si="40"/>
        <v>0</v>
      </c>
      <c r="BN152" s="462">
        <f>IF(AND(AT152=1,AK152="E",AU152&gt;=0.75,AW152=1),HealthBY,IF(AND(AT152=1,AK152="E",AU152&gt;=0.75),HealthBY*P152,IF(AND(AT152=1,AK152="E",AU152&gt;=0.5,AW152=1),PTHealthBY,IF(AND(AT152=1,AK152="E",AU152&gt;=0.5),PTHealthBY*P152,0))))</f>
        <v>8737.5</v>
      </c>
      <c r="BO152" s="462">
        <f>IF(AND(AT152=3,AK152="E",AV152&gt;=0.75,AW152=1),HealthBY,IF(AND(AT152=3,AK152="E",AV152&gt;=0.75),HealthBY*P152,IF(AND(AT152=3,AK152="E",AV152&gt;=0.5,AW152=1),PTHealthBY,IF(AND(AT152=3,AK152="E",AV152&gt;=0.5),PTHealthBY*P152,0))))</f>
        <v>0</v>
      </c>
      <c r="BP152" s="462">
        <f>IF(AND(AT152&lt;&gt;0,(AX152+BA152)&gt;=MAXSSDIBY),SSDIBY*MAXSSDIBY*P152,IF(AT152&lt;&gt;0,SSDIBY*W152,0))</f>
        <v>2150.0856000000003</v>
      </c>
      <c r="BQ152" s="462">
        <f>IF(AT152&lt;&gt;0,SSHIBY*W152,0)</f>
        <v>502.84260000000006</v>
      </c>
      <c r="BR152" s="462">
        <f>IF(AND(AT152&lt;&gt;0,AN152&lt;&gt;"NE"),VLOOKUP(AN152,Retirement_Rates,4,FALSE)*W152,0)</f>
        <v>4140.6487200000001</v>
      </c>
      <c r="BS152" s="462">
        <f>IF(AND(AT152&lt;&gt;0,AJ152&lt;&gt;"PF"),LifeBY*W152,0)</f>
        <v>250.03414800000002</v>
      </c>
      <c r="BT152" s="462">
        <f>IF(AND(AT152&lt;&gt;0,AM152="Y"),UIBY*W152,0)</f>
        <v>0</v>
      </c>
      <c r="BU152" s="462">
        <f>IF(AND(AT152&lt;&gt;0,N152&lt;&gt;"NR"),DHRBY*W152,0)</f>
        <v>106.11712800000001</v>
      </c>
      <c r="BV152" s="462">
        <f>IF(AT152&lt;&gt;0,WCBY*W152,0)</f>
        <v>1203.3543600000003</v>
      </c>
      <c r="BW152" s="462">
        <f>IF(OR(AND(AT152&lt;&gt;0,AJ152&lt;&gt;"PF",AN152&lt;&gt;"NE",AG152&lt;&gt;"A"),AND(AL152="E",OR(AT152=1,AT152=3))),SickBY*W152,0)</f>
        <v>0</v>
      </c>
      <c r="BX152" s="462">
        <f t="shared" si="41"/>
        <v>8353.0825560000012</v>
      </c>
      <c r="BY152" s="462">
        <f t="shared" si="42"/>
        <v>0</v>
      </c>
      <c r="BZ152" s="462">
        <f t="shared" si="43"/>
        <v>0</v>
      </c>
      <c r="CA152" s="462">
        <f t="shared" si="44"/>
        <v>0</v>
      </c>
      <c r="CB152" s="462">
        <f t="shared" si="45"/>
        <v>0</v>
      </c>
      <c r="CC152" s="462">
        <f>IF(AT152&lt;&gt;0,SSHICHG*Y152,0)</f>
        <v>0</v>
      </c>
      <c r="CD152" s="462">
        <f>IF(AND(AT152&lt;&gt;0,AN152&lt;&gt;"NE"),VLOOKUP(AN152,Retirement_Rates,5,FALSE)*Y152,0)</f>
        <v>0</v>
      </c>
      <c r="CE152" s="462">
        <f>IF(AND(AT152&lt;&gt;0,AJ152&lt;&gt;"PF"),LifeCHG*Y152,0)</f>
        <v>0</v>
      </c>
      <c r="CF152" s="462">
        <f>IF(AND(AT152&lt;&gt;0,AM152="Y"),UICHG*Y152,0)</f>
        <v>-169.92612</v>
      </c>
      <c r="CG152" s="462">
        <f>IF(AND(AT152&lt;&gt;0,N152&lt;&gt;"NR"),DHRCHG*Y152,0)</f>
        <v>0</v>
      </c>
      <c r="CH152" s="462">
        <f>IF(AT152&lt;&gt;0,WCCHG*Y152,0)</f>
        <v>270.49464000000006</v>
      </c>
      <c r="CI152" s="462">
        <f>IF(OR(AND(AT152&lt;&gt;0,AJ152&lt;&gt;"PF",AN152&lt;&gt;"NE",AG152&lt;&gt;"A"),AND(AL152="E",OR(AT152=1,AT152=3))),SickCHG*Y152,0)</f>
        <v>0</v>
      </c>
      <c r="CJ152" s="462">
        <f t="shared" si="46"/>
        <v>100.56852000000006</v>
      </c>
      <c r="CK152" s="462" t="str">
        <f t="shared" si="47"/>
        <v/>
      </c>
      <c r="CL152" s="462" t="str">
        <f t="shared" si="48"/>
        <v/>
      </c>
      <c r="CM152" s="462" t="str">
        <f t="shared" si="49"/>
        <v/>
      </c>
      <c r="CN152" s="462" t="str">
        <f t="shared" si="50"/>
        <v>0243-00</v>
      </c>
    </row>
    <row r="153" spans="1:92" ht="15" thickBot="1" x14ac:dyDescent="0.35">
      <c r="A153" s="376" t="s">
        <v>161</v>
      </c>
      <c r="B153" s="376" t="s">
        <v>162</v>
      </c>
      <c r="C153" s="376" t="s">
        <v>631</v>
      </c>
      <c r="D153" s="376" t="s">
        <v>185</v>
      </c>
      <c r="E153" s="376" t="s">
        <v>273</v>
      </c>
      <c r="F153" s="377" t="s">
        <v>166</v>
      </c>
      <c r="G153" s="376" t="s">
        <v>432</v>
      </c>
      <c r="H153" s="378"/>
      <c r="I153" s="378"/>
      <c r="J153" s="376" t="s">
        <v>193</v>
      </c>
      <c r="K153" s="376" t="s">
        <v>186</v>
      </c>
      <c r="L153" s="376" t="s">
        <v>178</v>
      </c>
      <c r="M153" s="376" t="s">
        <v>171</v>
      </c>
      <c r="N153" s="376" t="s">
        <v>172</v>
      </c>
      <c r="O153" s="379">
        <v>1</v>
      </c>
      <c r="P153" s="460">
        <v>0.5</v>
      </c>
      <c r="Q153" s="460">
        <v>0.5</v>
      </c>
      <c r="R153" s="380">
        <v>80</v>
      </c>
      <c r="S153" s="460">
        <v>0.5</v>
      </c>
      <c r="T153" s="380">
        <v>16125.44</v>
      </c>
      <c r="U153" s="380">
        <v>0</v>
      </c>
      <c r="V153" s="380">
        <v>9619.4699999999993</v>
      </c>
      <c r="W153" s="380">
        <v>16411.2</v>
      </c>
      <c r="X153" s="380">
        <v>9730.35</v>
      </c>
      <c r="Y153" s="380">
        <v>16411.2</v>
      </c>
      <c r="Z153" s="380">
        <v>9777.94</v>
      </c>
      <c r="AA153" s="376" t="s">
        <v>632</v>
      </c>
      <c r="AB153" s="376" t="s">
        <v>633</v>
      </c>
      <c r="AC153" s="376" t="s">
        <v>634</v>
      </c>
      <c r="AD153" s="376" t="s">
        <v>180</v>
      </c>
      <c r="AE153" s="376" t="s">
        <v>186</v>
      </c>
      <c r="AF153" s="376" t="s">
        <v>190</v>
      </c>
      <c r="AG153" s="376" t="s">
        <v>178</v>
      </c>
      <c r="AH153" s="381">
        <v>15.78</v>
      </c>
      <c r="AI153" s="381">
        <v>28489.7</v>
      </c>
      <c r="AJ153" s="376" t="s">
        <v>179</v>
      </c>
      <c r="AK153" s="376" t="s">
        <v>180</v>
      </c>
      <c r="AL153" s="376" t="s">
        <v>181</v>
      </c>
      <c r="AM153" s="376" t="s">
        <v>182</v>
      </c>
      <c r="AN153" s="376" t="s">
        <v>68</v>
      </c>
      <c r="AO153" s="379">
        <v>80</v>
      </c>
      <c r="AP153" s="460">
        <v>1</v>
      </c>
      <c r="AQ153" s="460">
        <v>0.5</v>
      </c>
      <c r="AR153" s="458" t="s">
        <v>183</v>
      </c>
      <c r="AS153" s="462">
        <f t="shared" si="34"/>
        <v>0.5</v>
      </c>
      <c r="AT153">
        <f t="shared" si="35"/>
        <v>1</v>
      </c>
      <c r="AU153" s="462">
        <f>IF(AT153=0,"",IF(AND(AT153=1,M153="F",SUMIF(C2:C391,C153,AS2:AS391)&lt;=1),SUMIF(C2:C391,C153,AS2:AS391),IF(AND(AT153=1,M153="F",SUMIF(C2:C391,C153,AS2:AS391)&gt;1),1,"")))</f>
        <v>1</v>
      </c>
      <c r="AV153" s="462" t="str">
        <f>IF(AT153=0,"",IF(AND(AT153=3,M153="F",SUMIF(C2:C391,C153,AS2:AS391)&lt;=1),SUMIF(C2:C391,C153,AS2:AS391),IF(AND(AT153=3,M153="F",SUMIF(C2:C391,C153,AS2:AS391)&gt;1),1,"")))</f>
        <v/>
      </c>
      <c r="AW153" s="462">
        <f>SUMIF(C2:C391,C153,O2:O391)</f>
        <v>2</v>
      </c>
      <c r="AX153" s="462">
        <f>IF(AND(M153="F",AS153&lt;&gt;0),SUMIF(C2:C391,C153,W2:W391),0)</f>
        <v>32822.400000000001</v>
      </c>
      <c r="AY153" s="462">
        <f t="shared" si="36"/>
        <v>16411.2</v>
      </c>
      <c r="AZ153" s="462" t="str">
        <f t="shared" si="37"/>
        <v/>
      </c>
      <c r="BA153" s="462">
        <f t="shared" si="38"/>
        <v>0</v>
      </c>
      <c r="BB153" s="462">
        <f>IF(AND(AT153=1,AK153="E",AU153&gt;=0.75,AW153=1),Health,IF(AND(AT153=1,AK153="E",AU153&gt;=0.75),Health*P153,IF(AND(AT153=1,AK153="E",AU153&gt;=0.5,AW153=1),PTHealth,IF(AND(AT153=1,AK153="E",AU153&gt;=0.5),PTHealth*P153,0))))</f>
        <v>5825</v>
      </c>
      <c r="BC153" s="462">
        <f>IF(AND(AT153=3,AK153="E",AV153&gt;=0.75,AW153=1),Health,IF(AND(AT153=3,AK153="E",AV153&gt;=0.75),Health*P153,IF(AND(AT153=3,AK153="E",AV153&gt;=0.5,AW153=1),PTHealth,IF(AND(AT153=3,AK153="E",AV153&gt;=0.5),PTHealth*P153,0))))</f>
        <v>0</v>
      </c>
      <c r="BD153" s="462">
        <f>IF(AND(AT153&lt;&gt;0,AX153&gt;=MAXSSDI),SSDI*MAXSSDI*P153,IF(AT153&lt;&gt;0,SSDI*W153,0))</f>
        <v>1017.4944</v>
      </c>
      <c r="BE153" s="462">
        <f>IF(AT153&lt;&gt;0,SSHI*W153,0)</f>
        <v>237.96240000000003</v>
      </c>
      <c r="BF153" s="462">
        <f>IF(AND(AT153&lt;&gt;0,AN153&lt;&gt;"NE"),VLOOKUP(AN153,Retirement_Rates,3,FALSE)*W153,0)</f>
        <v>1959.4972800000003</v>
      </c>
      <c r="BG153" s="462">
        <f>IF(AND(AT153&lt;&gt;0,AJ153&lt;&gt;"PF"),Life*W153,0)</f>
        <v>118.324752</v>
      </c>
      <c r="BH153" s="462">
        <f>IF(AND(AT153&lt;&gt;0,AM153="Y"),UI*W153,0)</f>
        <v>80.414879999999997</v>
      </c>
      <c r="BI153" s="462">
        <f>IF(AND(AT153&lt;&gt;0,N153&lt;&gt;"NR"),DHR*W153,0)</f>
        <v>50.218271999999999</v>
      </c>
      <c r="BJ153" s="462">
        <f>IF(AT153&lt;&gt;0,WC*W153,0)</f>
        <v>441.46128000000004</v>
      </c>
      <c r="BK153" s="462">
        <f>IF(OR(AND(AT153&lt;&gt;0,AJ153&lt;&gt;"PF",AN153&lt;&gt;"NE",AG153&lt;&gt;"A"),AND(AL153="E",OR(AT153=1,AT153=3))),Sick*W153,0)</f>
        <v>0</v>
      </c>
      <c r="BL153" s="462">
        <f t="shared" si="39"/>
        <v>3905.3732640000003</v>
      </c>
      <c r="BM153" s="462">
        <f t="shared" si="40"/>
        <v>0</v>
      </c>
      <c r="BN153" s="462">
        <f>IF(AND(AT153=1,AK153="E",AU153&gt;=0.75,AW153=1),HealthBY,IF(AND(AT153=1,AK153="E",AU153&gt;=0.75),HealthBY*P153,IF(AND(AT153=1,AK153="E",AU153&gt;=0.5,AW153=1),PTHealthBY,IF(AND(AT153=1,AK153="E",AU153&gt;=0.5),PTHealthBY*P153,0))))</f>
        <v>5825</v>
      </c>
      <c r="BO153" s="462">
        <f>IF(AND(AT153=3,AK153="E",AV153&gt;=0.75,AW153=1),HealthBY,IF(AND(AT153=3,AK153="E",AV153&gt;=0.75),HealthBY*P153,IF(AND(AT153=3,AK153="E",AV153&gt;=0.5,AW153=1),PTHealthBY,IF(AND(AT153=3,AK153="E",AV153&gt;=0.5),PTHealthBY*P153,0))))</f>
        <v>0</v>
      </c>
      <c r="BP153" s="462">
        <f>IF(AND(AT153&lt;&gt;0,(AX153+BA153)&gt;=MAXSSDIBY),SSDIBY*MAXSSDIBY*P153,IF(AT153&lt;&gt;0,SSDIBY*W153,0))</f>
        <v>1017.4944</v>
      </c>
      <c r="BQ153" s="462">
        <f>IF(AT153&lt;&gt;0,SSHIBY*W153,0)</f>
        <v>237.96240000000003</v>
      </c>
      <c r="BR153" s="462">
        <f>IF(AND(AT153&lt;&gt;0,AN153&lt;&gt;"NE"),VLOOKUP(AN153,Retirement_Rates,4,FALSE)*W153,0)</f>
        <v>1959.4972800000003</v>
      </c>
      <c r="BS153" s="462">
        <f>IF(AND(AT153&lt;&gt;0,AJ153&lt;&gt;"PF"),LifeBY*W153,0)</f>
        <v>118.324752</v>
      </c>
      <c r="BT153" s="462">
        <f>IF(AND(AT153&lt;&gt;0,AM153="Y"),UIBY*W153,0)</f>
        <v>0</v>
      </c>
      <c r="BU153" s="462">
        <f>IF(AND(AT153&lt;&gt;0,N153&lt;&gt;"NR"),DHRBY*W153,0)</f>
        <v>50.218271999999999</v>
      </c>
      <c r="BV153" s="462">
        <f>IF(AT153&lt;&gt;0,WCBY*W153,0)</f>
        <v>569.46864000000005</v>
      </c>
      <c r="BW153" s="462">
        <f>IF(OR(AND(AT153&lt;&gt;0,AJ153&lt;&gt;"PF",AN153&lt;&gt;"NE",AG153&lt;&gt;"A"),AND(AL153="E",OR(AT153=1,AT153=3))),SickBY*W153,0)</f>
        <v>0</v>
      </c>
      <c r="BX153" s="462">
        <f t="shared" si="41"/>
        <v>3952.9657440000005</v>
      </c>
      <c r="BY153" s="462">
        <f t="shared" si="42"/>
        <v>0</v>
      </c>
      <c r="BZ153" s="462">
        <f t="shared" si="43"/>
        <v>0</v>
      </c>
      <c r="CA153" s="462">
        <f t="shared" si="44"/>
        <v>0</v>
      </c>
      <c r="CB153" s="462">
        <f t="shared" si="45"/>
        <v>0</v>
      </c>
      <c r="CC153" s="462">
        <f>IF(AT153&lt;&gt;0,SSHICHG*Y153,0)</f>
        <v>0</v>
      </c>
      <c r="CD153" s="462">
        <f>IF(AND(AT153&lt;&gt;0,AN153&lt;&gt;"NE"),VLOOKUP(AN153,Retirement_Rates,5,FALSE)*Y153,0)</f>
        <v>0</v>
      </c>
      <c r="CE153" s="462">
        <f>IF(AND(AT153&lt;&gt;0,AJ153&lt;&gt;"PF"),LifeCHG*Y153,0)</f>
        <v>0</v>
      </c>
      <c r="CF153" s="462">
        <f>IF(AND(AT153&lt;&gt;0,AM153="Y"),UICHG*Y153,0)</f>
        <v>-80.414879999999997</v>
      </c>
      <c r="CG153" s="462">
        <f>IF(AND(AT153&lt;&gt;0,N153&lt;&gt;"NR"),DHRCHG*Y153,0)</f>
        <v>0</v>
      </c>
      <c r="CH153" s="462">
        <f>IF(AT153&lt;&gt;0,WCCHG*Y153,0)</f>
        <v>128.00736000000003</v>
      </c>
      <c r="CI153" s="462">
        <f>IF(OR(AND(AT153&lt;&gt;0,AJ153&lt;&gt;"PF",AN153&lt;&gt;"NE",AG153&lt;&gt;"A"),AND(AL153="E",OR(AT153=1,AT153=3))),SickCHG*Y153,0)</f>
        <v>0</v>
      </c>
      <c r="CJ153" s="462">
        <f t="shared" si="46"/>
        <v>47.592480000000037</v>
      </c>
      <c r="CK153" s="462" t="str">
        <f t="shared" si="47"/>
        <v/>
      </c>
      <c r="CL153" s="462" t="str">
        <f t="shared" si="48"/>
        <v/>
      </c>
      <c r="CM153" s="462" t="str">
        <f t="shared" si="49"/>
        <v/>
      </c>
      <c r="CN153" s="462" t="str">
        <f t="shared" si="50"/>
        <v>0243-00</v>
      </c>
    </row>
    <row r="154" spans="1:92" ht="15" thickBot="1" x14ac:dyDescent="0.35">
      <c r="A154" s="376" t="s">
        <v>161</v>
      </c>
      <c r="B154" s="376" t="s">
        <v>162</v>
      </c>
      <c r="C154" s="376" t="s">
        <v>635</v>
      </c>
      <c r="D154" s="376" t="s">
        <v>453</v>
      </c>
      <c r="E154" s="376" t="s">
        <v>273</v>
      </c>
      <c r="F154" s="377" t="s">
        <v>166</v>
      </c>
      <c r="G154" s="376" t="s">
        <v>432</v>
      </c>
      <c r="H154" s="378"/>
      <c r="I154" s="378"/>
      <c r="J154" s="376" t="s">
        <v>168</v>
      </c>
      <c r="K154" s="376" t="s">
        <v>454</v>
      </c>
      <c r="L154" s="376" t="s">
        <v>170</v>
      </c>
      <c r="M154" s="376" t="s">
        <v>171</v>
      </c>
      <c r="N154" s="376" t="s">
        <v>172</v>
      </c>
      <c r="O154" s="379">
        <v>1</v>
      </c>
      <c r="P154" s="460">
        <v>1</v>
      </c>
      <c r="Q154" s="460">
        <v>1</v>
      </c>
      <c r="R154" s="380">
        <v>80</v>
      </c>
      <c r="S154" s="460">
        <v>1</v>
      </c>
      <c r="T154" s="380">
        <v>65151.68</v>
      </c>
      <c r="U154" s="380">
        <v>0</v>
      </c>
      <c r="V154" s="380">
        <v>25990.98</v>
      </c>
      <c r="W154" s="380">
        <v>65457.599999999999</v>
      </c>
      <c r="X154" s="380">
        <v>27226.91</v>
      </c>
      <c r="Y154" s="380">
        <v>65457.599999999999</v>
      </c>
      <c r="Z154" s="380">
        <v>27416.74</v>
      </c>
      <c r="AA154" s="376" t="s">
        <v>636</v>
      </c>
      <c r="AB154" s="376" t="s">
        <v>637</v>
      </c>
      <c r="AC154" s="376" t="s">
        <v>402</v>
      </c>
      <c r="AD154" s="376" t="s">
        <v>638</v>
      </c>
      <c r="AE154" s="376" t="s">
        <v>454</v>
      </c>
      <c r="AF154" s="376" t="s">
        <v>177</v>
      </c>
      <c r="AG154" s="376" t="s">
        <v>178</v>
      </c>
      <c r="AH154" s="381">
        <v>31.47</v>
      </c>
      <c r="AI154" s="381">
        <v>47925.5</v>
      </c>
      <c r="AJ154" s="376" t="s">
        <v>179</v>
      </c>
      <c r="AK154" s="376" t="s">
        <v>180</v>
      </c>
      <c r="AL154" s="376" t="s">
        <v>181</v>
      </c>
      <c r="AM154" s="376" t="s">
        <v>182</v>
      </c>
      <c r="AN154" s="376" t="s">
        <v>68</v>
      </c>
      <c r="AO154" s="379">
        <v>80</v>
      </c>
      <c r="AP154" s="460">
        <v>1</v>
      </c>
      <c r="AQ154" s="460">
        <v>1</v>
      </c>
      <c r="AR154" s="458" t="s">
        <v>183</v>
      </c>
      <c r="AS154" s="462">
        <f t="shared" si="34"/>
        <v>1</v>
      </c>
      <c r="AT154">
        <f t="shared" si="35"/>
        <v>1</v>
      </c>
      <c r="AU154" s="462">
        <f>IF(AT154=0,"",IF(AND(AT154=1,M154="F",SUMIF(C2:C391,C154,AS2:AS391)&lt;=1),SUMIF(C2:C391,C154,AS2:AS391),IF(AND(AT154=1,M154="F",SUMIF(C2:C391,C154,AS2:AS391)&gt;1),1,"")))</f>
        <v>1</v>
      </c>
      <c r="AV154" s="462" t="str">
        <f>IF(AT154=0,"",IF(AND(AT154=3,M154="F",SUMIF(C2:C391,C154,AS2:AS391)&lt;=1),SUMIF(C2:C391,C154,AS2:AS391),IF(AND(AT154=3,M154="F",SUMIF(C2:C391,C154,AS2:AS391)&gt;1),1,"")))</f>
        <v/>
      </c>
      <c r="AW154" s="462">
        <f>SUMIF(C2:C391,C154,O2:O391)</f>
        <v>1</v>
      </c>
      <c r="AX154" s="462">
        <f>IF(AND(M154="F",AS154&lt;&gt;0),SUMIF(C2:C391,C154,W2:W391),0)</f>
        <v>65457.599999999999</v>
      </c>
      <c r="AY154" s="462">
        <f t="shared" si="36"/>
        <v>65457.599999999999</v>
      </c>
      <c r="AZ154" s="462" t="str">
        <f t="shared" si="37"/>
        <v/>
      </c>
      <c r="BA154" s="462">
        <f t="shared" si="38"/>
        <v>0</v>
      </c>
      <c r="BB154" s="462">
        <f>IF(AND(AT154=1,AK154="E",AU154&gt;=0.75,AW154=1),Health,IF(AND(AT154=1,AK154="E",AU154&gt;=0.75),Health*P154,IF(AND(AT154=1,AK154="E",AU154&gt;=0.5,AW154=1),PTHealth,IF(AND(AT154=1,AK154="E",AU154&gt;=0.5),PTHealth*P154,0))))</f>
        <v>11650</v>
      </c>
      <c r="BC154" s="462">
        <f>IF(AND(AT154=3,AK154="E",AV154&gt;=0.75,AW154=1),Health,IF(AND(AT154=3,AK154="E",AV154&gt;=0.75),Health*P154,IF(AND(AT154=3,AK154="E",AV154&gt;=0.5,AW154=1),PTHealth,IF(AND(AT154=3,AK154="E",AV154&gt;=0.5),PTHealth*P154,0))))</f>
        <v>0</v>
      </c>
      <c r="BD154" s="462">
        <f>IF(AND(AT154&lt;&gt;0,AX154&gt;=MAXSSDI),SSDI*MAXSSDI*P154,IF(AT154&lt;&gt;0,SSDI*W154,0))</f>
        <v>4058.3712</v>
      </c>
      <c r="BE154" s="462">
        <f>IF(AT154&lt;&gt;0,SSHI*W154,0)</f>
        <v>949.13520000000005</v>
      </c>
      <c r="BF154" s="462">
        <f>IF(AND(AT154&lt;&gt;0,AN154&lt;&gt;"NE"),VLOOKUP(AN154,Retirement_Rates,3,FALSE)*W154,0)</f>
        <v>7815.6374400000004</v>
      </c>
      <c r="BG154" s="462">
        <f>IF(AND(AT154&lt;&gt;0,AJ154&lt;&gt;"PF"),Life*W154,0)</f>
        <v>471.949296</v>
      </c>
      <c r="BH154" s="462">
        <f>IF(AND(AT154&lt;&gt;0,AM154="Y"),UI*W154,0)</f>
        <v>320.74223999999998</v>
      </c>
      <c r="BI154" s="462">
        <f>IF(AND(AT154&lt;&gt;0,N154&lt;&gt;"NR"),DHR*W154,0)</f>
        <v>200.30025599999999</v>
      </c>
      <c r="BJ154" s="462">
        <f>IF(AT154&lt;&gt;0,WC*W154,0)</f>
        <v>1760.80944</v>
      </c>
      <c r="BK154" s="462">
        <f>IF(OR(AND(AT154&lt;&gt;0,AJ154&lt;&gt;"PF",AN154&lt;&gt;"NE",AG154&lt;&gt;"A"),AND(AL154="E",OR(AT154=1,AT154=3))),Sick*W154,0)</f>
        <v>0</v>
      </c>
      <c r="BL154" s="462">
        <f t="shared" si="39"/>
        <v>15576.945072000002</v>
      </c>
      <c r="BM154" s="462">
        <f t="shared" si="40"/>
        <v>0</v>
      </c>
      <c r="BN154" s="462">
        <f>IF(AND(AT154=1,AK154="E",AU154&gt;=0.75,AW154=1),HealthBY,IF(AND(AT154=1,AK154="E",AU154&gt;=0.75),HealthBY*P154,IF(AND(AT154=1,AK154="E",AU154&gt;=0.5,AW154=1),PTHealthBY,IF(AND(AT154=1,AK154="E",AU154&gt;=0.5),PTHealthBY*P154,0))))</f>
        <v>11650</v>
      </c>
      <c r="BO154" s="462">
        <f>IF(AND(AT154=3,AK154="E",AV154&gt;=0.75,AW154=1),HealthBY,IF(AND(AT154=3,AK154="E",AV154&gt;=0.75),HealthBY*P154,IF(AND(AT154=3,AK154="E",AV154&gt;=0.5,AW154=1),PTHealthBY,IF(AND(AT154=3,AK154="E",AV154&gt;=0.5),PTHealthBY*P154,0))))</f>
        <v>0</v>
      </c>
      <c r="BP154" s="462">
        <f>IF(AND(AT154&lt;&gt;0,(AX154+BA154)&gt;=MAXSSDIBY),SSDIBY*MAXSSDIBY*P154,IF(AT154&lt;&gt;0,SSDIBY*W154,0))</f>
        <v>4058.3712</v>
      </c>
      <c r="BQ154" s="462">
        <f>IF(AT154&lt;&gt;0,SSHIBY*W154,0)</f>
        <v>949.13520000000005</v>
      </c>
      <c r="BR154" s="462">
        <f>IF(AND(AT154&lt;&gt;0,AN154&lt;&gt;"NE"),VLOOKUP(AN154,Retirement_Rates,4,FALSE)*W154,0)</f>
        <v>7815.6374400000004</v>
      </c>
      <c r="BS154" s="462">
        <f>IF(AND(AT154&lt;&gt;0,AJ154&lt;&gt;"PF"),LifeBY*W154,0)</f>
        <v>471.949296</v>
      </c>
      <c r="BT154" s="462">
        <f>IF(AND(AT154&lt;&gt;0,AM154="Y"),UIBY*W154,0)</f>
        <v>0</v>
      </c>
      <c r="BU154" s="462">
        <f>IF(AND(AT154&lt;&gt;0,N154&lt;&gt;"NR"),DHRBY*W154,0)</f>
        <v>200.30025599999999</v>
      </c>
      <c r="BV154" s="462">
        <f>IF(AT154&lt;&gt;0,WCBY*W154,0)</f>
        <v>2271.3787200000002</v>
      </c>
      <c r="BW154" s="462">
        <f>IF(OR(AND(AT154&lt;&gt;0,AJ154&lt;&gt;"PF",AN154&lt;&gt;"NE",AG154&lt;&gt;"A"),AND(AL154="E",OR(AT154=1,AT154=3))),SickBY*W154,0)</f>
        <v>0</v>
      </c>
      <c r="BX154" s="462">
        <f t="shared" si="41"/>
        <v>15766.772112000002</v>
      </c>
      <c r="BY154" s="462">
        <f t="shared" si="42"/>
        <v>0</v>
      </c>
      <c r="BZ154" s="462">
        <f t="shared" si="43"/>
        <v>0</v>
      </c>
      <c r="CA154" s="462">
        <f t="shared" si="44"/>
        <v>0</v>
      </c>
      <c r="CB154" s="462">
        <f t="shared" si="45"/>
        <v>0</v>
      </c>
      <c r="CC154" s="462">
        <f>IF(AT154&lt;&gt;0,SSHICHG*Y154,0)</f>
        <v>0</v>
      </c>
      <c r="CD154" s="462">
        <f>IF(AND(AT154&lt;&gt;0,AN154&lt;&gt;"NE"),VLOOKUP(AN154,Retirement_Rates,5,FALSE)*Y154,0)</f>
        <v>0</v>
      </c>
      <c r="CE154" s="462">
        <f>IF(AND(AT154&lt;&gt;0,AJ154&lt;&gt;"PF"),LifeCHG*Y154,0)</f>
        <v>0</v>
      </c>
      <c r="CF154" s="462">
        <f>IF(AND(AT154&lt;&gt;0,AM154="Y"),UICHG*Y154,0)</f>
        <v>-320.74223999999998</v>
      </c>
      <c r="CG154" s="462">
        <f>IF(AND(AT154&lt;&gt;0,N154&lt;&gt;"NR"),DHRCHG*Y154,0)</f>
        <v>0</v>
      </c>
      <c r="CH154" s="462">
        <f>IF(AT154&lt;&gt;0,WCCHG*Y154,0)</f>
        <v>510.56928000000011</v>
      </c>
      <c r="CI154" s="462">
        <f>IF(OR(AND(AT154&lt;&gt;0,AJ154&lt;&gt;"PF",AN154&lt;&gt;"NE",AG154&lt;&gt;"A"),AND(AL154="E",OR(AT154=1,AT154=3))),SickCHG*Y154,0)</f>
        <v>0</v>
      </c>
      <c r="CJ154" s="462">
        <f t="shared" si="46"/>
        <v>189.82704000000012</v>
      </c>
      <c r="CK154" s="462" t="str">
        <f t="shared" si="47"/>
        <v/>
      </c>
      <c r="CL154" s="462" t="str">
        <f t="shared" si="48"/>
        <v/>
      </c>
      <c r="CM154" s="462" t="str">
        <f t="shared" si="49"/>
        <v/>
      </c>
      <c r="CN154" s="462" t="str">
        <f t="shared" si="50"/>
        <v>0243-00</v>
      </c>
    </row>
    <row r="155" spans="1:92" ht="15" thickBot="1" x14ac:dyDescent="0.35">
      <c r="A155" s="376" t="s">
        <v>161</v>
      </c>
      <c r="B155" s="376" t="s">
        <v>162</v>
      </c>
      <c r="C155" s="376" t="s">
        <v>550</v>
      </c>
      <c r="D155" s="376" t="s">
        <v>438</v>
      </c>
      <c r="E155" s="376" t="s">
        <v>273</v>
      </c>
      <c r="F155" s="377" t="s">
        <v>166</v>
      </c>
      <c r="G155" s="376" t="s">
        <v>432</v>
      </c>
      <c r="H155" s="378"/>
      <c r="I155" s="378"/>
      <c r="J155" s="376" t="s">
        <v>168</v>
      </c>
      <c r="K155" s="376" t="s">
        <v>439</v>
      </c>
      <c r="L155" s="376" t="s">
        <v>231</v>
      </c>
      <c r="M155" s="376" t="s">
        <v>171</v>
      </c>
      <c r="N155" s="376" t="s">
        <v>172</v>
      </c>
      <c r="O155" s="379">
        <v>1</v>
      </c>
      <c r="P155" s="460">
        <v>0</v>
      </c>
      <c r="Q155" s="460">
        <v>0</v>
      </c>
      <c r="R155" s="380">
        <v>80</v>
      </c>
      <c r="S155" s="460">
        <v>0</v>
      </c>
      <c r="T155" s="380">
        <v>15000</v>
      </c>
      <c r="U155" s="380">
        <v>0</v>
      </c>
      <c r="V155" s="380">
        <v>0</v>
      </c>
      <c r="W155" s="380">
        <v>0</v>
      </c>
      <c r="X155" s="380">
        <v>0</v>
      </c>
      <c r="Y155" s="380">
        <v>0</v>
      </c>
      <c r="Z155" s="380">
        <v>0</v>
      </c>
      <c r="AA155" s="376" t="s">
        <v>551</v>
      </c>
      <c r="AB155" s="376" t="s">
        <v>552</v>
      </c>
      <c r="AC155" s="376" t="s">
        <v>553</v>
      </c>
      <c r="AD155" s="376" t="s">
        <v>359</v>
      </c>
      <c r="AE155" s="376" t="s">
        <v>439</v>
      </c>
      <c r="AF155" s="376" t="s">
        <v>236</v>
      </c>
      <c r="AG155" s="376" t="s">
        <v>178</v>
      </c>
      <c r="AH155" s="381">
        <v>19.93</v>
      </c>
      <c r="AI155" s="381">
        <v>47418.8</v>
      </c>
      <c r="AJ155" s="376" t="s">
        <v>179</v>
      </c>
      <c r="AK155" s="376" t="s">
        <v>180</v>
      </c>
      <c r="AL155" s="376" t="s">
        <v>181</v>
      </c>
      <c r="AM155" s="376" t="s">
        <v>182</v>
      </c>
      <c r="AN155" s="376" t="s">
        <v>68</v>
      </c>
      <c r="AO155" s="379">
        <v>80</v>
      </c>
      <c r="AP155" s="460">
        <v>1</v>
      </c>
      <c r="AQ155" s="460">
        <v>0</v>
      </c>
      <c r="AR155" s="458" t="s">
        <v>183</v>
      </c>
      <c r="AS155" s="462">
        <f t="shared" si="34"/>
        <v>0</v>
      </c>
      <c r="AT155">
        <f t="shared" si="35"/>
        <v>0</v>
      </c>
      <c r="AU155" s="462" t="str">
        <f>IF(AT155=0,"",IF(AND(AT155=1,M155="F",SUMIF(C2:C391,C155,AS2:AS391)&lt;=1),SUMIF(C2:C391,C155,AS2:AS391),IF(AND(AT155=1,M155="F",SUMIF(C2:C391,C155,AS2:AS391)&gt;1),1,"")))</f>
        <v/>
      </c>
      <c r="AV155" s="462" t="str">
        <f>IF(AT155=0,"",IF(AND(AT155=3,M155="F",SUMIF(C2:C391,C155,AS2:AS391)&lt;=1),SUMIF(C2:C391,C155,AS2:AS391),IF(AND(AT155=3,M155="F",SUMIF(C2:C391,C155,AS2:AS391)&gt;1),1,"")))</f>
        <v/>
      </c>
      <c r="AW155" s="462">
        <f>SUMIF(C2:C391,C155,O2:O391)</f>
        <v>2</v>
      </c>
      <c r="AX155" s="462">
        <f>IF(AND(M155="F",AS155&lt;&gt;0),SUMIF(C2:C391,C155,W2:W391),0)</f>
        <v>0</v>
      </c>
      <c r="AY155" s="462" t="str">
        <f t="shared" si="36"/>
        <v/>
      </c>
      <c r="AZ155" s="462" t="str">
        <f t="shared" si="37"/>
        <v/>
      </c>
      <c r="BA155" s="462">
        <f t="shared" si="38"/>
        <v>0</v>
      </c>
      <c r="BB155" s="462">
        <f>IF(AND(AT155=1,AK155="E",AU155&gt;=0.75,AW155=1),Health,IF(AND(AT155=1,AK155="E",AU155&gt;=0.75),Health*P155,IF(AND(AT155=1,AK155="E",AU155&gt;=0.5,AW155=1),PTHealth,IF(AND(AT155=1,AK155="E",AU155&gt;=0.5),PTHealth*P155,0))))</f>
        <v>0</v>
      </c>
      <c r="BC155" s="462">
        <f>IF(AND(AT155=3,AK155="E",AV155&gt;=0.75,AW155=1),Health,IF(AND(AT155=3,AK155="E",AV155&gt;=0.75),Health*P155,IF(AND(AT155=3,AK155="E",AV155&gt;=0.5,AW155=1),PTHealth,IF(AND(AT155=3,AK155="E",AV155&gt;=0.5),PTHealth*P155,0))))</f>
        <v>0</v>
      </c>
      <c r="BD155" s="462">
        <f>IF(AND(AT155&lt;&gt;0,AX155&gt;=MAXSSDI),SSDI*MAXSSDI*P155,IF(AT155&lt;&gt;0,SSDI*W155,0))</f>
        <v>0</v>
      </c>
      <c r="BE155" s="462">
        <f>IF(AT155&lt;&gt;0,SSHI*W155,0)</f>
        <v>0</v>
      </c>
      <c r="BF155" s="462">
        <f>IF(AND(AT155&lt;&gt;0,AN155&lt;&gt;"NE"),VLOOKUP(AN155,Retirement_Rates,3,FALSE)*W155,0)</f>
        <v>0</v>
      </c>
      <c r="BG155" s="462">
        <f>IF(AND(AT155&lt;&gt;0,AJ155&lt;&gt;"PF"),Life*W155,0)</f>
        <v>0</v>
      </c>
      <c r="BH155" s="462">
        <f>IF(AND(AT155&lt;&gt;0,AM155="Y"),UI*W155,0)</f>
        <v>0</v>
      </c>
      <c r="BI155" s="462">
        <f>IF(AND(AT155&lt;&gt;0,N155&lt;&gt;"NR"),DHR*W155,0)</f>
        <v>0</v>
      </c>
      <c r="BJ155" s="462">
        <f>IF(AT155&lt;&gt;0,WC*W155,0)</f>
        <v>0</v>
      </c>
      <c r="BK155" s="462">
        <f>IF(OR(AND(AT155&lt;&gt;0,AJ155&lt;&gt;"PF",AN155&lt;&gt;"NE",AG155&lt;&gt;"A"),AND(AL155="E",OR(AT155=1,AT155=3))),Sick*W155,0)</f>
        <v>0</v>
      </c>
      <c r="BL155" s="462">
        <f t="shared" si="39"/>
        <v>0</v>
      </c>
      <c r="BM155" s="462">
        <f t="shared" si="40"/>
        <v>0</v>
      </c>
      <c r="BN155" s="462">
        <f>IF(AND(AT155=1,AK155="E",AU155&gt;=0.75,AW155=1),HealthBY,IF(AND(AT155=1,AK155="E",AU155&gt;=0.75),HealthBY*P155,IF(AND(AT155=1,AK155="E",AU155&gt;=0.5,AW155=1),PTHealthBY,IF(AND(AT155=1,AK155="E",AU155&gt;=0.5),PTHealthBY*P155,0))))</f>
        <v>0</v>
      </c>
      <c r="BO155" s="462">
        <f>IF(AND(AT155=3,AK155="E",AV155&gt;=0.75,AW155=1),HealthBY,IF(AND(AT155=3,AK155="E",AV155&gt;=0.75),HealthBY*P155,IF(AND(AT155=3,AK155="E",AV155&gt;=0.5,AW155=1),PTHealthBY,IF(AND(AT155=3,AK155="E",AV155&gt;=0.5),PTHealthBY*P155,0))))</f>
        <v>0</v>
      </c>
      <c r="BP155" s="462">
        <f>IF(AND(AT155&lt;&gt;0,(AX155+BA155)&gt;=MAXSSDIBY),SSDIBY*MAXSSDIBY*P155,IF(AT155&lt;&gt;0,SSDIBY*W155,0))</f>
        <v>0</v>
      </c>
      <c r="BQ155" s="462">
        <f>IF(AT155&lt;&gt;0,SSHIBY*W155,0)</f>
        <v>0</v>
      </c>
      <c r="BR155" s="462">
        <f>IF(AND(AT155&lt;&gt;0,AN155&lt;&gt;"NE"),VLOOKUP(AN155,Retirement_Rates,4,FALSE)*W155,0)</f>
        <v>0</v>
      </c>
      <c r="BS155" s="462">
        <f>IF(AND(AT155&lt;&gt;0,AJ155&lt;&gt;"PF"),LifeBY*W155,0)</f>
        <v>0</v>
      </c>
      <c r="BT155" s="462">
        <f>IF(AND(AT155&lt;&gt;0,AM155="Y"),UIBY*W155,0)</f>
        <v>0</v>
      </c>
      <c r="BU155" s="462">
        <f>IF(AND(AT155&lt;&gt;0,N155&lt;&gt;"NR"),DHRBY*W155,0)</f>
        <v>0</v>
      </c>
      <c r="BV155" s="462">
        <f>IF(AT155&lt;&gt;0,WCBY*W155,0)</f>
        <v>0</v>
      </c>
      <c r="BW155" s="462">
        <f>IF(OR(AND(AT155&lt;&gt;0,AJ155&lt;&gt;"PF",AN155&lt;&gt;"NE",AG155&lt;&gt;"A"),AND(AL155="E",OR(AT155=1,AT155=3))),SickBY*W155,0)</f>
        <v>0</v>
      </c>
      <c r="BX155" s="462">
        <f t="shared" si="41"/>
        <v>0</v>
      </c>
      <c r="BY155" s="462">
        <f t="shared" si="42"/>
        <v>0</v>
      </c>
      <c r="BZ155" s="462">
        <f t="shared" si="43"/>
        <v>0</v>
      </c>
      <c r="CA155" s="462">
        <f t="shared" si="44"/>
        <v>0</v>
      </c>
      <c r="CB155" s="462">
        <f t="shared" si="45"/>
        <v>0</v>
      </c>
      <c r="CC155" s="462">
        <f>IF(AT155&lt;&gt;0,SSHICHG*Y155,0)</f>
        <v>0</v>
      </c>
      <c r="CD155" s="462">
        <f>IF(AND(AT155&lt;&gt;0,AN155&lt;&gt;"NE"),VLOOKUP(AN155,Retirement_Rates,5,FALSE)*Y155,0)</f>
        <v>0</v>
      </c>
      <c r="CE155" s="462">
        <f>IF(AND(AT155&lt;&gt;0,AJ155&lt;&gt;"PF"),LifeCHG*Y155,0)</f>
        <v>0</v>
      </c>
      <c r="CF155" s="462">
        <f>IF(AND(AT155&lt;&gt;0,AM155="Y"),UICHG*Y155,0)</f>
        <v>0</v>
      </c>
      <c r="CG155" s="462">
        <f>IF(AND(AT155&lt;&gt;0,N155&lt;&gt;"NR"),DHRCHG*Y155,0)</f>
        <v>0</v>
      </c>
      <c r="CH155" s="462">
        <f>IF(AT155&lt;&gt;0,WCCHG*Y155,0)</f>
        <v>0</v>
      </c>
      <c r="CI155" s="462">
        <f>IF(OR(AND(AT155&lt;&gt;0,AJ155&lt;&gt;"PF",AN155&lt;&gt;"NE",AG155&lt;&gt;"A"),AND(AL155="E",OR(AT155=1,AT155=3))),SickCHG*Y155,0)</f>
        <v>0</v>
      </c>
      <c r="CJ155" s="462">
        <f t="shared" si="46"/>
        <v>0</v>
      </c>
      <c r="CK155" s="462" t="str">
        <f t="shared" si="47"/>
        <v/>
      </c>
      <c r="CL155" s="462" t="str">
        <f t="shared" si="48"/>
        <v/>
      </c>
      <c r="CM155" s="462" t="str">
        <f t="shared" si="49"/>
        <v/>
      </c>
      <c r="CN155" s="462" t="str">
        <f t="shared" si="50"/>
        <v>0243-00</v>
      </c>
    </row>
    <row r="156" spans="1:92" ht="15" thickBot="1" x14ac:dyDescent="0.35">
      <c r="A156" s="376" t="s">
        <v>161</v>
      </c>
      <c r="B156" s="376" t="s">
        <v>162</v>
      </c>
      <c r="C156" s="376" t="s">
        <v>639</v>
      </c>
      <c r="D156" s="376" t="s">
        <v>221</v>
      </c>
      <c r="E156" s="376" t="s">
        <v>273</v>
      </c>
      <c r="F156" s="377" t="s">
        <v>166</v>
      </c>
      <c r="G156" s="376" t="s">
        <v>432</v>
      </c>
      <c r="H156" s="378"/>
      <c r="I156" s="378"/>
      <c r="J156" s="376" t="s">
        <v>168</v>
      </c>
      <c r="K156" s="376" t="s">
        <v>222</v>
      </c>
      <c r="L156" s="376" t="s">
        <v>166</v>
      </c>
      <c r="M156" s="376" t="s">
        <v>225</v>
      </c>
      <c r="N156" s="376" t="s">
        <v>223</v>
      </c>
      <c r="O156" s="379">
        <v>0</v>
      </c>
      <c r="P156" s="460">
        <v>1</v>
      </c>
      <c r="Q156" s="460">
        <v>0</v>
      </c>
      <c r="R156" s="380">
        <v>0</v>
      </c>
      <c r="S156" s="460">
        <v>0</v>
      </c>
      <c r="T156" s="380">
        <v>0</v>
      </c>
      <c r="U156" s="380">
        <v>0</v>
      </c>
      <c r="V156" s="380">
        <v>0</v>
      </c>
      <c r="W156" s="380">
        <v>0</v>
      </c>
      <c r="X156" s="380">
        <v>0</v>
      </c>
      <c r="Y156" s="380">
        <v>0</v>
      </c>
      <c r="Z156" s="380">
        <v>0</v>
      </c>
      <c r="AA156" s="378"/>
      <c r="AB156" s="376" t="s">
        <v>45</v>
      </c>
      <c r="AC156" s="376" t="s">
        <v>45</v>
      </c>
      <c r="AD156" s="378"/>
      <c r="AE156" s="378"/>
      <c r="AF156" s="378"/>
      <c r="AG156" s="378"/>
      <c r="AH156" s="379">
        <v>0</v>
      </c>
      <c r="AI156" s="379">
        <v>0</v>
      </c>
      <c r="AJ156" s="378"/>
      <c r="AK156" s="378"/>
      <c r="AL156" s="376" t="s">
        <v>181</v>
      </c>
      <c r="AM156" s="378"/>
      <c r="AN156" s="378"/>
      <c r="AO156" s="379">
        <v>0</v>
      </c>
      <c r="AP156" s="460">
        <v>0</v>
      </c>
      <c r="AQ156" s="460">
        <v>0</v>
      </c>
      <c r="AR156" s="459"/>
      <c r="AS156" s="462">
        <f t="shared" si="34"/>
        <v>0</v>
      </c>
      <c r="AT156">
        <f t="shared" si="35"/>
        <v>0</v>
      </c>
      <c r="AU156" s="462" t="str">
        <f>IF(AT156=0,"",IF(AND(AT156=1,M156="F",SUMIF(C2:C391,C156,AS2:AS391)&lt;=1),SUMIF(C2:C391,C156,AS2:AS391),IF(AND(AT156=1,M156="F",SUMIF(C2:C391,C156,AS2:AS391)&gt;1),1,"")))</f>
        <v/>
      </c>
      <c r="AV156" s="462" t="str">
        <f>IF(AT156=0,"",IF(AND(AT156=3,M156="F",SUMIF(C2:C391,C156,AS2:AS391)&lt;=1),SUMIF(C2:C391,C156,AS2:AS391),IF(AND(AT156=3,M156="F",SUMIF(C2:C391,C156,AS2:AS391)&gt;1),1,"")))</f>
        <v/>
      </c>
      <c r="AW156" s="462">
        <f>SUMIF(C2:C391,C156,O2:O391)</f>
        <v>0</v>
      </c>
      <c r="AX156" s="462">
        <f>IF(AND(M156="F",AS156&lt;&gt;0),SUMIF(C2:C391,C156,W2:W391),0)</f>
        <v>0</v>
      </c>
      <c r="AY156" s="462" t="str">
        <f t="shared" si="36"/>
        <v/>
      </c>
      <c r="AZ156" s="462" t="str">
        <f t="shared" si="37"/>
        <v/>
      </c>
      <c r="BA156" s="462">
        <f t="shared" si="38"/>
        <v>0</v>
      </c>
      <c r="BB156" s="462">
        <f>IF(AND(AT156=1,AK156="E",AU156&gt;=0.75,AW156=1),Health,IF(AND(AT156=1,AK156="E",AU156&gt;=0.75),Health*P156,IF(AND(AT156=1,AK156="E",AU156&gt;=0.5,AW156=1),PTHealth,IF(AND(AT156=1,AK156="E",AU156&gt;=0.5),PTHealth*P156,0))))</f>
        <v>0</v>
      </c>
      <c r="BC156" s="462">
        <f>IF(AND(AT156=3,AK156="E",AV156&gt;=0.75,AW156=1),Health,IF(AND(AT156=3,AK156="E",AV156&gt;=0.75),Health*P156,IF(AND(AT156=3,AK156="E",AV156&gt;=0.5,AW156=1),PTHealth,IF(AND(AT156=3,AK156="E",AV156&gt;=0.5),PTHealth*P156,0))))</f>
        <v>0</v>
      </c>
      <c r="BD156" s="462">
        <f>IF(AND(AT156&lt;&gt;0,AX156&gt;=MAXSSDI),SSDI*MAXSSDI*P156,IF(AT156&lt;&gt;0,SSDI*W156,0))</f>
        <v>0</v>
      </c>
      <c r="BE156" s="462">
        <f>IF(AT156&lt;&gt;0,SSHI*W156,0)</f>
        <v>0</v>
      </c>
      <c r="BF156" s="462">
        <f>IF(AND(AT156&lt;&gt;0,AN156&lt;&gt;"NE"),VLOOKUP(AN156,Retirement_Rates,3,FALSE)*W156,0)</f>
        <v>0</v>
      </c>
      <c r="BG156" s="462">
        <f>IF(AND(AT156&lt;&gt;0,AJ156&lt;&gt;"PF"),Life*W156,0)</f>
        <v>0</v>
      </c>
      <c r="BH156" s="462">
        <f>IF(AND(AT156&lt;&gt;0,AM156="Y"),UI*W156,0)</f>
        <v>0</v>
      </c>
      <c r="BI156" s="462">
        <f>IF(AND(AT156&lt;&gt;0,N156&lt;&gt;"NR"),DHR*W156,0)</f>
        <v>0</v>
      </c>
      <c r="BJ156" s="462">
        <f>IF(AT156&lt;&gt;0,WC*W156,0)</f>
        <v>0</v>
      </c>
      <c r="BK156" s="462">
        <f>IF(OR(AND(AT156&lt;&gt;0,AJ156&lt;&gt;"PF",AN156&lt;&gt;"NE",AG156&lt;&gt;"A"),AND(AL156="E",OR(AT156=1,AT156=3))),Sick*W156,0)</f>
        <v>0</v>
      </c>
      <c r="BL156" s="462">
        <f t="shared" si="39"/>
        <v>0</v>
      </c>
      <c r="BM156" s="462">
        <f t="shared" si="40"/>
        <v>0</v>
      </c>
      <c r="BN156" s="462">
        <f>IF(AND(AT156=1,AK156="E",AU156&gt;=0.75,AW156=1),HealthBY,IF(AND(AT156=1,AK156="E",AU156&gt;=0.75),HealthBY*P156,IF(AND(AT156=1,AK156="E",AU156&gt;=0.5,AW156=1),PTHealthBY,IF(AND(AT156=1,AK156="E",AU156&gt;=0.5),PTHealthBY*P156,0))))</f>
        <v>0</v>
      </c>
      <c r="BO156" s="462">
        <f>IF(AND(AT156=3,AK156="E",AV156&gt;=0.75,AW156=1),HealthBY,IF(AND(AT156=3,AK156="E",AV156&gt;=0.75),HealthBY*P156,IF(AND(AT156=3,AK156="E",AV156&gt;=0.5,AW156=1),PTHealthBY,IF(AND(AT156=3,AK156="E",AV156&gt;=0.5),PTHealthBY*P156,0))))</f>
        <v>0</v>
      </c>
      <c r="BP156" s="462">
        <f>IF(AND(AT156&lt;&gt;0,(AX156+BA156)&gt;=MAXSSDIBY),SSDIBY*MAXSSDIBY*P156,IF(AT156&lt;&gt;0,SSDIBY*W156,0))</f>
        <v>0</v>
      </c>
      <c r="BQ156" s="462">
        <f>IF(AT156&lt;&gt;0,SSHIBY*W156,0)</f>
        <v>0</v>
      </c>
      <c r="BR156" s="462">
        <f>IF(AND(AT156&lt;&gt;0,AN156&lt;&gt;"NE"),VLOOKUP(AN156,Retirement_Rates,4,FALSE)*W156,0)</f>
        <v>0</v>
      </c>
      <c r="BS156" s="462">
        <f>IF(AND(AT156&lt;&gt;0,AJ156&lt;&gt;"PF"),LifeBY*W156,0)</f>
        <v>0</v>
      </c>
      <c r="BT156" s="462">
        <f>IF(AND(AT156&lt;&gt;0,AM156="Y"),UIBY*W156,0)</f>
        <v>0</v>
      </c>
      <c r="BU156" s="462">
        <f>IF(AND(AT156&lt;&gt;0,N156&lt;&gt;"NR"),DHRBY*W156,0)</f>
        <v>0</v>
      </c>
      <c r="BV156" s="462">
        <f>IF(AT156&lt;&gt;0,WCBY*W156,0)</f>
        <v>0</v>
      </c>
      <c r="BW156" s="462">
        <f>IF(OR(AND(AT156&lt;&gt;0,AJ156&lt;&gt;"PF",AN156&lt;&gt;"NE",AG156&lt;&gt;"A"),AND(AL156="E",OR(AT156=1,AT156=3))),SickBY*W156,0)</f>
        <v>0</v>
      </c>
      <c r="BX156" s="462">
        <f t="shared" si="41"/>
        <v>0</v>
      </c>
      <c r="BY156" s="462">
        <f t="shared" si="42"/>
        <v>0</v>
      </c>
      <c r="BZ156" s="462">
        <f t="shared" si="43"/>
        <v>0</v>
      </c>
      <c r="CA156" s="462">
        <f t="shared" si="44"/>
        <v>0</v>
      </c>
      <c r="CB156" s="462">
        <f t="shared" si="45"/>
        <v>0</v>
      </c>
      <c r="CC156" s="462">
        <f>IF(AT156&lt;&gt;0,SSHICHG*Y156,0)</f>
        <v>0</v>
      </c>
      <c r="CD156" s="462">
        <f>IF(AND(AT156&lt;&gt;0,AN156&lt;&gt;"NE"),VLOOKUP(AN156,Retirement_Rates,5,FALSE)*Y156,0)</f>
        <v>0</v>
      </c>
      <c r="CE156" s="462">
        <f>IF(AND(AT156&lt;&gt;0,AJ156&lt;&gt;"PF"),LifeCHG*Y156,0)</f>
        <v>0</v>
      </c>
      <c r="CF156" s="462">
        <f>IF(AND(AT156&lt;&gt;0,AM156="Y"),UICHG*Y156,0)</f>
        <v>0</v>
      </c>
      <c r="CG156" s="462">
        <f>IF(AND(AT156&lt;&gt;0,N156&lt;&gt;"NR"),DHRCHG*Y156,0)</f>
        <v>0</v>
      </c>
      <c r="CH156" s="462">
        <f>IF(AT156&lt;&gt;0,WCCHG*Y156,0)</f>
        <v>0</v>
      </c>
      <c r="CI156" s="462">
        <f>IF(OR(AND(AT156&lt;&gt;0,AJ156&lt;&gt;"PF",AN156&lt;&gt;"NE",AG156&lt;&gt;"A"),AND(AL156="E",OR(AT156=1,AT156=3))),SickCHG*Y156,0)</f>
        <v>0</v>
      </c>
      <c r="CJ156" s="462">
        <f t="shared" si="46"/>
        <v>0</v>
      </c>
      <c r="CK156" s="462" t="str">
        <f t="shared" si="47"/>
        <v/>
      </c>
      <c r="CL156" s="462">
        <f t="shared" si="48"/>
        <v>0</v>
      </c>
      <c r="CM156" s="462">
        <f t="shared" si="49"/>
        <v>0</v>
      </c>
      <c r="CN156" s="462" t="str">
        <f t="shared" si="50"/>
        <v>0243-00</v>
      </c>
    </row>
    <row r="157" spans="1:92" ht="15" thickBot="1" x14ac:dyDescent="0.35">
      <c r="A157" s="376" t="s">
        <v>161</v>
      </c>
      <c r="B157" s="376" t="s">
        <v>162</v>
      </c>
      <c r="C157" s="376" t="s">
        <v>640</v>
      </c>
      <c r="D157" s="376" t="s">
        <v>438</v>
      </c>
      <c r="E157" s="376" t="s">
        <v>273</v>
      </c>
      <c r="F157" s="377" t="s">
        <v>166</v>
      </c>
      <c r="G157" s="376" t="s">
        <v>432</v>
      </c>
      <c r="H157" s="378"/>
      <c r="I157" s="378"/>
      <c r="J157" s="376" t="s">
        <v>168</v>
      </c>
      <c r="K157" s="376" t="s">
        <v>439</v>
      </c>
      <c r="L157" s="376" t="s">
        <v>231</v>
      </c>
      <c r="M157" s="376" t="s">
        <v>171</v>
      </c>
      <c r="N157" s="376" t="s">
        <v>172</v>
      </c>
      <c r="O157" s="379">
        <v>1</v>
      </c>
      <c r="P157" s="460">
        <v>0</v>
      </c>
      <c r="Q157" s="460">
        <v>0</v>
      </c>
      <c r="R157" s="380">
        <v>80</v>
      </c>
      <c r="S157" s="460">
        <v>0</v>
      </c>
      <c r="T157" s="380">
        <v>0</v>
      </c>
      <c r="U157" s="380">
        <v>0</v>
      </c>
      <c r="V157" s="380">
        <v>9.33</v>
      </c>
      <c r="W157" s="380">
        <v>0</v>
      </c>
      <c r="X157" s="380">
        <v>0</v>
      </c>
      <c r="Y157" s="380">
        <v>0</v>
      </c>
      <c r="Z157" s="380">
        <v>0</v>
      </c>
      <c r="AA157" s="376" t="s">
        <v>641</v>
      </c>
      <c r="AB157" s="376" t="s">
        <v>642</v>
      </c>
      <c r="AC157" s="376" t="s">
        <v>643</v>
      </c>
      <c r="AD157" s="376" t="s">
        <v>170</v>
      </c>
      <c r="AE157" s="376" t="s">
        <v>439</v>
      </c>
      <c r="AF157" s="376" t="s">
        <v>236</v>
      </c>
      <c r="AG157" s="376" t="s">
        <v>178</v>
      </c>
      <c r="AH157" s="381">
        <v>19.66</v>
      </c>
      <c r="AI157" s="381">
        <v>3230.9</v>
      </c>
      <c r="AJ157" s="376" t="s">
        <v>179</v>
      </c>
      <c r="AK157" s="376" t="s">
        <v>180</v>
      </c>
      <c r="AL157" s="376" t="s">
        <v>181</v>
      </c>
      <c r="AM157" s="376" t="s">
        <v>182</v>
      </c>
      <c r="AN157" s="376" t="s">
        <v>68</v>
      </c>
      <c r="AO157" s="379">
        <v>80</v>
      </c>
      <c r="AP157" s="460">
        <v>1</v>
      </c>
      <c r="AQ157" s="460">
        <v>0</v>
      </c>
      <c r="AR157" s="458" t="s">
        <v>183</v>
      </c>
      <c r="AS157" s="462">
        <f t="shared" si="34"/>
        <v>0</v>
      </c>
      <c r="AT157">
        <f t="shared" si="35"/>
        <v>0</v>
      </c>
      <c r="AU157" s="462" t="str">
        <f>IF(AT157=0,"",IF(AND(AT157=1,M157="F",SUMIF(C2:C391,C157,AS2:AS391)&lt;=1),SUMIF(C2:C391,C157,AS2:AS391),IF(AND(AT157=1,M157="F",SUMIF(C2:C391,C157,AS2:AS391)&gt;1),1,"")))</f>
        <v/>
      </c>
      <c r="AV157" s="462" t="str">
        <f>IF(AT157=0,"",IF(AND(AT157=3,M157="F",SUMIF(C2:C391,C157,AS2:AS391)&lt;=1),SUMIF(C2:C391,C157,AS2:AS391),IF(AND(AT157=3,M157="F",SUMIF(C2:C391,C157,AS2:AS391)&gt;1),1,"")))</f>
        <v/>
      </c>
      <c r="AW157" s="462">
        <f>SUMIF(C2:C391,C157,O2:O391)</f>
        <v>2</v>
      </c>
      <c r="AX157" s="462">
        <f>IF(AND(M157="F",AS157&lt;&gt;0),SUMIF(C2:C391,C157,W2:W391),0)</f>
        <v>0</v>
      </c>
      <c r="AY157" s="462" t="str">
        <f t="shared" si="36"/>
        <v/>
      </c>
      <c r="AZ157" s="462" t="str">
        <f t="shared" si="37"/>
        <v/>
      </c>
      <c r="BA157" s="462">
        <f t="shared" si="38"/>
        <v>0</v>
      </c>
      <c r="BB157" s="462">
        <f>IF(AND(AT157=1,AK157="E",AU157&gt;=0.75,AW157=1),Health,IF(AND(AT157=1,AK157="E",AU157&gt;=0.75),Health*P157,IF(AND(AT157=1,AK157="E",AU157&gt;=0.5,AW157=1),PTHealth,IF(AND(AT157=1,AK157="E",AU157&gt;=0.5),PTHealth*P157,0))))</f>
        <v>0</v>
      </c>
      <c r="BC157" s="462">
        <f>IF(AND(AT157=3,AK157="E",AV157&gt;=0.75,AW157=1),Health,IF(AND(AT157=3,AK157="E",AV157&gt;=0.75),Health*P157,IF(AND(AT157=3,AK157="E",AV157&gt;=0.5,AW157=1),PTHealth,IF(AND(AT157=3,AK157="E",AV157&gt;=0.5),PTHealth*P157,0))))</f>
        <v>0</v>
      </c>
      <c r="BD157" s="462">
        <f>IF(AND(AT157&lt;&gt;0,AX157&gt;=MAXSSDI),SSDI*MAXSSDI*P157,IF(AT157&lt;&gt;0,SSDI*W157,0))</f>
        <v>0</v>
      </c>
      <c r="BE157" s="462">
        <f>IF(AT157&lt;&gt;0,SSHI*W157,0)</f>
        <v>0</v>
      </c>
      <c r="BF157" s="462">
        <f>IF(AND(AT157&lt;&gt;0,AN157&lt;&gt;"NE"),VLOOKUP(AN157,Retirement_Rates,3,FALSE)*W157,0)</f>
        <v>0</v>
      </c>
      <c r="BG157" s="462">
        <f>IF(AND(AT157&lt;&gt;0,AJ157&lt;&gt;"PF"),Life*W157,0)</f>
        <v>0</v>
      </c>
      <c r="BH157" s="462">
        <f>IF(AND(AT157&lt;&gt;0,AM157="Y"),UI*W157,0)</f>
        <v>0</v>
      </c>
      <c r="BI157" s="462">
        <f>IF(AND(AT157&lt;&gt;0,N157&lt;&gt;"NR"),DHR*W157,0)</f>
        <v>0</v>
      </c>
      <c r="BJ157" s="462">
        <f>IF(AT157&lt;&gt;0,WC*W157,0)</f>
        <v>0</v>
      </c>
      <c r="BK157" s="462">
        <f>IF(OR(AND(AT157&lt;&gt;0,AJ157&lt;&gt;"PF",AN157&lt;&gt;"NE",AG157&lt;&gt;"A"),AND(AL157="E",OR(AT157=1,AT157=3))),Sick*W157,0)</f>
        <v>0</v>
      </c>
      <c r="BL157" s="462">
        <f t="shared" si="39"/>
        <v>0</v>
      </c>
      <c r="BM157" s="462">
        <f t="shared" si="40"/>
        <v>0</v>
      </c>
      <c r="BN157" s="462">
        <f>IF(AND(AT157=1,AK157="E",AU157&gt;=0.75,AW157=1),HealthBY,IF(AND(AT157=1,AK157="E",AU157&gt;=0.75),HealthBY*P157,IF(AND(AT157=1,AK157="E",AU157&gt;=0.5,AW157=1),PTHealthBY,IF(AND(AT157=1,AK157="E",AU157&gt;=0.5),PTHealthBY*P157,0))))</f>
        <v>0</v>
      </c>
      <c r="BO157" s="462">
        <f>IF(AND(AT157=3,AK157="E",AV157&gt;=0.75,AW157=1),HealthBY,IF(AND(AT157=3,AK157="E",AV157&gt;=0.75),HealthBY*P157,IF(AND(AT157=3,AK157="E",AV157&gt;=0.5,AW157=1),PTHealthBY,IF(AND(AT157=3,AK157="E",AV157&gt;=0.5),PTHealthBY*P157,0))))</f>
        <v>0</v>
      </c>
      <c r="BP157" s="462">
        <f>IF(AND(AT157&lt;&gt;0,(AX157+BA157)&gt;=MAXSSDIBY),SSDIBY*MAXSSDIBY*P157,IF(AT157&lt;&gt;0,SSDIBY*W157,0))</f>
        <v>0</v>
      </c>
      <c r="BQ157" s="462">
        <f>IF(AT157&lt;&gt;0,SSHIBY*W157,0)</f>
        <v>0</v>
      </c>
      <c r="BR157" s="462">
        <f>IF(AND(AT157&lt;&gt;0,AN157&lt;&gt;"NE"),VLOOKUP(AN157,Retirement_Rates,4,FALSE)*W157,0)</f>
        <v>0</v>
      </c>
      <c r="BS157" s="462">
        <f>IF(AND(AT157&lt;&gt;0,AJ157&lt;&gt;"PF"),LifeBY*W157,0)</f>
        <v>0</v>
      </c>
      <c r="BT157" s="462">
        <f>IF(AND(AT157&lt;&gt;0,AM157="Y"),UIBY*W157,0)</f>
        <v>0</v>
      </c>
      <c r="BU157" s="462">
        <f>IF(AND(AT157&lt;&gt;0,N157&lt;&gt;"NR"),DHRBY*W157,0)</f>
        <v>0</v>
      </c>
      <c r="BV157" s="462">
        <f>IF(AT157&lt;&gt;0,WCBY*W157,0)</f>
        <v>0</v>
      </c>
      <c r="BW157" s="462">
        <f>IF(OR(AND(AT157&lt;&gt;0,AJ157&lt;&gt;"PF",AN157&lt;&gt;"NE",AG157&lt;&gt;"A"),AND(AL157="E",OR(AT157=1,AT157=3))),SickBY*W157,0)</f>
        <v>0</v>
      </c>
      <c r="BX157" s="462">
        <f t="shared" si="41"/>
        <v>0</v>
      </c>
      <c r="BY157" s="462">
        <f t="shared" si="42"/>
        <v>0</v>
      </c>
      <c r="BZ157" s="462">
        <f t="shared" si="43"/>
        <v>0</v>
      </c>
      <c r="CA157" s="462">
        <f t="shared" si="44"/>
        <v>0</v>
      </c>
      <c r="CB157" s="462">
        <f t="shared" si="45"/>
        <v>0</v>
      </c>
      <c r="CC157" s="462">
        <f>IF(AT157&lt;&gt;0,SSHICHG*Y157,0)</f>
        <v>0</v>
      </c>
      <c r="CD157" s="462">
        <f>IF(AND(AT157&lt;&gt;0,AN157&lt;&gt;"NE"),VLOOKUP(AN157,Retirement_Rates,5,FALSE)*Y157,0)</f>
        <v>0</v>
      </c>
      <c r="CE157" s="462">
        <f>IF(AND(AT157&lt;&gt;0,AJ157&lt;&gt;"PF"),LifeCHG*Y157,0)</f>
        <v>0</v>
      </c>
      <c r="CF157" s="462">
        <f>IF(AND(AT157&lt;&gt;0,AM157="Y"),UICHG*Y157,0)</f>
        <v>0</v>
      </c>
      <c r="CG157" s="462">
        <f>IF(AND(AT157&lt;&gt;0,N157&lt;&gt;"NR"),DHRCHG*Y157,0)</f>
        <v>0</v>
      </c>
      <c r="CH157" s="462">
        <f>IF(AT157&lt;&gt;0,WCCHG*Y157,0)</f>
        <v>0</v>
      </c>
      <c r="CI157" s="462">
        <f>IF(OR(AND(AT157&lt;&gt;0,AJ157&lt;&gt;"PF",AN157&lt;&gt;"NE",AG157&lt;&gt;"A"),AND(AL157="E",OR(AT157=1,AT157=3))),SickCHG*Y157,0)</f>
        <v>0</v>
      </c>
      <c r="CJ157" s="462">
        <f t="shared" si="46"/>
        <v>0</v>
      </c>
      <c r="CK157" s="462" t="str">
        <f t="shared" si="47"/>
        <v/>
      </c>
      <c r="CL157" s="462" t="str">
        <f t="shared" si="48"/>
        <v/>
      </c>
      <c r="CM157" s="462" t="str">
        <f t="shared" si="49"/>
        <v/>
      </c>
      <c r="CN157" s="462" t="str">
        <f t="shared" si="50"/>
        <v>0243-00</v>
      </c>
    </row>
    <row r="158" spans="1:92" ht="15" thickBot="1" x14ac:dyDescent="0.35">
      <c r="A158" s="376" t="s">
        <v>161</v>
      </c>
      <c r="B158" s="376" t="s">
        <v>162</v>
      </c>
      <c r="C158" s="376" t="s">
        <v>644</v>
      </c>
      <c r="D158" s="376" t="s">
        <v>438</v>
      </c>
      <c r="E158" s="376" t="s">
        <v>273</v>
      </c>
      <c r="F158" s="377" t="s">
        <v>166</v>
      </c>
      <c r="G158" s="376" t="s">
        <v>432</v>
      </c>
      <c r="H158" s="378"/>
      <c r="I158" s="378"/>
      <c r="J158" s="376" t="s">
        <v>168</v>
      </c>
      <c r="K158" s="376" t="s">
        <v>439</v>
      </c>
      <c r="L158" s="376" t="s">
        <v>231</v>
      </c>
      <c r="M158" s="376" t="s">
        <v>171</v>
      </c>
      <c r="N158" s="376" t="s">
        <v>172</v>
      </c>
      <c r="O158" s="379">
        <v>1</v>
      </c>
      <c r="P158" s="460">
        <v>1</v>
      </c>
      <c r="Q158" s="460">
        <v>1</v>
      </c>
      <c r="R158" s="380">
        <v>80</v>
      </c>
      <c r="S158" s="460">
        <v>1</v>
      </c>
      <c r="T158" s="380">
        <v>42388.2</v>
      </c>
      <c r="U158" s="380">
        <v>0</v>
      </c>
      <c r="V158" s="380">
        <v>21441.09</v>
      </c>
      <c r="W158" s="380">
        <v>42411.199999999997</v>
      </c>
      <c r="X158" s="380">
        <v>21742.560000000001</v>
      </c>
      <c r="Y158" s="380">
        <v>42411.199999999997</v>
      </c>
      <c r="Z158" s="380">
        <v>21865.55</v>
      </c>
      <c r="AA158" s="376" t="s">
        <v>645</v>
      </c>
      <c r="AB158" s="376" t="s">
        <v>646</v>
      </c>
      <c r="AC158" s="376" t="s">
        <v>647</v>
      </c>
      <c r="AD158" s="376" t="s">
        <v>359</v>
      </c>
      <c r="AE158" s="376" t="s">
        <v>439</v>
      </c>
      <c r="AF158" s="376" t="s">
        <v>236</v>
      </c>
      <c r="AG158" s="376" t="s">
        <v>178</v>
      </c>
      <c r="AH158" s="381">
        <v>20.39</v>
      </c>
      <c r="AI158" s="381">
        <v>29572.1</v>
      </c>
      <c r="AJ158" s="376" t="s">
        <v>179</v>
      </c>
      <c r="AK158" s="376" t="s">
        <v>180</v>
      </c>
      <c r="AL158" s="376" t="s">
        <v>181</v>
      </c>
      <c r="AM158" s="376" t="s">
        <v>182</v>
      </c>
      <c r="AN158" s="376" t="s">
        <v>68</v>
      </c>
      <c r="AO158" s="379">
        <v>80</v>
      </c>
      <c r="AP158" s="460">
        <v>1</v>
      </c>
      <c r="AQ158" s="460">
        <v>1</v>
      </c>
      <c r="AR158" s="458" t="s">
        <v>183</v>
      </c>
      <c r="AS158" s="462">
        <f t="shared" si="34"/>
        <v>1</v>
      </c>
      <c r="AT158">
        <f t="shared" si="35"/>
        <v>1</v>
      </c>
      <c r="AU158" s="462">
        <f>IF(AT158=0,"",IF(AND(AT158=1,M158="F",SUMIF(C2:C391,C158,AS2:AS391)&lt;=1),SUMIF(C2:C391,C158,AS2:AS391),IF(AND(AT158=1,M158="F",SUMIF(C2:C391,C158,AS2:AS391)&gt;1),1,"")))</f>
        <v>1</v>
      </c>
      <c r="AV158" s="462" t="str">
        <f>IF(AT158=0,"",IF(AND(AT158=3,M158="F",SUMIF(C2:C391,C158,AS2:AS391)&lt;=1),SUMIF(C2:C391,C158,AS2:AS391),IF(AND(AT158=3,M158="F",SUMIF(C2:C391,C158,AS2:AS391)&gt;1),1,"")))</f>
        <v/>
      </c>
      <c r="AW158" s="462">
        <f>SUMIF(C2:C391,C158,O2:O391)</f>
        <v>1</v>
      </c>
      <c r="AX158" s="462">
        <f>IF(AND(M158="F",AS158&lt;&gt;0),SUMIF(C2:C391,C158,W2:W391),0)</f>
        <v>42411.199999999997</v>
      </c>
      <c r="AY158" s="462">
        <f t="shared" si="36"/>
        <v>42411.199999999997</v>
      </c>
      <c r="AZ158" s="462" t="str">
        <f t="shared" si="37"/>
        <v/>
      </c>
      <c r="BA158" s="462">
        <f t="shared" si="38"/>
        <v>0</v>
      </c>
      <c r="BB158" s="462">
        <f>IF(AND(AT158=1,AK158="E",AU158&gt;=0.75,AW158=1),Health,IF(AND(AT158=1,AK158="E",AU158&gt;=0.75),Health*P158,IF(AND(AT158=1,AK158="E",AU158&gt;=0.5,AW158=1),PTHealth,IF(AND(AT158=1,AK158="E",AU158&gt;=0.5),PTHealth*P158,0))))</f>
        <v>11650</v>
      </c>
      <c r="BC158" s="462">
        <f>IF(AND(AT158=3,AK158="E",AV158&gt;=0.75,AW158=1),Health,IF(AND(AT158=3,AK158="E",AV158&gt;=0.75),Health*P158,IF(AND(AT158=3,AK158="E",AV158&gt;=0.5,AW158=1),PTHealth,IF(AND(AT158=3,AK158="E",AV158&gt;=0.5),PTHealth*P158,0))))</f>
        <v>0</v>
      </c>
      <c r="BD158" s="462">
        <f>IF(AND(AT158&lt;&gt;0,AX158&gt;=MAXSSDI),SSDI*MAXSSDI*P158,IF(AT158&lt;&gt;0,SSDI*W158,0))</f>
        <v>2629.4943999999996</v>
      </c>
      <c r="BE158" s="462">
        <f>IF(AT158&lt;&gt;0,SSHI*W158,0)</f>
        <v>614.9624</v>
      </c>
      <c r="BF158" s="462">
        <f>IF(AND(AT158&lt;&gt;0,AN158&lt;&gt;"NE"),VLOOKUP(AN158,Retirement_Rates,3,FALSE)*W158,0)</f>
        <v>5063.8972800000001</v>
      </c>
      <c r="BG158" s="462">
        <f>IF(AND(AT158&lt;&gt;0,AJ158&lt;&gt;"PF"),Life*W158,0)</f>
        <v>305.78475199999997</v>
      </c>
      <c r="BH158" s="462">
        <f>IF(AND(AT158&lt;&gt;0,AM158="Y"),UI*W158,0)</f>
        <v>207.81487999999999</v>
      </c>
      <c r="BI158" s="462">
        <f>IF(AND(AT158&lt;&gt;0,N158&lt;&gt;"NR"),DHR*W158,0)</f>
        <v>129.77827199999999</v>
      </c>
      <c r="BJ158" s="462">
        <f>IF(AT158&lt;&gt;0,WC*W158,0)</f>
        <v>1140.8612799999999</v>
      </c>
      <c r="BK158" s="462">
        <f>IF(OR(AND(AT158&lt;&gt;0,AJ158&lt;&gt;"PF",AN158&lt;&gt;"NE",AG158&lt;&gt;"A"),AND(AL158="E",OR(AT158=1,AT158=3))),Sick*W158,0)</f>
        <v>0</v>
      </c>
      <c r="BL158" s="462">
        <f t="shared" si="39"/>
        <v>10092.593263999997</v>
      </c>
      <c r="BM158" s="462">
        <f t="shared" si="40"/>
        <v>0</v>
      </c>
      <c r="BN158" s="462">
        <f>IF(AND(AT158=1,AK158="E",AU158&gt;=0.75,AW158=1),HealthBY,IF(AND(AT158=1,AK158="E",AU158&gt;=0.75),HealthBY*P158,IF(AND(AT158=1,AK158="E",AU158&gt;=0.5,AW158=1),PTHealthBY,IF(AND(AT158=1,AK158="E",AU158&gt;=0.5),PTHealthBY*P158,0))))</f>
        <v>11650</v>
      </c>
      <c r="BO158" s="462">
        <f>IF(AND(AT158=3,AK158="E",AV158&gt;=0.75,AW158=1),HealthBY,IF(AND(AT158=3,AK158="E",AV158&gt;=0.75),HealthBY*P158,IF(AND(AT158=3,AK158="E",AV158&gt;=0.5,AW158=1),PTHealthBY,IF(AND(AT158=3,AK158="E",AV158&gt;=0.5),PTHealthBY*P158,0))))</f>
        <v>0</v>
      </c>
      <c r="BP158" s="462">
        <f>IF(AND(AT158&lt;&gt;0,(AX158+BA158)&gt;=MAXSSDIBY),SSDIBY*MAXSSDIBY*P158,IF(AT158&lt;&gt;0,SSDIBY*W158,0))</f>
        <v>2629.4943999999996</v>
      </c>
      <c r="BQ158" s="462">
        <f>IF(AT158&lt;&gt;0,SSHIBY*W158,0)</f>
        <v>614.9624</v>
      </c>
      <c r="BR158" s="462">
        <f>IF(AND(AT158&lt;&gt;0,AN158&lt;&gt;"NE"),VLOOKUP(AN158,Retirement_Rates,4,FALSE)*W158,0)</f>
        <v>5063.8972800000001</v>
      </c>
      <c r="BS158" s="462">
        <f>IF(AND(AT158&lt;&gt;0,AJ158&lt;&gt;"PF"),LifeBY*W158,0)</f>
        <v>305.78475199999997</v>
      </c>
      <c r="BT158" s="462">
        <f>IF(AND(AT158&lt;&gt;0,AM158="Y"),UIBY*W158,0)</f>
        <v>0</v>
      </c>
      <c r="BU158" s="462">
        <f>IF(AND(AT158&lt;&gt;0,N158&lt;&gt;"NR"),DHRBY*W158,0)</f>
        <v>129.77827199999999</v>
      </c>
      <c r="BV158" s="462">
        <f>IF(AT158&lt;&gt;0,WCBY*W158,0)</f>
        <v>1471.6686399999999</v>
      </c>
      <c r="BW158" s="462">
        <f>IF(OR(AND(AT158&lt;&gt;0,AJ158&lt;&gt;"PF",AN158&lt;&gt;"NE",AG158&lt;&gt;"A"),AND(AL158="E",OR(AT158=1,AT158=3))),SickBY*W158,0)</f>
        <v>0</v>
      </c>
      <c r="BX158" s="462">
        <f t="shared" si="41"/>
        <v>10215.585743999998</v>
      </c>
      <c r="BY158" s="462">
        <f t="shared" si="42"/>
        <v>0</v>
      </c>
      <c r="BZ158" s="462">
        <f t="shared" si="43"/>
        <v>0</v>
      </c>
      <c r="CA158" s="462">
        <f t="shared" si="44"/>
        <v>0</v>
      </c>
      <c r="CB158" s="462">
        <f t="shared" si="45"/>
        <v>0</v>
      </c>
      <c r="CC158" s="462">
        <f>IF(AT158&lt;&gt;0,SSHICHG*Y158,0)</f>
        <v>0</v>
      </c>
      <c r="CD158" s="462">
        <f>IF(AND(AT158&lt;&gt;0,AN158&lt;&gt;"NE"),VLOOKUP(AN158,Retirement_Rates,5,FALSE)*Y158,0)</f>
        <v>0</v>
      </c>
      <c r="CE158" s="462">
        <f>IF(AND(AT158&lt;&gt;0,AJ158&lt;&gt;"PF"),LifeCHG*Y158,0)</f>
        <v>0</v>
      </c>
      <c r="CF158" s="462">
        <f>IF(AND(AT158&lt;&gt;0,AM158="Y"),UICHG*Y158,0)</f>
        <v>-207.81487999999999</v>
      </c>
      <c r="CG158" s="462">
        <f>IF(AND(AT158&lt;&gt;0,N158&lt;&gt;"NR"),DHRCHG*Y158,0)</f>
        <v>0</v>
      </c>
      <c r="CH158" s="462">
        <f>IF(AT158&lt;&gt;0,WCCHG*Y158,0)</f>
        <v>330.80736000000002</v>
      </c>
      <c r="CI158" s="462">
        <f>IF(OR(AND(AT158&lt;&gt;0,AJ158&lt;&gt;"PF",AN158&lt;&gt;"NE",AG158&lt;&gt;"A"),AND(AL158="E",OR(AT158=1,AT158=3))),SickCHG*Y158,0)</f>
        <v>0</v>
      </c>
      <c r="CJ158" s="462">
        <f t="shared" si="46"/>
        <v>122.99248000000003</v>
      </c>
      <c r="CK158" s="462" t="str">
        <f t="shared" si="47"/>
        <v/>
      </c>
      <c r="CL158" s="462" t="str">
        <f t="shared" si="48"/>
        <v/>
      </c>
      <c r="CM158" s="462" t="str">
        <f t="shared" si="49"/>
        <v/>
      </c>
      <c r="CN158" s="462" t="str">
        <f t="shared" si="50"/>
        <v>0243-00</v>
      </c>
    </row>
    <row r="159" spans="1:92" ht="15" thickBot="1" x14ac:dyDescent="0.35">
      <c r="A159" s="376" t="s">
        <v>161</v>
      </c>
      <c r="B159" s="376" t="s">
        <v>162</v>
      </c>
      <c r="C159" s="376" t="s">
        <v>648</v>
      </c>
      <c r="D159" s="376" t="s">
        <v>649</v>
      </c>
      <c r="E159" s="376" t="s">
        <v>273</v>
      </c>
      <c r="F159" s="377" t="s">
        <v>166</v>
      </c>
      <c r="G159" s="376" t="s">
        <v>432</v>
      </c>
      <c r="H159" s="378"/>
      <c r="I159" s="378"/>
      <c r="J159" s="376" t="s">
        <v>168</v>
      </c>
      <c r="K159" s="376" t="s">
        <v>650</v>
      </c>
      <c r="L159" s="376" t="s">
        <v>395</v>
      </c>
      <c r="M159" s="376" t="s">
        <v>171</v>
      </c>
      <c r="N159" s="376" t="s">
        <v>172</v>
      </c>
      <c r="O159" s="379">
        <v>1</v>
      </c>
      <c r="P159" s="460">
        <v>1</v>
      </c>
      <c r="Q159" s="460">
        <v>1</v>
      </c>
      <c r="R159" s="380">
        <v>80</v>
      </c>
      <c r="S159" s="460">
        <v>1</v>
      </c>
      <c r="T159" s="380">
        <v>36198.410000000003</v>
      </c>
      <c r="U159" s="380">
        <v>0</v>
      </c>
      <c r="V159" s="380">
        <v>20108.919999999998</v>
      </c>
      <c r="W159" s="380">
        <v>37086.400000000001</v>
      </c>
      <c r="X159" s="380">
        <v>20475.419999999998</v>
      </c>
      <c r="Y159" s="380">
        <v>37086.400000000001</v>
      </c>
      <c r="Z159" s="380">
        <v>20582.97</v>
      </c>
      <c r="AA159" s="376" t="s">
        <v>651</v>
      </c>
      <c r="AB159" s="376" t="s">
        <v>652</v>
      </c>
      <c r="AC159" s="376" t="s">
        <v>653</v>
      </c>
      <c r="AD159" s="376" t="s">
        <v>170</v>
      </c>
      <c r="AE159" s="376" t="s">
        <v>650</v>
      </c>
      <c r="AF159" s="376" t="s">
        <v>399</v>
      </c>
      <c r="AG159" s="376" t="s">
        <v>178</v>
      </c>
      <c r="AH159" s="381">
        <v>17.829999999999998</v>
      </c>
      <c r="AI159" s="381">
        <v>6519.1</v>
      </c>
      <c r="AJ159" s="376" t="s">
        <v>179</v>
      </c>
      <c r="AK159" s="376" t="s">
        <v>180</v>
      </c>
      <c r="AL159" s="376" t="s">
        <v>181</v>
      </c>
      <c r="AM159" s="376" t="s">
        <v>182</v>
      </c>
      <c r="AN159" s="376" t="s">
        <v>68</v>
      </c>
      <c r="AO159" s="379">
        <v>80</v>
      </c>
      <c r="AP159" s="460">
        <v>1</v>
      </c>
      <c r="AQ159" s="460">
        <v>1</v>
      </c>
      <c r="AR159" s="458" t="s">
        <v>183</v>
      </c>
      <c r="AS159" s="462">
        <f t="shared" si="34"/>
        <v>1</v>
      </c>
      <c r="AT159">
        <f t="shared" si="35"/>
        <v>1</v>
      </c>
      <c r="AU159" s="462">
        <f>IF(AT159=0,"",IF(AND(AT159=1,M159="F",SUMIF(C2:C391,C159,AS2:AS391)&lt;=1),SUMIF(C2:C391,C159,AS2:AS391),IF(AND(AT159=1,M159="F",SUMIF(C2:C391,C159,AS2:AS391)&gt;1),1,"")))</f>
        <v>1</v>
      </c>
      <c r="AV159" s="462" t="str">
        <f>IF(AT159=0,"",IF(AND(AT159=3,M159="F",SUMIF(C2:C391,C159,AS2:AS391)&lt;=1),SUMIF(C2:C391,C159,AS2:AS391),IF(AND(AT159=3,M159="F",SUMIF(C2:C391,C159,AS2:AS391)&gt;1),1,"")))</f>
        <v/>
      </c>
      <c r="AW159" s="462">
        <f>SUMIF(C2:C391,C159,O2:O391)</f>
        <v>1</v>
      </c>
      <c r="AX159" s="462">
        <f>IF(AND(M159="F",AS159&lt;&gt;0),SUMIF(C2:C391,C159,W2:W391),0)</f>
        <v>37086.400000000001</v>
      </c>
      <c r="AY159" s="462">
        <f t="shared" si="36"/>
        <v>37086.400000000001</v>
      </c>
      <c r="AZ159" s="462" t="str">
        <f t="shared" si="37"/>
        <v/>
      </c>
      <c r="BA159" s="462">
        <f t="shared" si="38"/>
        <v>0</v>
      </c>
      <c r="BB159" s="462">
        <f>IF(AND(AT159=1,AK159="E",AU159&gt;=0.75,AW159=1),Health,IF(AND(AT159=1,AK159="E",AU159&gt;=0.75),Health*P159,IF(AND(AT159=1,AK159="E",AU159&gt;=0.5,AW159=1),PTHealth,IF(AND(AT159=1,AK159="E",AU159&gt;=0.5),PTHealth*P159,0))))</f>
        <v>11650</v>
      </c>
      <c r="BC159" s="462">
        <f>IF(AND(AT159=3,AK159="E",AV159&gt;=0.75,AW159=1),Health,IF(AND(AT159=3,AK159="E",AV159&gt;=0.75),Health*P159,IF(AND(AT159=3,AK159="E",AV159&gt;=0.5,AW159=1),PTHealth,IF(AND(AT159=3,AK159="E",AV159&gt;=0.5),PTHealth*P159,0))))</f>
        <v>0</v>
      </c>
      <c r="BD159" s="462">
        <f>IF(AND(AT159&lt;&gt;0,AX159&gt;=MAXSSDI),SSDI*MAXSSDI*P159,IF(AT159&lt;&gt;0,SSDI*W159,0))</f>
        <v>2299.3568</v>
      </c>
      <c r="BE159" s="462">
        <f>IF(AT159&lt;&gt;0,SSHI*W159,0)</f>
        <v>537.75280000000009</v>
      </c>
      <c r="BF159" s="462">
        <f>IF(AND(AT159&lt;&gt;0,AN159&lt;&gt;"NE"),VLOOKUP(AN159,Retirement_Rates,3,FALSE)*W159,0)</f>
        <v>4428.1161600000005</v>
      </c>
      <c r="BG159" s="462">
        <f>IF(AND(AT159&lt;&gt;0,AJ159&lt;&gt;"PF"),Life*W159,0)</f>
        <v>267.392944</v>
      </c>
      <c r="BH159" s="462">
        <f>IF(AND(AT159&lt;&gt;0,AM159="Y"),UI*W159,0)</f>
        <v>181.72336000000001</v>
      </c>
      <c r="BI159" s="462">
        <f>IF(AND(AT159&lt;&gt;0,N159&lt;&gt;"NR"),DHR*W159,0)</f>
        <v>113.48438399999999</v>
      </c>
      <c r="BJ159" s="462">
        <f>IF(AT159&lt;&gt;0,WC*W159,0)</f>
        <v>997.62416000000007</v>
      </c>
      <c r="BK159" s="462">
        <f>IF(OR(AND(AT159&lt;&gt;0,AJ159&lt;&gt;"PF",AN159&lt;&gt;"NE",AG159&lt;&gt;"A"),AND(AL159="E",OR(AT159=1,AT159=3))),Sick*W159,0)</f>
        <v>0</v>
      </c>
      <c r="BL159" s="462">
        <f t="shared" si="39"/>
        <v>8825.450608000001</v>
      </c>
      <c r="BM159" s="462">
        <f t="shared" si="40"/>
        <v>0</v>
      </c>
      <c r="BN159" s="462">
        <f>IF(AND(AT159=1,AK159="E",AU159&gt;=0.75,AW159=1),HealthBY,IF(AND(AT159=1,AK159="E",AU159&gt;=0.75),HealthBY*P159,IF(AND(AT159=1,AK159="E",AU159&gt;=0.5,AW159=1),PTHealthBY,IF(AND(AT159=1,AK159="E",AU159&gt;=0.5),PTHealthBY*P159,0))))</f>
        <v>11650</v>
      </c>
      <c r="BO159" s="462">
        <f>IF(AND(AT159=3,AK159="E",AV159&gt;=0.75,AW159=1),HealthBY,IF(AND(AT159=3,AK159="E",AV159&gt;=0.75),HealthBY*P159,IF(AND(AT159=3,AK159="E",AV159&gt;=0.5,AW159=1),PTHealthBY,IF(AND(AT159=3,AK159="E",AV159&gt;=0.5),PTHealthBY*P159,0))))</f>
        <v>0</v>
      </c>
      <c r="BP159" s="462">
        <f>IF(AND(AT159&lt;&gt;0,(AX159+BA159)&gt;=MAXSSDIBY),SSDIBY*MAXSSDIBY*P159,IF(AT159&lt;&gt;0,SSDIBY*W159,0))</f>
        <v>2299.3568</v>
      </c>
      <c r="BQ159" s="462">
        <f>IF(AT159&lt;&gt;0,SSHIBY*W159,0)</f>
        <v>537.75280000000009</v>
      </c>
      <c r="BR159" s="462">
        <f>IF(AND(AT159&lt;&gt;0,AN159&lt;&gt;"NE"),VLOOKUP(AN159,Retirement_Rates,4,FALSE)*W159,0)</f>
        <v>4428.1161600000005</v>
      </c>
      <c r="BS159" s="462">
        <f>IF(AND(AT159&lt;&gt;0,AJ159&lt;&gt;"PF"),LifeBY*W159,0)</f>
        <v>267.392944</v>
      </c>
      <c r="BT159" s="462">
        <f>IF(AND(AT159&lt;&gt;0,AM159="Y"),UIBY*W159,0)</f>
        <v>0</v>
      </c>
      <c r="BU159" s="462">
        <f>IF(AND(AT159&lt;&gt;0,N159&lt;&gt;"NR"),DHRBY*W159,0)</f>
        <v>113.48438399999999</v>
      </c>
      <c r="BV159" s="462">
        <f>IF(AT159&lt;&gt;0,WCBY*W159,0)</f>
        <v>1286.8980800000002</v>
      </c>
      <c r="BW159" s="462">
        <f>IF(OR(AND(AT159&lt;&gt;0,AJ159&lt;&gt;"PF",AN159&lt;&gt;"NE",AG159&lt;&gt;"A"),AND(AL159="E",OR(AT159=1,AT159=3))),SickBY*W159,0)</f>
        <v>0</v>
      </c>
      <c r="BX159" s="462">
        <f t="shared" si="41"/>
        <v>8933.0011680000025</v>
      </c>
      <c r="BY159" s="462">
        <f t="shared" si="42"/>
        <v>0</v>
      </c>
      <c r="BZ159" s="462">
        <f t="shared" si="43"/>
        <v>0</v>
      </c>
      <c r="CA159" s="462">
        <f t="shared" si="44"/>
        <v>0</v>
      </c>
      <c r="CB159" s="462">
        <f t="shared" si="45"/>
        <v>0</v>
      </c>
      <c r="CC159" s="462">
        <f>IF(AT159&lt;&gt;0,SSHICHG*Y159,0)</f>
        <v>0</v>
      </c>
      <c r="CD159" s="462">
        <f>IF(AND(AT159&lt;&gt;0,AN159&lt;&gt;"NE"),VLOOKUP(AN159,Retirement_Rates,5,FALSE)*Y159,0)</f>
        <v>0</v>
      </c>
      <c r="CE159" s="462">
        <f>IF(AND(AT159&lt;&gt;0,AJ159&lt;&gt;"PF"),LifeCHG*Y159,0)</f>
        <v>0</v>
      </c>
      <c r="CF159" s="462">
        <f>IF(AND(AT159&lt;&gt;0,AM159="Y"),UICHG*Y159,0)</f>
        <v>-181.72336000000001</v>
      </c>
      <c r="CG159" s="462">
        <f>IF(AND(AT159&lt;&gt;0,N159&lt;&gt;"NR"),DHRCHG*Y159,0)</f>
        <v>0</v>
      </c>
      <c r="CH159" s="462">
        <f>IF(AT159&lt;&gt;0,WCCHG*Y159,0)</f>
        <v>289.27392000000009</v>
      </c>
      <c r="CI159" s="462">
        <f>IF(OR(AND(AT159&lt;&gt;0,AJ159&lt;&gt;"PF",AN159&lt;&gt;"NE",AG159&lt;&gt;"A"),AND(AL159="E",OR(AT159=1,AT159=3))),SickCHG*Y159,0)</f>
        <v>0</v>
      </c>
      <c r="CJ159" s="462">
        <f t="shared" si="46"/>
        <v>107.55056000000008</v>
      </c>
      <c r="CK159" s="462" t="str">
        <f t="shared" si="47"/>
        <v/>
      </c>
      <c r="CL159" s="462" t="str">
        <f t="shared" si="48"/>
        <v/>
      </c>
      <c r="CM159" s="462" t="str">
        <f t="shared" si="49"/>
        <v/>
      </c>
      <c r="CN159" s="462" t="str">
        <f t="shared" si="50"/>
        <v>0243-00</v>
      </c>
    </row>
    <row r="160" spans="1:92" ht="15" thickBot="1" x14ac:dyDescent="0.35">
      <c r="A160" s="376" t="s">
        <v>161</v>
      </c>
      <c r="B160" s="376" t="s">
        <v>162</v>
      </c>
      <c r="C160" s="376" t="s">
        <v>654</v>
      </c>
      <c r="D160" s="376" t="s">
        <v>221</v>
      </c>
      <c r="E160" s="376" t="s">
        <v>273</v>
      </c>
      <c r="F160" s="377" t="s">
        <v>166</v>
      </c>
      <c r="G160" s="376" t="s">
        <v>432</v>
      </c>
      <c r="H160" s="378"/>
      <c r="I160" s="378"/>
      <c r="J160" s="376" t="s">
        <v>168</v>
      </c>
      <c r="K160" s="376" t="s">
        <v>222</v>
      </c>
      <c r="L160" s="376" t="s">
        <v>166</v>
      </c>
      <c r="M160" s="376" t="s">
        <v>171</v>
      </c>
      <c r="N160" s="376" t="s">
        <v>223</v>
      </c>
      <c r="O160" s="379">
        <v>0</v>
      </c>
      <c r="P160" s="460">
        <v>1</v>
      </c>
      <c r="Q160" s="460">
        <v>0</v>
      </c>
      <c r="R160" s="380">
        <v>0</v>
      </c>
      <c r="S160" s="460">
        <v>0</v>
      </c>
      <c r="T160" s="380">
        <v>54142.5</v>
      </c>
      <c r="U160" s="380">
        <v>3750.5</v>
      </c>
      <c r="V160" s="380">
        <v>7085.44</v>
      </c>
      <c r="W160" s="380">
        <v>57893</v>
      </c>
      <c r="X160" s="380">
        <v>7085.44</v>
      </c>
      <c r="Y160" s="380">
        <v>57893</v>
      </c>
      <c r="Z160" s="380">
        <v>7085.44</v>
      </c>
      <c r="AA160" s="378"/>
      <c r="AB160" s="376" t="s">
        <v>45</v>
      </c>
      <c r="AC160" s="376" t="s">
        <v>45</v>
      </c>
      <c r="AD160" s="378"/>
      <c r="AE160" s="378"/>
      <c r="AF160" s="378"/>
      <c r="AG160" s="378"/>
      <c r="AH160" s="379">
        <v>0</v>
      </c>
      <c r="AI160" s="379">
        <v>0</v>
      </c>
      <c r="AJ160" s="378"/>
      <c r="AK160" s="378"/>
      <c r="AL160" s="376" t="s">
        <v>181</v>
      </c>
      <c r="AM160" s="378"/>
      <c r="AN160" s="378"/>
      <c r="AO160" s="379">
        <v>0</v>
      </c>
      <c r="AP160" s="460">
        <v>0</v>
      </c>
      <c r="AQ160" s="460">
        <v>0</v>
      </c>
      <c r="AR160" s="459"/>
      <c r="AS160" s="462">
        <f t="shared" si="34"/>
        <v>0</v>
      </c>
      <c r="AT160">
        <f t="shared" si="35"/>
        <v>0</v>
      </c>
      <c r="AU160" s="462" t="str">
        <f>IF(AT160=0,"",IF(AND(AT160=1,M160="F",SUMIF(C2:C391,C160,AS2:AS391)&lt;=1),SUMIF(C2:C391,C160,AS2:AS391),IF(AND(AT160=1,M160="F",SUMIF(C2:C391,C160,AS2:AS391)&gt;1),1,"")))</f>
        <v/>
      </c>
      <c r="AV160" s="462" t="str">
        <f>IF(AT160=0,"",IF(AND(AT160=3,M160="F",SUMIF(C2:C391,C160,AS2:AS391)&lt;=1),SUMIF(C2:C391,C160,AS2:AS391),IF(AND(AT160=3,M160="F",SUMIF(C2:C391,C160,AS2:AS391)&gt;1),1,"")))</f>
        <v/>
      </c>
      <c r="AW160" s="462">
        <f>SUMIF(C2:C391,C160,O2:O391)</f>
        <v>0</v>
      </c>
      <c r="AX160" s="462">
        <f>IF(AND(M160="F",AS160&lt;&gt;0),SUMIF(C2:C391,C160,W2:W391),0)</f>
        <v>0</v>
      </c>
      <c r="AY160" s="462" t="str">
        <f t="shared" si="36"/>
        <v/>
      </c>
      <c r="AZ160" s="462" t="str">
        <f t="shared" si="37"/>
        <v/>
      </c>
      <c r="BA160" s="462">
        <f t="shared" si="38"/>
        <v>0</v>
      </c>
      <c r="BB160" s="462">
        <f>IF(AND(AT160=1,AK160="E",AU160&gt;=0.75,AW160=1),Health,IF(AND(AT160=1,AK160="E",AU160&gt;=0.75),Health*P160,IF(AND(AT160=1,AK160="E",AU160&gt;=0.5,AW160=1),PTHealth,IF(AND(AT160=1,AK160="E",AU160&gt;=0.5),PTHealth*P160,0))))</f>
        <v>0</v>
      </c>
      <c r="BC160" s="462">
        <f>IF(AND(AT160=3,AK160="E",AV160&gt;=0.75,AW160=1),Health,IF(AND(AT160=3,AK160="E",AV160&gt;=0.75),Health*P160,IF(AND(AT160=3,AK160="E",AV160&gt;=0.5,AW160=1),PTHealth,IF(AND(AT160=3,AK160="E",AV160&gt;=0.5),PTHealth*P160,0))))</f>
        <v>0</v>
      </c>
      <c r="BD160" s="462">
        <f>IF(AND(AT160&lt;&gt;0,AX160&gt;=MAXSSDI),SSDI*MAXSSDI*P160,IF(AT160&lt;&gt;0,SSDI*W160,0))</f>
        <v>0</v>
      </c>
      <c r="BE160" s="462">
        <f>IF(AT160&lt;&gt;0,SSHI*W160,0)</f>
        <v>0</v>
      </c>
      <c r="BF160" s="462">
        <f>IF(AND(AT160&lt;&gt;0,AN160&lt;&gt;"NE"),VLOOKUP(AN160,Retirement_Rates,3,FALSE)*W160,0)</f>
        <v>0</v>
      </c>
      <c r="BG160" s="462">
        <f>IF(AND(AT160&lt;&gt;0,AJ160&lt;&gt;"PF"),Life*W160,0)</f>
        <v>0</v>
      </c>
      <c r="BH160" s="462">
        <f>IF(AND(AT160&lt;&gt;0,AM160="Y"),UI*W160,0)</f>
        <v>0</v>
      </c>
      <c r="BI160" s="462">
        <f>IF(AND(AT160&lt;&gt;0,N160&lt;&gt;"NR"),DHR*W160,0)</f>
        <v>0</v>
      </c>
      <c r="BJ160" s="462">
        <f>IF(AT160&lt;&gt;0,WC*W160,0)</f>
        <v>0</v>
      </c>
      <c r="BK160" s="462">
        <f>IF(OR(AND(AT160&lt;&gt;0,AJ160&lt;&gt;"PF",AN160&lt;&gt;"NE",AG160&lt;&gt;"A"),AND(AL160="E",OR(AT160=1,AT160=3))),Sick*W160,0)</f>
        <v>0</v>
      </c>
      <c r="BL160" s="462">
        <f t="shared" si="39"/>
        <v>0</v>
      </c>
      <c r="BM160" s="462">
        <f t="shared" si="40"/>
        <v>0</v>
      </c>
      <c r="BN160" s="462">
        <f>IF(AND(AT160=1,AK160="E",AU160&gt;=0.75,AW160=1),HealthBY,IF(AND(AT160=1,AK160="E",AU160&gt;=0.75),HealthBY*P160,IF(AND(AT160=1,AK160="E",AU160&gt;=0.5,AW160=1),PTHealthBY,IF(AND(AT160=1,AK160="E",AU160&gt;=0.5),PTHealthBY*P160,0))))</f>
        <v>0</v>
      </c>
      <c r="BO160" s="462">
        <f>IF(AND(AT160=3,AK160="E",AV160&gt;=0.75,AW160=1),HealthBY,IF(AND(AT160=3,AK160="E",AV160&gt;=0.75),HealthBY*P160,IF(AND(AT160=3,AK160="E",AV160&gt;=0.5,AW160=1),PTHealthBY,IF(AND(AT160=3,AK160="E",AV160&gt;=0.5),PTHealthBY*P160,0))))</f>
        <v>0</v>
      </c>
      <c r="BP160" s="462">
        <f>IF(AND(AT160&lt;&gt;0,(AX160+BA160)&gt;=MAXSSDIBY),SSDIBY*MAXSSDIBY*P160,IF(AT160&lt;&gt;0,SSDIBY*W160,0))</f>
        <v>0</v>
      </c>
      <c r="BQ160" s="462">
        <f>IF(AT160&lt;&gt;0,SSHIBY*W160,0)</f>
        <v>0</v>
      </c>
      <c r="BR160" s="462">
        <f>IF(AND(AT160&lt;&gt;0,AN160&lt;&gt;"NE"),VLOOKUP(AN160,Retirement_Rates,4,FALSE)*W160,0)</f>
        <v>0</v>
      </c>
      <c r="BS160" s="462">
        <f>IF(AND(AT160&lt;&gt;0,AJ160&lt;&gt;"PF"),LifeBY*W160,0)</f>
        <v>0</v>
      </c>
      <c r="BT160" s="462">
        <f>IF(AND(AT160&lt;&gt;0,AM160="Y"),UIBY*W160,0)</f>
        <v>0</v>
      </c>
      <c r="BU160" s="462">
        <f>IF(AND(AT160&lt;&gt;0,N160&lt;&gt;"NR"),DHRBY*W160,0)</f>
        <v>0</v>
      </c>
      <c r="BV160" s="462">
        <f>IF(AT160&lt;&gt;0,WCBY*W160,0)</f>
        <v>0</v>
      </c>
      <c r="BW160" s="462">
        <f>IF(OR(AND(AT160&lt;&gt;0,AJ160&lt;&gt;"PF",AN160&lt;&gt;"NE",AG160&lt;&gt;"A"),AND(AL160="E",OR(AT160=1,AT160=3))),SickBY*W160,0)</f>
        <v>0</v>
      </c>
      <c r="BX160" s="462">
        <f t="shared" si="41"/>
        <v>0</v>
      </c>
      <c r="BY160" s="462">
        <f t="shared" si="42"/>
        <v>0</v>
      </c>
      <c r="BZ160" s="462">
        <f t="shared" si="43"/>
        <v>0</v>
      </c>
      <c r="CA160" s="462">
        <f t="shared" si="44"/>
        <v>0</v>
      </c>
      <c r="CB160" s="462">
        <f t="shared" si="45"/>
        <v>0</v>
      </c>
      <c r="CC160" s="462">
        <f>IF(AT160&lt;&gt;0,SSHICHG*Y160,0)</f>
        <v>0</v>
      </c>
      <c r="CD160" s="462">
        <f>IF(AND(AT160&lt;&gt;0,AN160&lt;&gt;"NE"),VLOOKUP(AN160,Retirement_Rates,5,FALSE)*Y160,0)</f>
        <v>0</v>
      </c>
      <c r="CE160" s="462">
        <f>IF(AND(AT160&lt;&gt;0,AJ160&lt;&gt;"PF"),LifeCHG*Y160,0)</f>
        <v>0</v>
      </c>
      <c r="CF160" s="462">
        <f>IF(AND(AT160&lt;&gt;0,AM160="Y"),UICHG*Y160,0)</f>
        <v>0</v>
      </c>
      <c r="CG160" s="462">
        <f>IF(AND(AT160&lt;&gt;0,N160&lt;&gt;"NR"),DHRCHG*Y160,0)</f>
        <v>0</v>
      </c>
      <c r="CH160" s="462">
        <f>IF(AT160&lt;&gt;0,WCCHG*Y160,0)</f>
        <v>0</v>
      </c>
      <c r="CI160" s="462">
        <f>IF(OR(AND(AT160&lt;&gt;0,AJ160&lt;&gt;"PF",AN160&lt;&gt;"NE",AG160&lt;&gt;"A"),AND(AL160="E",OR(AT160=1,AT160=3))),SickCHG*Y160,0)</f>
        <v>0</v>
      </c>
      <c r="CJ160" s="462">
        <f t="shared" si="46"/>
        <v>0</v>
      </c>
      <c r="CK160" s="462" t="str">
        <f t="shared" si="47"/>
        <v/>
      </c>
      <c r="CL160" s="462">
        <f t="shared" si="48"/>
        <v>57893</v>
      </c>
      <c r="CM160" s="462">
        <f t="shared" si="49"/>
        <v>7085.44</v>
      </c>
      <c r="CN160" s="462" t="str">
        <f t="shared" si="50"/>
        <v>0243-00</v>
      </c>
    </row>
    <row r="161" spans="1:92" ht="15" thickBot="1" x14ac:dyDescent="0.35">
      <c r="A161" s="376" t="s">
        <v>161</v>
      </c>
      <c r="B161" s="376" t="s">
        <v>162</v>
      </c>
      <c r="C161" s="376" t="s">
        <v>655</v>
      </c>
      <c r="D161" s="376" t="s">
        <v>438</v>
      </c>
      <c r="E161" s="376" t="s">
        <v>273</v>
      </c>
      <c r="F161" s="377" t="s">
        <v>166</v>
      </c>
      <c r="G161" s="376" t="s">
        <v>432</v>
      </c>
      <c r="H161" s="378"/>
      <c r="I161" s="378"/>
      <c r="J161" s="376" t="s">
        <v>193</v>
      </c>
      <c r="K161" s="376" t="s">
        <v>439</v>
      </c>
      <c r="L161" s="376" t="s">
        <v>231</v>
      </c>
      <c r="M161" s="376" t="s">
        <v>171</v>
      </c>
      <c r="N161" s="376" t="s">
        <v>172</v>
      </c>
      <c r="O161" s="379">
        <v>1</v>
      </c>
      <c r="P161" s="460">
        <v>0.2</v>
      </c>
      <c r="Q161" s="460">
        <v>0.2</v>
      </c>
      <c r="R161" s="380">
        <v>80</v>
      </c>
      <c r="S161" s="460">
        <v>0.2</v>
      </c>
      <c r="T161" s="380">
        <v>4294.51</v>
      </c>
      <c r="U161" s="380">
        <v>3.09</v>
      </c>
      <c r="V161" s="380">
        <v>1799.66</v>
      </c>
      <c r="W161" s="380">
        <v>8361.6</v>
      </c>
      <c r="X161" s="380">
        <v>4319.8</v>
      </c>
      <c r="Y161" s="380">
        <v>8361.6</v>
      </c>
      <c r="Z161" s="380">
        <v>4344.05</v>
      </c>
      <c r="AA161" s="376" t="s">
        <v>656</v>
      </c>
      <c r="AB161" s="376" t="s">
        <v>657</v>
      </c>
      <c r="AC161" s="376" t="s">
        <v>658</v>
      </c>
      <c r="AD161" s="376" t="s">
        <v>176</v>
      </c>
      <c r="AE161" s="376" t="s">
        <v>439</v>
      </c>
      <c r="AF161" s="376" t="s">
        <v>236</v>
      </c>
      <c r="AG161" s="376" t="s">
        <v>178</v>
      </c>
      <c r="AH161" s="381">
        <v>20.100000000000001</v>
      </c>
      <c r="AI161" s="381">
        <v>8057.9</v>
      </c>
      <c r="AJ161" s="376" t="s">
        <v>179</v>
      </c>
      <c r="AK161" s="376" t="s">
        <v>180</v>
      </c>
      <c r="AL161" s="376" t="s">
        <v>181</v>
      </c>
      <c r="AM161" s="376" t="s">
        <v>182</v>
      </c>
      <c r="AN161" s="376" t="s">
        <v>68</v>
      </c>
      <c r="AO161" s="379">
        <v>80</v>
      </c>
      <c r="AP161" s="460">
        <v>1</v>
      </c>
      <c r="AQ161" s="460">
        <v>0.2</v>
      </c>
      <c r="AR161" s="458" t="s">
        <v>183</v>
      </c>
      <c r="AS161" s="462">
        <f t="shared" si="34"/>
        <v>0.2</v>
      </c>
      <c r="AT161">
        <f t="shared" si="35"/>
        <v>1</v>
      </c>
      <c r="AU161" s="462">
        <f>IF(AT161=0,"",IF(AND(AT161=1,M161="F",SUMIF(C2:C391,C161,AS2:AS391)&lt;=1),SUMIF(C2:C391,C161,AS2:AS391),IF(AND(AT161=1,M161="F",SUMIF(C2:C391,C161,AS2:AS391)&gt;1),1,"")))</f>
        <v>1</v>
      </c>
      <c r="AV161" s="462" t="str">
        <f>IF(AT161=0,"",IF(AND(AT161=3,M161="F",SUMIF(C2:C391,C161,AS2:AS391)&lt;=1),SUMIF(C2:C391,C161,AS2:AS391),IF(AND(AT161=3,M161="F",SUMIF(C2:C391,C161,AS2:AS391)&gt;1),1,"")))</f>
        <v/>
      </c>
      <c r="AW161" s="462">
        <f>SUMIF(C2:C391,C161,O2:O391)</f>
        <v>2</v>
      </c>
      <c r="AX161" s="462">
        <f>IF(AND(M161="F",AS161&lt;&gt;0),SUMIF(C2:C391,C161,W2:W391),0)</f>
        <v>41808</v>
      </c>
      <c r="AY161" s="462">
        <f t="shared" si="36"/>
        <v>8361.6</v>
      </c>
      <c r="AZ161" s="462" t="str">
        <f t="shared" si="37"/>
        <v/>
      </c>
      <c r="BA161" s="462">
        <f t="shared" si="38"/>
        <v>0</v>
      </c>
      <c r="BB161" s="462">
        <f>IF(AND(AT161=1,AK161="E",AU161&gt;=0.75,AW161=1),Health,IF(AND(AT161=1,AK161="E",AU161&gt;=0.75),Health*P161,IF(AND(AT161=1,AK161="E",AU161&gt;=0.5,AW161=1),PTHealth,IF(AND(AT161=1,AK161="E",AU161&gt;=0.5),PTHealth*P161,0))))</f>
        <v>2330</v>
      </c>
      <c r="BC161" s="462">
        <f>IF(AND(AT161=3,AK161="E",AV161&gt;=0.75,AW161=1),Health,IF(AND(AT161=3,AK161="E",AV161&gt;=0.75),Health*P161,IF(AND(AT161=3,AK161="E",AV161&gt;=0.5,AW161=1),PTHealth,IF(AND(AT161=3,AK161="E",AV161&gt;=0.5),PTHealth*P161,0))))</f>
        <v>0</v>
      </c>
      <c r="BD161" s="462">
        <f>IF(AND(AT161&lt;&gt;0,AX161&gt;=MAXSSDI),SSDI*MAXSSDI*P161,IF(AT161&lt;&gt;0,SSDI*W161,0))</f>
        <v>518.41920000000005</v>
      </c>
      <c r="BE161" s="462">
        <f>IF(AT161&lt;&gt;0,SSHI*W161,0)</f>
        <v>121.24320000000002</v>
      </c>
      <c r="BF161" s="462">
        <f>IF(AND(AT161&lt;&gt;0,AN161&lt;&gt;"NE"),VLOOKUP(AN161,Retirement_Rates,3,FALSE)*W161,0)</f>
        <v>998.37504000000013</v>
      </c>
      <c r="BG161" s="462">
        <f>IF(AND(AT161&lt;&gt;0,AJ161&lt;&gt;"PF"),Life*W161,0)</f>
        <v>60.287136000000004</v>
      </c>
      <c r="BH161" s="462">
        <f>IF(AND(AT161&lt;&gt;0,AM161="Y"),UI*W161,0)</f>
        <v>40.97184</v>
      </c>
      <c r="BI161" s="462">
        <f>IF(AND(AT161&lt;&gt;0,N161&lt;&gt;"NR"),DHR*W161,0)</f>
        <v>25.586496</v>
      </c>
      <c r="BJ161" s="462">
        <f>IF(AT161&lt;&gt;0,WC*W161,0)</f>
        <v>224.92704000000001</v>
      </c>
      <c r="BK161" s="462">
        <f>IF(OR(AND(AT161&lt;&gt;0,AJ161&lt;&gt;"PF",AN161&lt;&gt;"NE",AG161&lt;&gt;"A"),AND(AL161="E",OR(AT161=1,AT161=3))),Sick*W161,0)</f>
        <v>0</v>
      </c>
      <c r="BL161" s="462">
        <f t="shared" si="39"/>
        <v>1989.8099519999998</v>
      </c>
      <c r="BM161" s="462">
        <f t="shared" si="40"/>
        <v>0</v>
      </c>
      <c r="BN161" s="462">
        <f>IF(AND(AT161=1,AK161="E",AU161&gt;=0.75,AW161=1),HealthBY,IF(AND(AT161=1,AK161="E",AU161&gt;=0.75),HealthBY*P161,IF(AND(AT161=1,AK161="E",AU161&gt;=0.5,AW161=1),PTHealthBY,IF(AND(AT161=1,AK161="E",AU161&gt;=0.5),PTHealthBY*P161,0))))</f>
        <v>2330</v>
      </c>
      <c r="BO161" s="462">
        <f>IF(AND(AT161=3,AK161="E",AV161&gt;=0.75,AW161=1),HealthBY,IF(AND(AT161=3,AK161="E",AV161&gt;=0.75),HealthBY*P161,IF(AND(AT161=3,AK161="E",AV161&gt;=0.5,AW161=1),PTHealthBY,IF(AND(AT161=3,AK161="E",AV161&gt;=0.5),PTHealthBY*P161,0))))</f>
        <v>0</v>
      </c>
      <c r="BP161" s="462">
        <f>IF(AND(AT161&lt;&gt;0,(AX161+BA161)&gt;=MAXSSDIBY),SSDIBY*MAXSSDIBY*P161,IF(AT161&lt;&gt;0,SSDIBY*W161,0))</f>
        <v>518.41920000000005</v>
      </c>
      <c r="BQ161" s="462">
        <f>IF(AT161&lt;&gt;0,SSHIBY*W161,0)</f>
        <v>121.24320000000002</v>
      </c>
      <c r="BR161" s="462">
        <f>IF(AND(AT161&lt;&gt;0,AN161&lt;&gt;"NE"),VLOOKUP(AN161,Retirement_Rates,4,FALSE)*W161,0)</f>
        <v>998.37504000000013</v>
      </c>
      <c r="BS161" s="462">
        <f>IF(AND(AT161&lt;&gt;0,AJ161&lt;&gt;"PF"),LifeBY*W161,0)</f>
        <v>60.287136000000004</v>
      </c>
      <c r="BT161" s="462">
        <f>IF(AND(AT161&lt;&gt;0,AM161="Y"),UIBY*W161,0)</f>
        <v>0</v>
      </c>
      <c r="BU161" s="462">
        <f>IF(AND(AT161&lt;&gt;0,N161&lt;&gt;"NR"),DHRBY*W161,0)</f>
        <v>25.586496</v>
      </c>
      <c r="BV161" s="462">
        <f>IF(AT161&lt;&gt;0,WCBY*W161,0)</f>
        <v>290.14752000000004</v>
      </c>
      <c r="BW161" s="462">
        <f>IF(OR(AND(AT161&lt;&gt;0,AJ161&lt;&gt;"PF",AN161&lt;&gt;"NE",AG161&lt;&gt;"A"),AND(AL161="E",OR(AT161=1,AT161=3))),SickBY*W161,0)</f>
        <v>0</v>
      </c>
      <c r="BX161" s="462">
        <f t="shared" si="41"/>
        <v>2014.0585919999999</v>
      </c>
      <c r="BY161" s="462">
        <f t="shared" si="42"/>
        <v>0</v>
      </c>
      <c r="BZ161" s="462">
        <f t="shared" si="43"/>
        <v>0</v>
      </c>
      <c r="CA161" s="462">
        <f t="shared" si="44"/>
        <v>0</v>
      </c>
      <c r="CB161" s="462">
        <f t="shared" si="45"/>
        <v>0</v>
      </c>
      <c r="CC161" s="462">
        <f>IF(AT161&lt;&gt;0,SSHICHG*Y161,0)</f>
        <v>0</v>
      </c>
      <c r="CD161" s="462">
        <f>IF(AND(AT161&lt;&gt;0,AN161&lt;&gt;"NE"),VLOOKUP(AN161,Retirement_Rates,5,FALSE)*Y161,0)</f>
        <v>0</v>
      </c>
      <c r="CE161" s="462">
        <f>IF(AND(AT161&lt;&gt;0,AJ161&lt;&gt;"PF"),LifeCHG*Y161,0)</f>
        <v>0</v>
      </c>
      <c r="CF161" s="462">
        <f>IF(AND(AT161&lt;&gt;0,AM161="Y"),UICHG*Y161,0)</f>
        <v>-40.97184</v>
      </c>
      <c r="CG161" s="462">
        <f>IF(AND(AT161&lt;&gt;0,N161&lt;&gt;"NR"),DHRCHG*Y161,0)</f>
        <v>0</v>
      </c>
      <c r="CH161" s="462">
        <f>IF(AT161&lt;&gt;0,WCCHG*Y161,0)</f>
        <v>65.220480000000009</v>
      </c>
      <c r="CI161" s="462">
        <f>IF(OR(AND(AT161&lt;&gt;0,AJ161&lt;&gt;"PF",AN161&lt;&gt;"NE",AG161&lt;&gt;"A"),AND(AL161="E",OR(AT161=1,AT161=3))),SickCHG*Y161,0)</f>
        <v>0</v>
      </c>
      <c r="CJ161" s="462">
        <f t="shared" si="46"/>
        <v>24.248640000000009</v>
      </c>
      <c r="CK161" s="462" t="str">
        <f t="shared" si="47"/>
        <v/>
      </c>
      <c r="CL161" s="462" t="str">
        <f t="shared" si="48"/>
        <v/>
      </c>
      <c r="CM161" s="462" t="str">
        <f t="shared" si="49"/>
        <v/>
      </c>
      <c r="CN161" s="462" t="str">
        <f t="shared" si="50"/>
        <v>0243-00</v>
      </c>
    </row>
    <row r="162" spans="1:92" ht="15" thickBot="1" x14ac:dyDescent="0.35">
      <c r="A162" s="376" t="s">
        <v>161</v>
      </c>
      <c r="B162" s="376" t="s">
        <v>162</v>
      </c>
      <c r="C162" s="376" t="s">
        <v>659</v>
      </c>
      <c r="D162" s="376" t="s">
        <v>221</v>
      </c>
      <c r="E162" s="376" t="s">
        <v>273</v>
      </c>
      <c r="F162" s="377" t="s">
        <v>166</v>
      </c>
      <c r="G162" s="376" t="s">
        <v>432</v>
      </c>
      <c r="H162" s="378"/>
      <c r="I162" s="378"/>
      <c r="J162" s="376" t="s">
        <v>168</v>
      </c>
      <c r="K162" s="376" t="s">
        <v>222</v>
      </c>
      <c r="L162" s="376" t="s">
        <v>166</v>
      </c>
      <c r="M162" s="376" t="s">
        <v>171</v>
      </c>
      <c r="N162" s="376" t="s">
        <v>223</v>
      </c>
      <c r="O162" s="379">
        <v>0</v>
      </c>
      <c r="P162" s="460">
        <v>1</v>
      </c>
      <c r="Q162" s="460">
        <v>0</v>
      </c>
      <c r="R162" s="380">
        <v>0</v>
      </c>
      <c r="S162" s="460">
        <v>0</v>
      </c>
      <c r="T162" s="380">
        <v>49762.5</v>
      </c>
      <c r="U162" s="380">
        <v>1186</v>
      </c>
      <c r="V162" s="380">
        <v>9034.85</v>
      </c>
      <c r="W162" s="380">
        <v>50948.5</v>
      </c>
      <c r="X162" s="380">
        <v>9034.85</v>
      </c>
      <c r="Y162" s="380">
        <v>50948.5</v>
      </c>
      <c r="Z162" s="380">
        <v>9034.85</v>
      </c>
      <c r="AA162" s="378"/>
      <c r="AB162" s="376" t="s">
        <v>45</v>
      </c>
      <c r="AC162" s="376" t="s">
        <v>45</v>
      </c>
      <c r="AD162" s="378"/>
      <c r="AE162" s="378"/>
      <c r="AF162" s="378"/>
      <c r="AG162" s="378"/>
      <c r="AH162" s="379">
        <v>0</v>
      </c>
      <c r="AI162" s="379">
        <v>0</v>
      </c>
      <c r="AJ162" s="378"/>
      <c r="AK162" s="378"/>
      <c r="AL162" s="376" t="s">
        <v>181</v>
      </c>
      <c r="AM162" s="378"/>
      <c r="AN162" s="378"/>
      <c r="AO162" s="379">
        <v>0</v>
      </c>
      <c r="AP162" s="460">
        <v>0</v>
      </c>
      <c r="AQ162" s="460">
        <v>0</v>
      </c>
      <c r="AR162" s="459"/>
      <c r="AS162" s="462">
        <f t="shared" si="34"/>
        <v>0</v>
      </c>
      <c r="AT162">
        <f t="shared" si="35"/>
        <v>0</v>
      </c>
      <c r="AU162" s="462" t="str">
        <f>IF(AT162=0,"",IF(AND(AT162=1,M162="F",SUMIF(C2:C391,C162,AS2:AS391)&lt;=1),SUMIF(C2:C391,C162,AS2:AS391),IF(AND(AT162=1,M162="F",SUMIF(C2:C391,C162,AS2:AS391)&gt;1),1,"")))</f>
        <v/>
      </c>
      <c r="AV162" s="462" t="str">
        <f>IF(AT162=0,"",IF(AND(AT162=3,M162="F",SUMIF(C2:C391,C162,AS2:AS391)&lt;=1),SUMIF(C2:C391,C162,AS2:AS391),IF(AND(AT162=3,M162="F",SUMIF(C2:C391,C162,AS2:AS391)&gt;1),1,"")))</f>
        <v/>
      </c>
      <c r="AW162" s="462">
        <f>SUMIF(C2:C391,C162,O2:O391)</f>
        <v>0</v>
      </c>
      <c r="AX162" s="462">
        <f>IF(AND(M162="F",AS162&lt;&gt;0),SUMIF(C2:C391,C162,W2:W391),0)</f>
        <v>0</v>
      </c>
      <c r="AY162" s="462" t="str">
        <f t="shared" si="36"/>
        <v/>
      </c>
      <c r="AZ162" s="462" t="str">
        <f t="shared" si="37"/>
        <v/>
      </c>
      <c r="BA162" s="462">
        <f t="shared" si="38"/>
        <v>0</v>
      </c>
      <c r="BB162" s="462">
        <f>IF(AND(AT162=1,AK162="E",AU162&gt;=0.75,AW162=1),Health,IF(AND(AT162=1,AK162="E",AU162&gt;=0.75),Health*P162,IF(AND(AT162=1,AK162="E",AU162&gt;=0.5,AW162=1),PTHealth,IF(AND(AT162=1,AK162="E",AU162&gt;=0.5),PTHealth*P162,0))))</f>
        <v>0</v>
      </c>
      <c r="BC162" s="462">
        <f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462">
        <f>IF(AND(AT162&lt;&gt;0,AX162&gt;=MAXSSDI),SSDI*MAXSSDI*P162,IF(AT162&lt;&gt;0,SSDI*W162,0))</f>
        <v>0</v>
      </c>
      <c r="BE162" s="462">
        <f>IF(AT162&lt;&gt;0,SSHI*W162,0)</f>
        <v>0</v>
      </c>
      <c r="BF162" s="462">
        <f>IF(AND(AT162&lt;&gt;0,AN162&lt;&gt;"NE"),VLOOKUP(AN162,Retirement_Rates,3,FALSE)*W162,0)</f>
        <v>0</v>
      </c>
      <c r="BG162" s="462">
        <f>IF(AND(AT162&lt;&gt;0,AJ162&lt;&gt;"PF"),Life*W162,0)</f>
        <v>0</v>
      </c>
      <c r="BH162" s="462">
        <f>IF(AND(AT162&lt;&gt;0,AM162="Y"),UI*W162,0)</f>
        <v>0</v>
      </c>
      <c r="BI162" s="462">
        <f>IF(AND(AT162&lt;&gt;0,N162&lt;&gt;"NR"),DHR*W162,0)</f>
        <v>0</v>
      </c>
      <c r="BJ162" s="462">
        <f>IF(AT162&lt;&gt;0,WC*W162,0)</f>
        <v>0</v>
      </c>
      <c r="BK162" s="462">
        <f>IF(OR(AND(AT162&lt;&gt;0,AJ162&lt;&gt;"PF",AN162&lt;&gt;"NE",AG162&lt;&gt;"A"),AND(AL162="E",OR(AT162=1,AT162=3))),Sick*W162,0)</f>
        <v>0</v>
      </c>
      <c r="BL162" s="462">
        <f t="shared" si="39"/>
        <v>0</v>
      </c>
      <c r="BM162" s="462">
        <f t="shared" si="40"/>
        <v>0</v>
      </c>
      <c r="BN162" s="462">
        <f>IF(AND(AT162=1,AK162="E",AU162&gt;=0.75,AW162=1),HealthBY,IF(AND(AT162=1,AK162="E",AU162&gt;=0.75),HealthBY*P162,IF(AND(AT162=1,AK162="E",AU162&gt;=0.5,AW162=1),PTHealthBY,IF(AND(AT162=1,AK162="E",AU162&gt;=0.5),PTHealthBY*P162,0))))</f>
        <v>0</v>
      </c>
      <c r="BO162" s="462">
        <f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462">
        <f>IF(AND(AT162&lt;&gt;0,(AX162+BA162)&gt;=MAXSSDIBY),SSDIBY*MAXSSDIBY*P162,IF(AT162&lt;&gt;0,SSDIBY*W162,0))</f>
        <v>0</v>
      </c>
      <c r="BQ162" s="462">
        <f>IF(AT162&lt;&gt;0,SSHIBY*W162,0)</f>
        <v>0</v>
      </c>
      <c r="BR162" s="462">
        <f>IF(AND(AT162&lt;&gt;0,AN162&lt;&gt;"NE"),VLOOKUP(AN162,Retirement_Rates,4,FALSE)*W162,0)</f>
        <v>0</v>
      </c>
      <c r="BS162" s="462">
        <f>IF(AND(AT162&lt;&gt;0,AJ162&lt;&gt;"PF"),LifeBY*W162,0)</f>
        <v>0</v>
      </c>
      <c r="BT162" s="462">
        <f>IF(AND(AT162&lt;&gt;0,AM162="Y"),UIBY*W162,0)</f>
        <v>0</v>
      </c>
      <c r="BU162" s="462">
        <f>IF(AND(AT162&lt;&gt;0,N162&lt;&gt;"NR"),DHRBY*W162,0)</f>
        <v>0</v>
      </c>
      <c r="BV162" s="462">
        <f>IF(AT162&lt;&gt;0,WCBY*W162,0)</f>
        <v>0</v>
      </c>
      <c r="BW162" s="462">
        <f>IF(OR(AND(AT162&lt;&gt;0,AJ162&lt;&gt;"PF",AN162&lt;&gt;"NE",AG162&lt;&gt;"A"),AND(AL162="E",OR(AT162=1,AT162=3))),SickBY*W162,0)</f>
        <v>0</v>
      </c>
      <c r="BX162" s="462">
        <f t="shared" si="41"/>
        <v>0</v>
      </c>
      <c r="BY162" s="462">
        <f t="shared" si="42"/>
        <v>0</v>
      </c>
      <c r="BZ162" s="462">
        <f t="shared" si="43"/>
        <v>0</v>
      </c>
      <c r="CA162" s="462">
        <f t="shared" si="44"/>
        <v>0</v>
      </c>
      <c r="CB162" s="462">
        <f t="shared" si="45"/>
        <v>0</v>
      </c>
      <c r="CC162" s="462">
        <f>IF(AT162&lt;&gt;0,SSHICHG*Y162,0)</f>
        <v>0</v>
      </c>
      <c r="CD162" s="462">
        <f>IF(AND(AT162&lt;&gt;0,AN162&lt;&gt;"NE"),VLOOKUP(AN162,Retirement_Rates,5,FALSE)*Y162,0)</f>
        <v>0</v>
      </c>
      <c r="CE162" s="462">
        <f>IF(AND(AT162&lt;&gt;0,AJ162&lt;&gt;"PF"),LifeCHG*Y162,0)</f>
        <v>0</v>
      </c>
      <c r="CF162" s="462">
        <f>IF(AND(AT162&lt;&gt;0,AM162="Y"),UICHG*Y162,0)</f>
        <v>0</v>
      </c>
      <c r="CG162" s="462">
        <f>IF(AND(AT162&lt;&gt;0,N162&lt;&gt;"NR"),DHRCHG*Y162,0)</f>
        <v>0</v>
      </c>
      <c r="CH162" s="462">
        <f>IF(AT162&lt;&gt;0,WCCHG*Y162,0)</f>
        <v>0</v>
      </c>
      <c r="CI162" s="462">
        <f>IF(OR(AND(AT162&lt;&gt;0,AJ162&lt;&gt;"PF",AN162&lt;&gt;"NE",AG162&lt;&gt;"A"),AND(AL162="E",OR(AT162=1,AT162=3))),SickCHG*Y162,0)</f>
        <v>0</v>
      </c>
      <c r="CJ162" s="462">
        <f t="shared" si="46"/>
        <v>0</v>
      </c>
      <c r="CK162" s="462" t="str">
        <f t="shared" si="47"/>
        <v/>
      </c>
      <c r="CL162" s="462">
        <f t="shared" si="48"/>
        <v>50948.5</v>
      </c>
      <c r="CM162" s="462">
        <f t="shared" si="49"/>
        <v>9034.85</v>
      </c>
      <c r="CN162" s="462" t="str">
        <f t="shared" si="50"/>
        <v>0243-00</v>
      </c>
    </row>
    <row r="163" spans="1:92" ht="15" thickBot="1" x14ac:dyDescent="0.35">
      <c r="A163" s="376" t="s">
        <v>161</v>
      </c>
      <c r="B163" s="376" t="s">
        <v>162</v>
      </c>
      <c r="C163" s="376" t="s">
        <v>660</v>
      </c>
      <c r="D163" s="376" t="s">
        <v>627</v>
      </c>
      <c r="E163" s="376" t="s">
        <v>273</v>
      </c>
      <c r="F163" s="377" t="s">
        <v>166</v>
      </c>
      <c r="G163" s="376" t="s">
        <v>432</v>
      </c>
      <c r="H163" s="378"/>
      <c r="I163" s="378"/>
      <c r="J163" s="376" t="s">
        <v>168</v>
      </c>
      <c r="K163" s="376" t="s">
        <v>628</v>
      </c>
      <c r="L163" s="376" t="s">
        <v>240</v>
      </c>
      <c r="M163" s="376" t="s">
        <v>171</v>
      </c>
      <c r="N163" s="376" t="s">
        <v>172</v>
      </c>
      <c r="O163" s="379">
        <v>1</v>
      </c>
      <c r="P163" s="460">
        <v>1</v>
      </c>
      <c r="Q163" s="460">
        <v>1</v>
      </c>
      <c r="R163" s="380">
        <v>80</v>
      </c>
      <c r="S163" s="460">
        <v>1</v>
      </c>
      <c r="T163" s="380">
        <v>45702.400000000001</v>
      </c>
      <c r="U163" s="380">
        <v>0</v>
      </c>
      <c r="V163" s="380">
        <v>22011.42</v>
      </c>
      <c r="W163" s="380">
        <v>46820.800000000003</v>
      </c>
      <c r="X163" s="380">
        <v>22791.91</v>
      </c>
      <c r="Y163" s="380">
        <v>46820.800000000003</v>
      </c>
      <c r="Z163" s="380">
        <v>22927.7</v>
      </c>
      <c r="AA163" s="376" t="s">
        <v>661</v>
      </c>
      <c r="AB163" s="376" t="s">
        <v>662</v>
      </c>
      <c r="AC163" s="376" t="s">
        <v>663</v>
      </c>
      <c r="AD163" s="376" t="s">
        <v>324</v>
      </c>
      <c r="AE163" s="376" t="s">
        <v>628</v>
      </c>
      <c r="AF163" s="376" t="s">
        <v>244</v>
      </c>
      <c r="AG163" s="376" t="s">
        <v>178</v>
      </c>
      <c r="AH163" s="381">
        <v>22.51</v>
      </c>
      <c r="AI163" s="381">
        <v>25816.9</v>
      </c>
      <c r="AJ163" s="376" t="s">
        <v>179</v>
      </c>
      <c r="AK163" s="376" t="s">
        <v>180</v>
      </c>
      <c r="AL163" s="376" t="s">
        <v>181</v>
      </c>
      <c r="AM163" s="376" t="s">
        <v>182</v>
      </c>
      <c r="AN163" s="376" t="s">
        <v>68</v>
      </c>
      <c r="AO163" s="379">
        <v>80</v>
      </c>
      <c r="AP163" s="460">
        <v>1</v>
      </c>
      <c r="AQ163" s="460">
        <v>1</v>
      </c>
      <c r="AR163" s="458" t="s">
        <v>183</v>
      </c>
      <c r="AS163" s="462">
        <f t="shared" si="34"/>
        <v>1</v>
      </c>
      <c r="AT163">
        <f t="shared" si="35"/>
        <v>1</v>
      </c>
      <c r="AU163" s="462">
        <f>IF(AT163=0,"",IF(AND(AT163=1,M163="F",SUMIF(C2:C391,C163,AS2:AS391)&lt;=1),SUMIF(C2:C391,C163,AS2:AS391),IF(AND(AT163=1,M163="F",SUMIF(C2:C391,C163,AS2:AS391)&gt;1),1,"")))</f>
        <v>1</v>
      </c>
      <c r="AV163" s="462" t="str">
        <f>IF(AT163=0,"",IF(AND(AT163=3,M163="F",SUMIF(C2:C391,C163,AS2:AS391)&lt;=1),SUMIF(C2:C391,C163,AS2:AS391),IF(AND(AT163=3,M163="F",SUMIF(C2:C391,C163,AS2:AS391)&gt;1),1,"")))</f>
        <v/>
      </c>
      <c r="AW163" s="462">
        <f>SUMIF(C2:C391,C163,O2:O391)</f>
        <v>1</v>
      </c>
      <c r="AX163" s="462">
        <f>IF(AND(M163="F",AS163&lt;&gt;0),SUMIF(C2:C391,C163,W2:W391),0)</f>
        <v>46820.800000000003</v>
      </c>
      <c r="AY163" s="462">
        <f t="shared" si="36"/>
        <v>46820.800000000003</v>
      </c>
      <c r="AZ163" s="462" t="str">
        <f t="shared" si="37"/>
        <v/>
      </c>
      <c r="BA163" s="462">
        <f t="shared" si="38"/>
        <v>0</v>
      </c>
      <c r="BB163" s="462">
        <f>IF(AND(AT163=1,AK163="E",AU163&gt;=0.75,AW163=1),Health,IF(AND(AT163=1,AK163="E",AU163&gt;=0.75),Health*P163,IF(AND(AT163=1,AK163="E",AU163&gt;=0.5,AW163=1),PTHealth,IF(AND(AT163=1,AK163="E",AU163&gt;=0.5),PTHealth*P163,0))))</f>
        <v>11650</v>
      </c>
      <c r="BC163" s="462">
        <f>IF(AND(AT163=3,AK163="E",AV163&gt;=0.75,AW163=1),Health,IF(AND(AT163=3,AK163="E",AV163&gt;=0.75),Health*P163,IF(AND(AT163=3,AK163="E",AV163&gt;=0.5,AW163=1),PTHealth,IF(AND(AT163=3,AK163="E",AV163&gt;=0.5),PTHealth*P163,0))))</f>
        <v>0</v>
      </c>
      <c r="BD163" s="462">
        <f>IF(AND(AT163&lt;&gt;0,AX163&gt;=MAXSSDI),SSDI*MAXSSDI*P163,IF(AT163&lt;&gt;0,SSDI*W163,0))</f>
        <v>2902.8896</v>
      </c>
      <c r="BE163" s="462">
        <f>IF(AT163&lt;&gt;0,SSHI*W163,0)</f>
        <v>678.90160000000003</v>
      </c>
      <c r="BF163" s="462">
        <f>IF(AND(AT163&lt;&gt;0,AN163&lt;&gt;"NE"),VLOOKUP(AN163,Retirement_Rates,3,FALSE)*W163,0)</f>
        <v>5590.4035200000008</v>
      </c>
      <c r="BG163" s="462">
        <f>IF(AND(AT163&lt;&gt;0,AJ163&lt;&gt;"PF"),Life*W163,0)</f>
        <v>337.57796800000006</v>
      </c>
      <c r="BH163" s="462">
        <f>IF(AND(AT163&lt;&gt;0,AM163="Y"),UI*W163,0)</f>
        <v>229.42192</v>
      </c>
      <c r="BI163" s="462">
        <f>IF(AND(AT163&lt;&gt;0,N163&lt;&gt;"NR"),DHR*W163,0)</f>
        <v>143.271648</v>
      </c>
      <c r="BJ163" s="462">
        <f>IF(AT163&lt;&gt;0,WC*W163,0)</f>
        <v>1259.4795200000001</v>
      </c>
      <c r="BK163" s="462">
        <f>IF(OR(AND(AT163&lt;&gt;0,AJ163&lt;&gt;"PF",AN163&lt;&gt;"NE",AG163&lt;&gt;"A"),AND(AL163="E",OR(AT163=1,AT163=3))),Sick*W163,0)</f>
        <v>0</v>
      </c>
      <c r="BL163" s="462">
        <f t="shared" si="39"/>
        <v>11141.945776000002</v>
      </c>
      <c r="BM163" s="462">
        <f t="shared" si="40"/>
        <v>0</v>
      </c>
      <c r="BN163" s="462">
        <f>IF(AND(AT163=1,AK163="E",AU163&gt;=0.75,AW163=1),HealthBY,IF(AND(AT163=1,AK163="E",AU163&gt;=0.75),HealthBY*P163,IF(AND(AT163=1,AK163="E",AU163&gt;=0.5,AW163=1),PTHealthBY,IF(AND(AT163=1,AK163="E",AU163&gt;=0.5),PTHealthBY*P163,0))))</f>
        <v>11650</v>
      </c>
      <c r="BO163" s="462">
        <f>IF(AND(AT163=3,AK163="E",AV163&gt;=0.75,AW163=1),HealthBY,IF(AND(AT163=3,AK163="E",AV163&gt;=0.75),HealthBY*P163,IF(AND(AT163=3,AK163="E",AV163&gt;=0.5,AW163=1),PTHealthBY,IF(AND(AT163=3,AK163="E",AV163&gt;=0.5),PTHealthBY*P163,0))))</f>
        <v>0</v>
      </c>
      <c r="BP163" s="462">
        <f>IF(AND(AT163&lt;&gt;0,(AX163+BA163)&gt;=MAXSSDIBY),SSDIBY*MAXSSDIBY*P163,IF(AT163&lt;&gt;0,SSDIBY*W163,0))</f>
        <v>2902.8896</v>
      </c>
      <c r="BQ163" s="462">
        <f>IF(AT163&lt;&gt;0,SSHIBY*W163,0)</f>
        <v>678.90160000000003</v>
      </c>
      <c r="BR163" s="462">
        <f>IF(AND(AT163&lt;&gt;0,AN163&lt;&gt;"NE"),VLOOKUP(AN163,Retirement_Rates,4,FALSE)*W163,0)</f>
        <v>5590.4035200000008</v>
      </c>
      <c r="BS163" s="462">
        <f>IF(AND(AT163&lt;&gt;0,AJ163&lt;&gt;"PF"),LifeBY*W163,0)</f>
        <v>337.57796800000006</v>
      </c>
      <c r="BT163" s="462">
        <f>IF(AND(AT163&lt;&gt;0,AM163="Y"),UIBY*W163,0)</f>
        <v>0</v>
      </c>
      <c r="BU163" s="462">
        <f>IF(AND(AT163&lt;&gt;0,N163&lt;&gt;"NR"),DHRBY*W163,0)</f>
        <v>143.271648</v>
      </c>
      <c r="BV163" s="462">
        <f>IF(AT163&lt;&gt;0,WCBY*W163,0)</f>
        <v>1624.6817600000002</v>
      </c>
      <c r="BW163" s="462">
        <f>IF(OR(AND(AT163&lt;&gt;0,AJ163&lt;&gt;"PF",AN163&lt;&gt;"NE",AG163&lt;&gt;"A"),AND(AL163="E",OR(AT163=1,AT163=3))),SickBY*W163,0)</f>
        <v>0</v>
      </c>
      <c r="BX163" s="462">
        <f t="shared" si="41"/>
        <v>11277.726096</v>
      </c>
      <c r="BY163" s="462">
        <f t="shared" si="42"/>
        <v>0</v>
      </c>
      <c r="BZ163" s="462">
        <f t="shared" si="43"/>
        <v>0</v>
      </c>
      <c r="CA163" s="462">
        <f t="shared" si="44"/>
        <v>0</v>
      </c>
      <c r="CB163" s="462">
        <f t="shared" si="45"/>
        <v>0</v>
      </c>
      <c r="CC163" s="462">
        <f>IF(AT163&lt;&gt;0,SSHICHG*Y163,0)</f>
        <v>0</v>
      </c>
      <c r="CD163" s="462">
        <f>IF(AND(AT163&lt;&gt;0,AN163&lt;&gt;"NE"),VLOOKUP(AN163,Retirement_Rates,5,FALSE)*Y163,0)</f>
        <v>0</v>
      </c>
      <c r="CE163" s="462">
        <f>IF(AND(AT163&lt;&gt;0,AJ163&lt;&gt;"PF"),LifeCHG*Y163,0)</f>
        <v>0</v>
      </c>
      <c r="CF163" s="462">
        <f>IF(AND(AT163&lt;&gt;0,AM163="Y"),UICHG*Y163,0)</f>
        <v>-229.42192</v>
      </c>
      <c r="CG163" s="462">
        <f>IF(AND(AT163&lt;&gt;0,N163&lt;&gt;"NR"),DHRCHG*Y163,0)</f>
        <v>0</v>
      </c>
      <c r="CH163" s="462">
        <f>IF(AT163&lt;&gt;0,WCCHG*Y163,0)</f>
        <v>365.20224000000007</v>
      </c>
      <c r="CI163" s="462">
        <f>IF(OR(AND(AT163&lt;&gt;0,AJ163&lt;&gt;"PF",AN163&lt;&gt;"NE",AG163&lt;&gt;"A"),AND(AL163="E",OR(AT163=1,AT163=3))),SickCHG*Y163,0)</f>
        <v>0</v>
      </c>
      <c r="CJ163" s="462">
        <f t="shared" si="46"/>
        <v>135.78032000000007</v>
      </c>
      <c r="CK163" s="462" t="str">
        <f t="shared" si="47"/>
        <v/>
      </c>
      <c r="CL163" s="462" t="str">
        <f t="shared" si="48"/>
        <v/>
      </c>
      <c r="CM163" s="462" t="str">
        <f t="shared" si="49"/>
        <v/>
      </c>
      <c r="CN163" s="462" t="str">
        <f t="shared" si="50"/>
        <v>0243-00</v>
      </c>
    </row>
    <row r="164" spans="1:92" ht="15" thickBot="1" x14ac:dyDescent="0.35">
      <c r="A164" s="376" t="s">
        <v>161</v>
      </c>
      <c r="B164" s="376" t="s">
        <v>162</v>
      </c>
      <c r="C164" s="376" t="s">
        <v>664</v>
      </c>
      <c r="D164" s="376" t="s">
        <v>438</v>
      </c>
      <c r="E164" s="376" t="s">
        <v>273</v>
      </c>
      <c r="F164" s="377" t="s">
        <v>166</v>
      </c>
      <c r="G164" s="376" t="s">
        <v>432</v>
      </c>
      <c r="H164" s="378"/>
      <c r="I164" s="378"/>
      <c r="J164" s="376" t="s">
        <v>168</v>
      </c>
      <c r="K164" s="376" t="s">
        <v>439</v>
      </c>
      <c r="L164" s="376" t="s">
        <v>231</v>
      </c>
      <c r="M164" s="376" t="s">
        <v>171</v>
      </c>
      <c r="N164" s="376" t="s">
        <v>172</v>
      </c>
      <c r="O164" s="379">
        <v>1</v>
      </c>
      <c r="P164" s="460">
        <v>1</v>
      </c>
      <c r="Q164" s="460">
        <v>1</v>
      </c>
      <c r="R164" s="380">
        <v>80</v>
      </c>
      <c r="S164" s="460">
        <v>1</v>
      </c>
      <c r="T164" s="380">
        <v>42086.74</v>
      </c>
      <c r="U164" s="380">
        <v>0</v>
      </c>
      <c r="V164" s="380">
        <v>21372.880000000001</v>
      </c>
      <c r="W164" s="380">
        <v>40892.800000000003</v>
      </c>
      <c r="X164" s="380">
        <v>21381.23</v>
      </c>
      <c r="Y164" s="380">
        <v>40892.800000000003</v>
      </c>
      <c r="Z164" s="380">
        <v>21499.83</v>
      </c>
      <c r="AA164" s="376" t="s">
        <v>665</v>
      </c>
      <c r="AB164" s="376" t="s">
        <v>666</v>
      </c>
      <c r="AC164" s="376" t="s">
        <v>667</v>
      </c>
      <c r="AD164" s="376" t="s">
        <v>176</v>
      </c>
      <c r="AE164" s="376" t="s">
        <v>439</v>
      </c>
      <c r="AF164" s="376" t="s">
        <v>236</v>
      </c>
      <c r="AG164" s="376" t="s">
        <v>178</v>
      </c>
      <c r="AH164" s="381">
        <v>19.66</v>
      </c>
      <c r="AI164" s="381">
        <v>4097.7</v>
      </c>
      <c r="AJ164" s="376" t="s">
        <v>179</v>
      </c>
      <c r="AK164" s="376" t="s">
        <v>180</v>
      </c>
      <c r="AL164" s="376" t="s">
        <v>181</v>
      </c>
      <c r="AM164" s="376" t="s">
        <v>182</v>
      </c>
      <c r="AN164" s="376" t="s">
        <v>68</v>
      </c>
      <c r="AO164" s="379">
        <v>80</v>
      </c>
      <c r="AP164" s="460">
        <v>1</v>
      </c>
      <c r="AQ164" s="460">
        <v>1</v>
      </c>
      <c r="AR164" s="458" t="s">
        <v>183</v>
      </c>
      <c r="AS164" s="462">
        <f t="shared" si="34"/>
        <v>1</v>
      </c>
      <c r="AT164">
        <f t="shared" si="35"/>
        <v>1</v>
      </c>
      <c r="AU164" s="462">
        <f>IF(AT164=0,"",IF(AND(AT164=1,M164="F",SUMIF(C2:C391,C164,AS2:AS391)&lt;=1),SUMIF(C2:C391,C164,AS2:AS391),IF(AND(AT164=1,M164="F",SUMIF(C2:C391,C164,AS2:AS391)&gt;1),1,"")))</f>
        <v>1</v>
      </c>
      <c r="AV164" s="462" t="str">
        <f>IF(AT164=0,"",IF(AND(AT164=3,M164="F",SUMIF(C2:C391,C164,AS2:AS391)&lt;=1),SUMIF(C2:C391,C164,AS2:AS391),IF(AND(AT164=3,M164="F",SUMIF(C2:C391,C164,AS2:AS391)&gt;1),1,"")))</f>
        <v/>
      </c>
      <c r="AW164" s="462">
        <f>SUMIF(C2:C391,C164,O2:O391)</f>
        <v>1</v>
      </c>
      <c r="AX164" s="462">
        <f>IF(AND(M164="F",AS164&lt;&gt;0),SUMIF(C2:C391,C164,W2:W391),0)</f>
        <v>40892.800000000003</v>
      </c>
      <c r="AY164" s="462">
        <f t="shared" si="36"/>
        <v>40892.800000000003</v>
      </c>
      <c r="AZ164" s="462" t="str">
        <f t="shared" si="37"/>
        <v/>
      </c>
      <c r="BA164" s="462">
        <f t="shared" si="38"/>
        <v>0</v>
      </c>
      <c r="BB164" s="462">
        <f>IF(AND(AT164=1,AK164="E",AU164&gt;=0.75,AW164=1),Health,IF(AND(AT164=1,AK164="E",AU164&gt;=0.75),Health*P164,IF(AND(AT164=1,AK164="E",AU164&gt;=0.5,AW164=1),PTHealth,IF(AND(AT164=1,AK164="E",AU164&gt;=0.5),PTHealth*P164,0))))</f>
        <v>11650</v>
      </c>
      <c r="BC164" s="462">
        <f>IF(AND(AT164=3,AK164="E",AV164&gt;=0.75,AW164=1),Health,IF(AND(AT164=3,AK164="E",AV164&gt;=0.75),Health*P164,IF(AND(AT164=3,AK164="E",AV164&gt;=0.5,AW164=1),PTHealth,IF(AND(AT164=3,AK164="E",AV164&gt;=0.5),PTHealth*P164,0))))</f>
        <v>0</v>
      </c>
      <c r="BD164" s="462">
        <f>IF(AND(AT164&lt;&gt;0,AX164&gt;=MAXSSDI),SSDI*MAXSSDI*P164,IF(AT164&lt;&gt;0,SSDI*W164,0))</f>
        <v>2535.3536000000004</v>
      </c>
      <c r="BE164" s="462">
        <f>IF(AT164&lt;&gt;0,SSHI*W164,0)</f>
        <v>592.94560000000013</v>
      </c>
      <c r="BF164" s="462">
        <f>IF(AND(AT164&lt;&gt;0,AN164&lt;&gt;"NE"),VLOOKUP(AN164,Retirement_Rates,3,FALSE)*W164,0)</f>
        <v>4882.6003200000005</v>
      </c>
      <c r="BG164" s="462">
        <f>IF(AND(AT164&lt;&gt;0,AJ164&lt;&gt;"PF"),Life*W164,0)</f>
        <v>294.83708800000005</v>
      </c>
      <c r="BH164" s="462">
        <f>IF(AND(AT164&lt;&gt;0,AM164="Y"),UI*W164,0)</f>
        <v>200.37472</v>
      </c>
      <c r="BI164" s="462">
        <f>IF(AND(AT164&lt;&gt;0,N164&lt;&gt;"NR"),DHR*W164,0)</f>
        <v>125.131968</v>
      </c>
      <c r="BJ164" s="462">
        <f>IF(AT164&lt;&gt;0,WC*W164,0)</f>
        <v>1100.0163200000002</v>
      </c>
      <c r="BK164" s="462">
        <f>IF(OR(AND(AT164&lt;&gt;0,AJ164&lt;&gt;"PF",AN164&lt;&gt;"NE",AG164&lt;&gt;"A"),AND(AL164="E",OR(AT164=1,AT164=3))),Sick*W164,0)</f>
        <v>0</v>
      </c>
      <c r="BL164" s="462">
        <f t="shared" si="39"/>
        <v>9731.2596160000012</v>
      </c>
      <c r="BM164" s="462">
        <f t="shared" si="40"/>
        <v>0</v>
      </c>
      <c r="BN164" s="462">
        <f>IF(AND(AT164=1,AK164="E",AU164&gt;=0.75,AW164=1),HealthBY,IF(AND(AT164=1,AK164="E",AU164&gt;=0.75),HealthBY*P164,IF(AND(AT164=1,AK164="E",AU164&gt;=0.5,AW164=1),PTHealthBY,IF(AND(AT164=1,AK164="E",AU164&gt;=0.5),PTHealthBY*P164,0))))</f>
        <v>11650</v>
      </c>
      <c r="BO164" s="462">
        <f>IF(AND(AT164=3,AK164="E",AV164&gt;=0.75,AW164=1),HealthBY,IF(AND(AT164=3,AK164="E",AV164&gt;=0.75),HealthBY*P164,IF(AND(AT164=3,AK164="E",AV164&gt;=0.5,AW164=1),PTHealthBY,IF(AND(AT164=3,AK164="E",AV164&gt;=0.5),PTHealthBY*P164,0))))</f>
        <v>0</v>
      </c>
      <c r="BP164" s="462">
        <f>IF(AND(AT164&lt;&gt;0,(AX164+BA164)&gt;=MAXSSDIBY),SSDIBY*MAXSSDIBY*P164,IF(AT164&lt;&gt;0,SSDIBY*W164,0))</f>
        <v>2535.3536000000004</v>
      </c>
      <c r="BQ164" s="462">
        <f>IF(AT164&lt;&gt;0,SSHIBY*W164,0)</f>
        <v>592.94560000000013</v>
      </c>
      <c r="BR164" s="462">
        <f>IF(AND(AT164&lt;&gt;0,AN164&lt;&gt;"NE"),VLOOKUP(AN164,Retirement_Rates,4,FALSE)*W164,0)</f>
        <v>4882.6003200000005</v>
      </c>
      <c r="BS164" s="462">
        <f>IF(AND(AT164&lt;&gt;0,AJ164&lt;&gt;"PF"),LifeBY*W164,0)</f>
        <v>294.83708800000005</v>
      </c>
      <c r="BT164" s="462">
        <f>IF(AND(AT164&lt;&gt;0,AM164="Y"),UIBY*W164,0)</f>
        <v>0</v>
      </c>
      <c r="BU164" s="462">
        <f>IF(AND(AT164&lt;&gt;0,N164&lt;&gt;"NR"),DHRBY*W164,0)</f>
        <v>125.131968</v>
      </c>
      <c r="BV164" s="462">
        <f>IF(AT164&lt;&gt;0,WCBY*W164,0)</f>
        <v>1418.9801600000001</v>
      </c>
      <c r="BW164" s="462">
        <f>IF(OR(AND(AT164&lt;&gt;0,AJ164&lt;&gt;"PF",AN164&lt;&gt;"NE",AG164&lt;&gt;"A"),AND(AL164="E",OR(AT164=1,AT164=3))),SickBY*W164,0)</f>
        <v>0</v>
      </c>
      <c r="BX164" s="462">
        <f t="shared" si="41"/>
        <v>9849.8487359999999</v>
      </c>
      <c r="BY164" s="462">
        <f t="shared" si="42"/>
        <v>0</v>
      </c>
      <c r="BZ164" s="462">
        <f t="shared" si="43"/>
        <v>0</v>
      </c>
      <c r="CA164" s="462">
        <f t="shared" si="44"/>
        <v>0</v>
      </c>
      <c r="CB164" s="462">
        <f t="shared" si="45"/>
        <v>0</v>
      </c>
      <c r="CC164" s="462">
        <f>IF(AT164&lt;&gt;0,SSHICHG*Y164,0)</f>
        <v>0</v>
      </c>
      <c r="CD164" s="462">
        <f>IF(AND(AT164&lt;&gt;0,AN164&lt;&gt;"NE"),VLOOKUP(AN164,Retirement_Rates,5,FALSE)*Y164,0)</f>
        <v>0</v>
      </c>
      <c r="CE164" s="462">
        <f>IF(AND(AT164&lt;&gt;0,AJ164&lt;&gt;"PF"),LifeCHG*Y164,0)</f>
        <v>0</v>
      </c>
      <c r="CF164" s="462">
        <f>IF(AND(AT164&lt;&gt;0,AM164="Y"),UICHG*Y164,0)</f>
        <v>-200.37472</v>
      </c>
      <c r="CG164" s="462">
        <f>IF(AND(AT164&lt;&gt;0,N164&lt;&gt;"NR"),DHRCHG*Y164,0)</f>
        <v>0</v>
      </c>
      <c r="CH164" s="462">
        <f>IF(AT164&lt;&gt;0,WCCHG*Y164,0)</f>
        <v>318.96384000000006</v>
      </c>
      <c r="CI164" s="462">
        <f>IF(OR(AND(AT164&lt;&gt;0,AJ164&lt;&gt;"PF",AN164&lt;&gt;"NE",AG164&lt;&gt;"A"),AND(AL164="E",OR(AT164=1,AT164=3))),SickCHG*Y164,0)</f>
        <v>0</v>
      </c>
      <c r="CJ164" s="462">
        <f t="shared" si="46"/>
        <v>118.58912000000007</v>
      </c>
      <c r="CK164" s="462" t="str">
        <f t="shared" si="47"/>
        <v/>
      </c>
      <c r="CL164" s="462" t="str">
        <f t="shared" si="48"/>
        <v/>
      </c>
      <c r="CM164" s="462" t="str">
        <f t="shared" si="49"/>
        <v/>
      </c>
      <c r="CN164" s="462" t="str">
        <f t="shared" si="50"/>
        <v>0243-00</v>
      </c>
    </row>
    <row r="165" spans="1:92" ht="15" thickBot="1" x14ac:dyDescent="0.35">
      <c r="A165" s="376" t="s">
        <v>161</v>
      </c>
      <c r="B165" s="376" t="s">
        <v>162</v>
      </c>
      <c r="C165" s="376" t="s">
        <v>668</v>
      </c>
      <c r="D165" s="376" t="s">
        <v>438</v>
      </c>
      <c r="E165" s="376" t="s">
        <v>273</v>
      </c>
      <c r="F165" s="377" t="s">
        <v>166</v>
      </c>
      <c r="G165" s="376" t="s">
        <v>432</v>
      </c>
      <c r="H165" s="378"/>
      <c r="I165" s="378"/>
      <c r="J165" s="376" t="s">
        <v>193</v>
      </c>
      <c r="K165" s="376" t="s">
        <v>439</v>
      </c>
      <c r="L165" s="376" t="s">
        <v>231</v>
      </c>
      <c r="M165" s="376" t="s">
        <v>171</v>
      </c>
      <c r="N165" s="376" t="s">
        <v>172</v>
      </c>
      <c r="O165" s="379">
        <v>1</v>
      </c>
      <c r="P165" s="460">
        <v>0.5</v>
      </c>
      <c r="Q165" s="460">
        <v>0.5</v>
      </c>
      <c r="R165" s="380">
        <v>80</v>
      </c>
      <c r="S165" s="460">
        <v>0.5</v>
      </c>
      <c r="T165" s="380">
        <v>20923.14</v>
      </c>
      <c r="U165" s="380">
        <v>0</v>
      </c>
      <c r="V165" s="380">
        <v>10663.19</v>
      </c>
      <c r="W165" s="380">
        <v>20446.400000000001</v>
      </c>
      <c r="X165" s="380">
        <v>10690.61</v>
      </c>
      <c r="Y165" s="380">
        <v>20446.400000000001</v>
      </c>
      <c r="Z165" s="380">
        <v>10749.91</v>
      </c>
      <c r="AA165" s="376" t="s">
        <v>669</v>
      </c>
      <c r="AB165" s="376" t="s">
        <v>670</v>
      </c>
      <c r="AC165" s="376" t="s">
        <v>671</v>
      </c>
      <c r="AD165" s="376" t="s">
        <v>181</v>
      </c>
      <c r="AE165" s="376" t="s">
        <v>439</v>
      </c>
      <c r="AF165" s="376" t="s">
        <v>236</v>
      </c>
      <c r="AG165" s="376" t="s">
        <v>178</v>
      </c>
      <c r="AH165" s="381">
        <v>19.66</v>
      </c>
      <c r="AI165" s="381">
        <v>5223.5</v>
      </c>
      <c r="AJ165" s="376" t="s">
        <v>179</v>
      </c>
      <c r="AK165" s="376" t="s">
        <v>180</v>
      </c>
      <c r="AL165" s="376" t="s">
        <v>181</v>
      </c>
      <c r="AM165" s="376" t="s">
        <v>182</v>
      </c>
      <c r="AN165" s="376" t="s">
        <v>68</v>
      </c>
      <c r="AO165" s="379">
        <v>80</v>
      </c>
      <c r="AP165" s="460">
        <v>1</v>
      </c>
      <c r="AQ165" s="460">
        <v>0.5</v>
      </c>
      <c r="AR165" s="458" t="s">
        <v>183</v>
      </c>
      <c r="AS165" s="462">
        <f t="shared" si="34"/>
        <v>0.5</v>
      </c>
      <c r="AT165">
        <f t="shared" si="35"/>
        <v>1</v>
      </c>
      <c r="AU165" s="462">
        <f>IF(AT165=0,"",IF(AND(AT165=1,M165="F",SUMIF(C2:C391,C165,AS2:AS391)&lt;=1),SUMIF(C2:C391,C165,AS2:AS391),IF(AND(AT165=1,M165="F",SUMIF(C2:C391,C165,AS2:AS391)&gt;1),1,"")))</f>
        <v>1</v>
      </c>
      <c r="AV165" s="462" t="str">
        <f>IF(AT165=0,"",IF(AND(AT165=3,M165="F",SUMIF(C2:C391,C165,AS2:AS391)&lt;=1),SUMIF(C2:C391,C165,AS2:AS391),IF(AND(AT165=3,M165="F",SUMIF(C2:C391,C165,AS2:AS391)&gt;1),1,"")))</f>
        <v/>
      </c>
      <c r="AW165" s="462">
        <f>SUMIF(C2:C391,C165,O2:O391)</f>
        <v>2</v>
      </c>
      <c r="AX165" s="462">
        <f>IF(AND(M165="F",AS165&lt;&gt;0),SUMIF(C2:C391,C165,W2:W391),0)</f>
        <v>40892.800000000003</v>
      </c>
      <c r="AY165" s="462">
        <f t="shared" si="36"/>
        <v>20446.400000000001</v>
      </c>
      <c r="AZ165" s="462" t="str">
        <f t="shared" si="37"/>
        <v/>
      </c>
      <c r="BA165" s="462">
        <f t="shared" si="38"/>
        <v>0</v>
      </c>
      <c r="BB165" s="462">
        <f>IF(AND(AT165=1,AK165="E",AU165&gt;=0.75,AW165=1),Health,IF(AND(AT165=1,AK165="E",AU165&gt;=0.75),Health*P165,IF(AND(AT165=1,AK165="E",AU165&gt;=0.5,AW165=1),PTHealth,IF(AND(AT165=1,AK165="E",AU165&gt;=0.5),PTHealth*P165,0))))</f>
        <v>5825</v>
      </c>
      <c r="BC165" s="462">
        <f>IF(AND(AT165=3,AK165="E",AV165&gt;=0.75,AW165=1),Health,IF(AND(AT165=3,AK165="E",AV165&gt;=0.75),Health*P165,IF(AND(AT165=3,AK165="E",AV165&gt;=0.5,AW165=1),PTHealth,IF(AND(AT165=3,AK165="E",AV165&gt;=0.5),PTHealth*P165,0))))</f>
        <v>0</v>
      </c>
      <c r="BD165" s="462">
        <f>IF(AND(AT165&lt;&gt;0,AX165&gt;=MAXSSDI),SSDI*MAXSSDI*P165,IF(AT165&lt;&gt;0,SSDI*W165,0))</f>
        <v>1267.6768000000002</v>
      </c>
      <c r="BE165" s="462">
        <f>IF(AT165&lt;&gt;0,SSHI*W165,0)</f>
        <v>296.47280000000006</v>
      </c>
      <c r="BF165" s="462">
        <f>IF(AND(AT165&lt;&gt;0,AN165&lt;&gt;"NE"),VLOOKUP(AN165,Retirement_Rates,3,FALSE)*W165,0)</f>
        <v>2441.3001600000002</v>
      </c>
      <c r="BG165" s="462">
        <f>IF(AND(AT165&lt;&gt;0,AJ165&lt;&gt;"PF"),Life*W165,0)</f>
        <v>147.41854400000003</v>
      </c>
      <c r="BH165" s="462">
        <f>IF(AND(AT165&lt;&gt;0,AM165="Y"),UI*W165,0)</f>
        <v>100.18736</v>
      </c>
      <c r="BI165" s="462">
        <f>IF(AND(AT165&lt;&gt;0,N165&lt;&gt;"NR"),DHR*W165,0)</f>
        <v>62.565984</v>
      </c>
      <c r="BJ165" s="462">
        <f>IF(AT165&lt;&gt;0,WC*W165,0)</f>
        <v>550.00816000000009</v>
      </c>
      <c r="BK165" s="462">
        <f>IF(OR(AND(AT165&lt;&gt;0,AJ165&lt;&gt;"PF",AN165&lt;&gt;"NE",AG165&lt;&gt;"A"),AND(AL165="E",OR(AT165=1,AT165=3))),Sick*W165,0)</f>
        <v>0</v>
      </c>
      <c r="BL165" s="462">
        <f t="shared" si="39"/>
        <v>4865.6298080000006</v>
      </c>
      <c r="BM165" s="462">
        <f t="shared" si="40"/>
        <v>0</v>
      </c>
      <c r="BN165" s="462">
        <f>IF(AND(AT165=1,AK165="E",AU165&gt;=0.75,AW165=1),HealthBY,IF(AND(AT165=1,AK165="E",AU165&gt;=0.75),HealthBY*P165,IF(AND(AT165=1,AK165="E",AU165&gt;=0.5,AW165=1),PTHealthBY,IF(AND(AT165=1,AK165="E",AU165&gt;=0.5),PTHealthBY*P165,0))))</f>
        <v>5825</v>
      </c>
      <c r="BO165" s="462">
        <f>IF(AND(AT165=3,AK165="E",AV165&gt;=0.75,AW165=1),HealthBY,IF(AND(AT165=3,AK165="E",AV165&gt;=0.75),HealthBY*P165,IF(AND(AT165=3,AK165="E",AV165&gt;=0.5,AW165=1),PTHealthBY,IF(AND(AT165=3,AK165="E",AV165&gt;=0.5),PTHealthBY*P165,0))))</f>
        <v>0</v>
      </c>
      <c r="BP165" s="462">
        <f>IF(AND(AT165&lt;&gt;0,(AX165+BA165)&gt;=MAXSSDIBY),SSDIBY*MAXSSDIBY*P165,IF(AT165&lt;&gt;0,SSDIBY*W165,0))</f>
        <v>1267.6768000000002</v>
      </c>
      <c r="BQ165" s="462">
        <f>IF(AT165&lt;&gt;0,SSHIBY*W165,0)</f>
        <v>296.47280000000006</v>
      </c>
      <c r="BR165" s="462">
        <f>IF(AND(AT165&lt;&gt;0,AN165&lt;&gt;"NE"),VLOOKUP(AN165,Retirement_Rates,4,FALSE)*W165,0)</f>
        <v>2441.3001600000002</v>
      </c>
      <c r="BS165" s="462">
        <f>IF(AND(AT165&lt;&gt;0,AJ165&lt;&gt;"PF"),LifeBY*W165,0)</f>
        <v>147.41854400000003</v>
      </c>
      <c r="BT165" s="462">
        <f>IF(AND(AT165&lt;&gt;0,AM165="Y"),UIBY*W165,0)</f>
        <v>0</v>
      </c>
      <c r="BU165" s="462">
        <f>IF(AND(AT165&lt;&gt;0,N165&lt;&gt;"NR"),DHRBY*W165,0)</f>
        <v>62.565984</v>
      </c>
      <c r="BV165" s="462">
        <f>IF(AT165&lt;&gt;0,WCBY*W165,0)</f>
        <v>709.49008000000003</v>
      </c>
      <c r="BW165" s="462">
        <f>IF(OR(AND(AT165&lt;&gt;0,AJ165&lt;&gt;"PF",AN165&lt;&gt;"NE",AG165&lt;&gt;"A"),AND(AL165="E",OR(AT165=1,AT165=3))),SickBY*W165,0)</f>
        <v>0</v>
      </c>
      <c r="BX165" s="462">
        <f t="shared" si="41"/>
        <v>4924.924368</v>
      </c>
      <c r="BY165" s="462">
        <f t="shared" si="42"/>
        <v>0</v>
      </c>
      <c r="BZ165" s="462">
        <f t="shared" si="43"/>
        <v>0</v>
      </c>
      <c r="CA165" s="462">
        <f t="shared" si="44"/>
        <v>0</v>
      </c>
      <c r="CB165" s="462">
        <f t="shared" si="45"/>
        <v>0</v>
      </c>
      <c r="CC165" s="462">
        <f>IF(AT165&lt;&gt;0,SSHICHG*Y165,0)</f>
        <v>0</v>
      </c>
      <c r="CD165" s="462">
        <f>IF(AND(AT165&lt;&gt;0,AN165&lt;&gt;"NE"),VLOOKUP(AN165,Retirement_Rates,5,FALSE)*Y165,0)</f>
        <v>0</v>
      </c>
      <c r="CE165" s="462">
        <f>IF(AND(AT165&lt;&gt;0,AJ165&lt;&gt;"PF"),LifeCHG*Y165,0)</f>
        <v>0</v>
      </c>
      <c r="CF165" s="462">
        <f>IF(AND(AT165&lt;&gt;0,AM165="Y"),UICHG*Y165,0)</f>
        <v>-100.18736</v>
      </c>
      <c r="CG165" s="462">
        <f>IF(AND(AT165&lt;&gt;0,N165&lt;&gt;"NR"),DHRCHG*Y165,0)</f>
        <v>0</v>
      </c>
      <c r="CH165" s="462">
        <f>IF(AT165&lt;&gt;0,WCCHG*Y165,0)</f>
        <v>159.48192000000003</v>
      </c>
      <c r="CI165" s="462">
        <f>IF(OR(AND(AT165&lt;&gt;0,AJ165&lt;&gt;"PF",AN165&lt;&gt;"NE",AG165&lt;&gt;"A"),AND(AL165="E",OR(AT165=1,AT165=3))),SickCHG*Y165,0)</f>
        <v>0</v>
      </c>
      <c r="CJ165" s="462">
        <f t="shared" si="46"/>
        <v>59.294560000000033</v>
      </c>
      <c r="CK165" s="462" t="str">
        <f t="shared" si="47"/>
        <v/>
      </c>
      <c r="CL165" s="462" t="str">
        <f t="shared" si="48"/>
        <v/>
      </c>
      <c r="CM165" s="462" t="str">
        <f t="shared" si="49"/>
        <v/>
      </c>
      <c r="CN165" s="462" t="str">
        <f t="shared" si="50"/>
        <v>0243-00</v>
      </c>
    </row>
    <row r="166" spans="1:92" ht="15" thickBot="1" x14ac:dyDescent="0.35">
      <c r="A166" s="376" t="s">
        <v>161</v>
      </c>
      <c r="B166" s="376" t="s">
        <v>162</v>
      </c>
      <c r="C166" s="376" t="s">
        <v>672</v>
      </c>
      <c r="D166" s="376" t="s">
        <v>221</v>
      </c>
      <c r="E166" s="376" t="s">
        <v>273</v>
      </c>
      <c r="F166" s="377" t="s">
        <v>166</v>
      </c>
      <c r="G166" s="376" t="s">
        <v>432</v>
      </c>
      <c r="H166" s="378"/>
      <c r="I166" s="378"/>
      <c r="J166" s="376" t="s">
        <v>168</v>
      </c>
      <c r="K166" s="376" t="s">
        <v>222</v>
      </c>
      <c r="L166" s="376" t="s">
        <v>166</v>
      </c>
      <c r="M166" s="376" t="s">
        <v>171</v>
      </c>
      <c r="N166" s="376" t="s">
        <v>223</v>
      </c>
      <c r="O166" s="379">
        <v>0</v>
      </c>
      <c r="P166" s="460">
        <v>1</v>
      </c>
      <c r="Q166" s="460">
        <v>0</v>
      </c>
      <c r="R166" s="380">
        <v>0</v>
      </c>
      <c r="S166" s="460">
        <v>0</v>
      </c>
      <c r="T166" s="380">
        <v>90109.4</v>
      </c>
      <c r="U166" s="380">
        <v>3504</v>
      </c>
      <c r="V166" s="380">
        <v>13943.64</v>
      </c>
      <c r="W166" s="380">
        <v>108613.4</v>
      </c>
      <c r="X166" s="380">
        <v>13943.64</v>
      </c>
      <c r="Y166" s="380">
        <v>108613.4</v>
      </c>
      <c r="Z166" s="380">
        <v>13943.64</v>
      </c>
      <c r="AA166" s="378"/>
      <c r="AB166" s="376" t="s">
        <v>45</v>
      </c>
      <c r="AC166" s="376" t="s">
        <v>45</v>
      </c>
      <c r="AD166" s="378"/>
      <c r="AE166" s="378"/>
      <c r="AF166" s="378"/>
      <c r="AG166" s="378"/>
      <c r="AH166" s="379">
        <v>0</v>
      </c>
      <c r="AI166" s="379">
        <v>0</v>
      </c>
      <c r="AJ166" s="378"/>
      <c r="AK166" s="378"/>
      <c r="AL166" s="376" t="s">
        <v>181</v>
      </c>
      <c r="AM166" s="378"/>
      <c r="AN166" s="378"/>
      <c r="AO166" s="379">
        <v>0</v>
      </c>
      <c r="AP166" s="460">
        <v>0</v>
      </c>
      <c r="AQ166" s="460">
        <v>0</v>
      </c>
      <c r="AR166" s="459"/>
      <c r="AS166" s="462">
        <f t="shared" si="34"/>
        <v>0</v>
      </c>
      <c r="AT166">
        <f t="shared" si="35"/>
        <v>0</v>
      </c>
      <c r="AU166" s="462" t="str">
        <f>IF(AT166=0,"",IF(AND(AT166=1,M166="F",SUMIF(C2:C391,C166,AS2:AS391)&lt;=1),SUMIF(C2:C391,C166,AS2:AS391),IF(AND(AT166=1,M166="F",SUMIF(C2:C391,C166,AS2:AS391)&gt;1),1,"")))</f>
        <v/>
      </c>
      <c r="AV166" s="462" t="str">
        <f>IF(AT166=0,"",IF(AND(AT166=3,M166="F",SUMIF(C2:C391,C166,AS2:AS391)&lt;=1),SUMIF(C2:C391,C166,AS2:AS391),IF(AND(AT166=3,M166="F",SUMIF(C2:C391,C166,AS2:AS391)&gt;1),1,"")))</f>
        <v/>
      </c>
      <c r="AW166" s="462">
        <f>SUMIF(C2:C391,C166,O2:O391)</f>
        <v>0</v>
      </c>
      <c r="AX166" s="462">
        <f>IF(AND(M166="F",AS166&lt;&gt;0),SUMIF(C2:C391,C166,W2:W391),0)</f>
        <v>0</v>
      </c>
      <c r="AY166" s="462" t="str">
        <f t="shared" si="36"/>
        <v/>
      </c>
      <c r="AZ166" s="462" t="str">
        <f t="shared" si="37"/>
        <v/>
      </c>
      <c r="BA166" s="462">
        <f t="shared" si="38"/>
        <v>0</v>
      </c>
      <c r="BB166" s="462">
        <f>IF(AND(AT166=1,AK166="E",AU166&gt;=0.75,AW166=1),Health,IF(AND(AT166=1,AK166="E",AU166&gt;=0.75),Health*P166,IF(AND(AT166=1,AK166="E",AU166&gt;=0.5,AW166=1),PTHealth,IF(AND(AT166=1,AK166="E",AU166&gt;=0.5),PTHealth*P166,0))))</f>
        <v>0</v>
      </c>
      <c r="BC166" s="462">
        <f>IF(AND(AT166=3,AK166="E",AV166&gt;=0.75,AW166=1),Health,IF(AND(AT166=3,AK166="E",AV166&gt;=0.75),Health*P166,IF(AND(AT166=3,AK166="E",AV166&gt;=0.5,AW166=1),PTHealth,IF(AND(AT166=3,AK166="E",AV166&gt;=0.5),PTHealth*P166,0))))</f>
        <v>0</v>
      </c>
      <c r="BD166" s="462">
        <f>IF(AND(AT166&lt;&gt;0,AX166&gt;=MAXSSDI),SSDI*MAXSSDI*P166,IF(AT166&lt;&gt;0,SSDI*W166,0))</f>
        <v>0</v>
      </c>
      <c r="BE166" s="462">
        <f>IF(AT166&lt;&gt;0,SSHI*W166,0)</f>
        <v>0</v>
      </c>
      <c r="BF166" s="462">
        <f>IF(AND(AT166&lt;&gt;0,AN166&lt;&gt;"NE"),VLOOKUP(AN166,Retirement_Rates,3,FALSE)*W166,0)</f>
        <v>0</v>
      </c>
      <c r="BG166" s="462">
        <f>IF(AND(AT166&lt;&gt;0,AJ166&lt;&gt;"PF"),Life*W166,0)</f>
        <v>0</v>
      </c>
      <c r="BH166" s="462">
        <f>IF(AND(AT166&lt;&gt;0,AM166="Y"),UI*W166,0)</f>
        <v>0</v>
      </c>
      <c r="BI166" s="462">
        <f>IF(AND(AT166&lt;&gt;0,N166&lt;&gt;"NR"),DHR*W166,0)</f>
        <v>0</v>
      </c>
      <c r="BJ166" s="462">
        <f>IF(AT166&lt;&gt;0,WC*W166,0)</f>
        <v>0</v>
      </c>
      <c r="BK166" s="462">
        <f>IF(OR(AND(AT166&lt;&gt;0,AJ166&lt;&gt;"PF",AN166&lt;&gt;"NE",AG166&lt;&gt;"A"),AND(AL166="E",OR(AT166=1,AT166=3))),Sick*W166,0)</f>
        <v>0</v>
      </c>
      <c r="BL166" s="462">
        <f t="shared" si="39"/>
        <v>0</v>
      </c>
      <c r="BM166" s="462">
        <f t="shared" si="40"/>
        <v>0</v>
      </c>
      <c r="BN166" s="462">
        <f>IF(AND(AT166=1,AK166="E",AU166&gt;=0.75,AW166=1),HealthBY,IF(AND(AT166=1,AK166="E",AU166&gt;=0.75),HealthBY*P166,IF(AND(AT166=1,AK166="E",AU166&gt;=0.5,AW166=1),PTHealthBY,IF(AND(AT166=1,AK166="E",AU166&gt;=0.5),PTHealthBY*P166,0))))</f>
        <v>0</v>
      </c>
      <c r="BO166" s="462">
        <f>IF(AND(AT166=3,AK166="E",AV166&gt;=0.75,AW166=1),HealthBY,IF(AND(AT166=3,AK166="E",AV166&gt;=0.75),HealthBY*P166,IF(AND(AT166=3,AK166="E",AV166&gt;=0.5,AW166=1),PTHealthBY,IF(AND(AT166=3,AK166="E",AV166&gt;=0.5),PTHealthBY*P166,0))))</f>
        <v>0</v>
      </c>
      <c r="BP166" s="462">
        <f>IF(AND(AT166&lt;&gt;0,(AX166+BA166)&gt;=MAXSSDIBY),SSDIBY*MAXSSDIBY*P166,IF(AT166&lt;&gt;0,SSDIBY*W166,0))</f>
        <v>0</v>
      </c>
      <c r="BQ166" s="462">
        <f>IF(AT166&lt;&gt;0,SSHIBY*W166,0)</f>
        <v>0</v>
      </c>
      <c r="BR166" s="462">
        <f>IF(AND(AT166&lt;&gt;0,AN166&lt;&gt;"NE"),VLOOKUP(AN166,Retirement_Rates,4,FALSE)*W166,0)</f>
        <v>0</v>
      </c>
      <c r="BS166" s="462">
        <f>IF(AND(AT166&lt;&gt;0,AJ166&lt;&gt;"PF"),LifeBY*W166,0)</f>
        <v>0</v>
      </c>
      <c r="BT166" s="462">
        <f>IF(AND(AT166&lt;&gt;0,AM166="Y"),UIBY*W166,0)</f>
        <v>0</v>
      </c>
      <c r="BU166" s="462">
        <f>IF(AND(AT166&lt;&gt;0,N166&lt;&gt;"NR"),DHRBY*W166,0)</f>
        <v>0</v>
      </c>
      <c r="BV166" s="462">
        <f>IF(AT166&lt;&gt;0,WCBY*W166,0)</f>
        <v>0</v>
      </c>
      <c r="BW166" s="462">
        <f>IF(OR(AND(AT166&lt;&gt;0,AJ166&lt;&gt;"PF",AN166&lt;&gt;"NE",AG166&lt;&gt;"A"),AND(AL166="E",OR(AT166=1,AT166=3))),SickBY*W166,0)</f>
        <v>0</v>
      </c>
      <c r="BX166" s="462">
        <f t="shared" si="41"/>
        <v>0</v>
      </c>
      <c r="BY166" s="462">
        <f t="shared" si="42"/>
        <v>0</v>
      </c>
      <c r="BZ166" s="462">
        <f t="shared" si="43"/>
        <v>0</v>
      </c>
      <c r="CA166" s="462">
        <f t="shared" si="44"/>
        <v>0</v>
      </c>
      <c r="CB166" s="462">
        <f t="shared" si="45"/>
        <v>0</v>
      </c>
      <c r="CC166" s="462">
        <f>IF(AT166&lt;&gt;0,SSHICHG*Y166,0)</f>
        <v>0</v>
      </c>
      <c r="CD166" s="462">
        <f>IF(AND(AT166&lt;&gt;0,AN166&lt;&gt;"NE"),VLOOKUP(AN166,Retirement_Rates,5,FALSE)*Y166,0)</f>
        <v>0</v>
      </c>
      <c r="CE166" s="462">
        <f>IF(AND(AT166&lt;&gt;0,AJ166&lt;&gt;"PF"),LifeCHG*Y166,0)</f>
        <v>0</v>
      </c>
      <c r="CF166" s="462">
        <f>IF(AND(AT166&lt;&gt;0,AM166="Y"),UICHG*Y166,0)</f>
        <v>0</v>
      </c>
      <c r="CG166" s="462">
        <f>IF(AND(AT166&lt;&gt;0,N166&lt;&gt;"NR"),DHRCHG*Y166,0)</f>
        <v>0</v>
      </c>
      <c r="CH166" s="462">
        <f>IF(AT166&lt;&gt;0,WCCHG*Y166,0)</f>
        <v>0</v>
      </c>
      <c r="CI166" s="462">
        <f>IF(OR(AND(AT166&lt;&gt;0,AJ166&lt;&gt;"PF",AN166&lt;&gt;"NE",AG166&lt;&gt;"A"),AND(AL166="E",OR(AT166=1,AT166=3))),SickCHG*Y166,0)</f>
        <v>0</v>
      </c>
      <c r="CJ166" s="462">
        <f t="shared" si="46"/>
        <v>0</v>
      </c>
      <c r="CK166" s="462" t="str">
        <f t="shared" si="47"/>
        <v/>
      </c>
      <c r="CL166" s="462">
        <f t="shared" si="48"/>
        <v>93613.4</v>
      </c>
      <c r="CM166" s="462">
        <f t="shared" si="49"/>
        <v>13943.64</v>
      </c>
      <c r="CN166" s="462" t="str">
        <f t="shared" si="50"/>
        <v>0243-00</v>
      </c>
    </row>
    <row r="167" spans="1:92" ht="15" thickBot="1" x14ac:dyDescent="0.35">
      <c r="A167" s="376" t="s">
        <v>161</v>
      </c>
      <c r="B167" s="376" t="s">
        <v>162</v>
      </c>
      <c r="C167" s="376" t="s">
        <v>673</v>
      </c>
      <c r="D167" s="376" t="s">
        <v>453</v>
      </c>
      <c r="E167" s="376" t="s">
        <v>273</v>
      </c>
      <c r="F167" s="377" t="s">
        <v>166</v>
      </c>
      <c r="G167" s="376" t="s">
        <v>432</v>
      </c>
      <c r="H167" s="378"/>
      <c r="I167" s="378"/>
      <c r="J167" s="376" t="s">
        <v>229</v>
      </c>
      <c r="K167" s="376" t="s">
        <v>454</v>
      </c>
      <c r="L167" s="376" t="s">
        <v>170</v>
      </c>
      <c r="M167" s="376" t="s">
        <v>171</v>
      </c>
      <c r="N167" s="376" t="s">
        <v>172</v>
      </c>
      <c r="O167" s="379">
        <v>1</v>
      </c>
      <c r="P167" s="460">
        <v>0.4</v>
      </c>
      <c r="Q167" s="460">
        <v>0.4</v>
      </c>
      <c r="R167" s="380">
        <v>80</v>
      </c>
      <c r="S167" s="460">
        <v>0.4</v>
      </c>
      <c r="T167" s="380">
        <v>22369.95</v>
      </c>
      <c r="U167" s="380">
        <v>0</v>
      </c>
      <c r="V167" s="380">
        <v>8297.74</v>
      </c>
      <c r="W167" s="380">
        <v>23712</v>
      </c>
      <c r="X167" s="380">
        <v>10302.73</v>
      </c>
      <c r="Y167" s="380">
        <v>23712</v>
      </c>
      <c r="Z167" s="380">
        <v>10371.5</v>
      </c>
      <c r="AA167" s="376" t="s">
        <v>674</v>
      </c>
      <c r="AB167" s="376" t="s">
        <v>590</v>
      </c>
      <c r="AC167" s="376" t="s">
        <v>675</v>
      </c>
      <c r="AD167" s="376" t="s">
        <v>324</v>
      </c>
      <c r="AE167" s="376" t="s">
        <v>454</v>
      </c>
      <c r="AF167" s="376" t="s">
        <v>177</v>
      </c>
      <c r="AG167" s="376" t="s">
        <v>178</v>
      </c>
      <c r="AH167" s="381">
        <v>28.5</v>
      </c>
      <c r="AI167" s="381">
        <v>22185.5</v>
      </c>
      <c r="AJ167" s="376" t="s">
        <v>179</v>
      </c>
      <c r="AK167" s="376" t="s">
        <v>180</v>
      </c>
      <c r="AL167" s="376" t="s">
        <v>181</v>
      </c>
      <c r="AM167" s="376" t="s">
        <v>182</v>
      </c>
      <c r="AN167" s="376" t="s">
        <v>68</v>
      </c>
      <c r="AO167" s="379">
        <v>80</v>
      </c>
      <c r="AP167" s="460">
        <v>1</v>
      </c>
      <c r="AQ167" s="460">
        <v>0.4</v>
      </c>
      <c r="AR167" s="458" t="s">
        <v>183</v>
      </c>
      <c r="AS167" s="462">
        <f t="shared" si="34"/>
        <v>0.4</v>
      </c>
      <c r="AT167">
        <f t="shared" si="35"/>
        <v>1</v>
      </c>
      <c r="AU167" s="462">
        <f>IF(AT167=0,"",IF(AND(AT167=1,M167="F",SUMIF(C2:C391,C167,AS2:AS391)&lt;=1),SUMIF(C2:C391,C167,AS2:AS391),IF(AND(AT167=1,M167="F",SUMIF(C2:C391,C167,AS2:AS391)&gt;1),1,"")))</f>
        <v>1</v>
      </c>
      <c r="AV167" s="462" t="str">
        <f>IF(AT167=0,"",IF(AND(AT167=3,M167="F",SUMIF(C2:C391,C167,AS2:AS391)&lt;=1),SUMIF(C2:C391,C167,AS2:AS391),IF(AND(AT167=3,M167="F",SUMIF(C2:C391,C167,AS2:AS391)&gt;1),1,"")))</f>
        <v/>
      </c>
      <c r="AW167" s="462">
        <f>SUMIF(C2:C391,C167,O2:O391)</f>
        <v>3</v>
      </c>
      <c r="AX167" s="462">
        <f>IF(AND(M167="F",AS167&lt;&gt;0),SUMIF(C2:C391,C167,W2:W391),0)</f>
        <v>59280</v>
      </c>
      <c r="AY167" s="462">
        <f t="shared" si="36"/>
        <v>23712</v>
      </c>
      <c r="AZ167" s="462" t="str">
        <f t="shared" si="37"/>
        <v/>
      </c>
      <c r="BA167" s="462">
        <f t="shared" si="38"/>
        <v>0</v>
      </c>
      <c r="BB167" s="462">
        <f>IF(AND(AT167=1,AK167="E",AU167&gt;=0.75,AW167=1),Health,IF(AND(AT167=1,AK167="E",AU167&gt;=0.75),Health*P167,IF(AND(AT167=1,AK167="E",AU167&gt;=0.5,AW167=1),PTHealth,IF(AND(AT167=1,AK167="E",AU167&gt;=0.5),PTHealth*P167,0))))</f>
        <v>4660</v>
      </c>
      <c r="BC167" s="462">
        <f>IF(AND(AT167=3,AK167="E",AV167&gt;=0.75,AW167=1),Health,IF(AND(AT167=3,AK167="E",AV167&gt;=0.75),Health*P167,IF(AND(AT167=3,AK167="E",AV167&gt;=0.5,AW167=1),PTHealth,IF(AND(AT167=3,AK167="E",AV167&gt;=0.5),PTHealth*P167,0))))</f>
        <v>0</v>
      </c>
      <c r="BD167" s="462">
        <f>IF(AND(AT167&lt;&gt;0,AX167&gt;=MAXSSDI),SSDI*MAXSSDI*P167,IF(AT167&lt;&gt;0,SSDI*W167,0))</f>
        <v>1470.144</v>
      </c>
      <c r="BE167" s="462">
        <f>IF(AT167&lt;&gt;0,SSHI*W167,0)</f>
        <v>343.82400000000001</v>
      </c>
      <c r="BF167" s="462">
        <f>IF(AND(AT167&lt;&gt;0,AN167&lt;&gt;"NE"),VLOOKUP(AN167,Retirement_Rates,3,FALSE)*W167,0)</f>
        <v>2831.2128000000002</v>
      </c>
      <c r="BG167" s="462">
        <f>IF(AND(AT167&lt;&gt;0,AJ167&lt;&gt;"PF"),Life*W167,0)</f>
        <v>170.96352000000002</v>
      </c>
      <c r="BH167" s="462">
        <f>IF(AND(AT167&lt;&gt;0,AM167="Y"),UI*W167,0)</f>
        <v>116.1888</v>
      </c>
      <c r="BI167" s="462">
        <f>IF(AND(AT167&lt;&gt;0,N167&lt;&gt;"NR"),DHR*W167,0)</f>
        <v>72.558719999999994</v>
      </c>
      <c r="BJ167" s="462">
        <f>IF(AT167&lt;&gt;0,WC*W167,0)</f>
        <v>637.8528</v>
      </c>
      <c r="BK167" s="462">
        <f>IF(OR(AND(AT167&lt;&gt;0,AJ167&lt;&gt;"PF",AN167&lt;&gt;"NE",AG167&lt;&gt;"A"),AND(AL167="E",OR(AT167=1,AT167=3))),Sick*W167,0)</f>
        <v>0</v>
      </c>
      <c r="BL167" s="462">
        <f t="shared" si="39"/>
        <v>5642.7446399999999</v>
      </c>
      <c r="BM167" s="462">
        <f t="shared" si="40"/>
        <v>0</v>
      </c>
      <c r="BN167" s="462">
        <f>IF(AND(AT167=1,AK167="E",AU167&gt;=0.75,AW167=1),HealthBY,IF(AND(AT167=1,AK167="E",AU167&gt;=0.75),HealthBY*P167,IF(AND(AT167=1,AK167="E",AU167&gt;=0.5,AW167=1),PTHealthBY,IF(AND(AT167=1,AK167="E",AU167&gt;=0.5),PTHealthBY*P167,0))))</f>
        <v>4660</v>
      </c>
      <c r="BO167" s="462">
        <f>IF(AND(AT167=3,AK167="E",AV167&gt;=0.75,AW167=1),HealthBY,IF(AND(AT167=3,AK167="E",AV167&gt;=0.75),HealthBY*P167,IF(AND(AT167=3,AK167="E",AV167&gt;=0.5,AW167=1),PTHealthBY,IF(AND(AT167=3,AK167="E",AV167&gt;=0.5),PTHealthBY*P167,0))))</f>
        <v>0</v>
      </c>
      <c r="BP167" s="462">
        <f>IF(AND(AT167&lt;&gt;0,(AX167+BA167)&gt;=MAXSSDIBY),SSDIBY*MAXSSDIBY*P167,IF(AT167&lt;&gt;0,SSDIBY*W167,0))</f>
        <v>1470.144</v>
      </c>
      <c r="BQ167" s="462">
        <f>IF(AT167&lt;&gt;0,SSHIBY*W167,0)</f>
        <v>343.82400000000001</v>
      </c>
      <c r="BR167" s="462">
        <f>IF(AND(AT167&lt;&gt;0,AN167&lt;&gt;"NE"),VLOOKUP(AN167,Retirement_Rates,4,FALSE)*W167,0)</f>
        <v>2831.2128000000002</v>
      </c>
      <c r="BS167" s="462">
        <f>IF(AND(AT167&lt;&gt;0,AJ167&lt;&gt;"PF"),LifeBY*W167,0)</f>
        <v>170.96352000000002</v>
      </c>
      <c r="BT167" s="462">
        <f>IF(AND(AT167&lt;&gt;0,AM167="Y"),UIBY*W167,0)</f>
        <v>0</v>
      </c>
      <c r="BU167" s="462">
        <f>IF(AND(AT167&lt;&gt;0,N167&lt;&gt;"NR"),DHRBY*W167,0)</f>
        <v>72.558719999999994</v>
      </c>
      <c r="BV167" s="462">
        <f>IF(AT167&lt;&gt;0,WCBY*W167,0)</f>
        <v>822.80640000000005</v>
      </c>
      <c r="BW167" s="462">
        <f>IF(OR(AND(AT167&lt;&gt;0,AJ167&lt;&gt;"PF",AN167&lt;&gt;"NE",AG167&lt;&gt;"A"),AND(AL167="E",OR(AT167=1,AT167=3))),SickBY*W167,0)</f>
        <v>0</v>
      </c>
      <c r="BX167" s="462">
        <f t="shared" si="41"/>
        <v>5711.5094400000007</v>
      </c>
      <c r="BY167" s="462">
        <f t="shared" si="42"/>
        <v>0</v>
      </c>
      <c r="BZ167" s="462">
        <f t="shared" si="43"/>
        <v>0</v>
      </c>
      <c r="CA167" s="462">
        <f t="shared" si="44"/>
        <v>0</v>
      </c>
      <c r="CB167" s="462">
        <f t="shared" si="45"/>
        <v>0</v>
      </c>
      <c r="CC167" s="462">
        <f>IF(AT167&lt;&gt;0,SSHICHG*Y167,0)</f>
        <v>0</v>
      </c>
      <c r="CD167" s="462">
        <f>IF(AND(AT167&lt;&gt;0,AN167&lt;&gt;"NE"),VLOOKUP(AN167,Retirement_Rates,5,FALSE)*Y167,0)</f>
        <v>0</v>
      </c>
      <c r="CE167" s="462">
        <f>IF(AND(AT167&lt;&gt;0,AJ167&lt;&gt;"PF"),LifeCHG*Y167,0)</f>
        <v>0</v>
      </c>
      <c r="CF167" s="462">
        <f>IF(AND(AT167&lt;&gt;0,AM167="Y"),UICHG*Y167,0)</f>
        <v>-116.1888</v>
      </c>
      <c r="CG167" s="462">
        <f>IF(AND(AT167&lt;&gt;0,N167&lt;&gt;"NR"),DHRCHG*Y167,0)</f>
        <v>0</v>
      </c>
      <c r="CH167" s="462">
        <f>IF(AT167&lt;&gt;0,WCCHG*Y167,0)</f>
        <v>184.95360000000002</v>
      </c>
      <c r="CI167" s="462">
        <f>IF(OR(AND(AT167&lt;&gt;0,AJ167&lt;&gt;"PF",AN167&lt;&gt;"NE",AG167&lt;&gt;"A"),AND(AL167="E",OR(AT167=1,AT167=3))),SickCHG*Y167,0)</f>
        <v>0</v>
      </c>
      <c r="CJ167" s="462">
        <f t="shared" si="46"/>
        <v>68.764800000000022</v>
      </c>
      <c r="CK167" s="462" t="str">
        <f t="shared" si="47"/>
        <v/>
      </c>
      <c r="CL167" s="462" t="str">
        <f t="shared" si="48"/>
        <v/>
      </c>
      <c r="CM167" s="462" t="str">
        <f t="shared" si="49"/>
        <v/>
      </c>
      <c r="CN167" s="462" t="str">
        <f t="shared" si="50"/>
        <v>0243-00</v>
      </c>
    </row>
    <row r="168" spans="1:92" ht="15" thickBot="1" x14ac:dyDescent="0.35">
      <c r="A168" s="376" t="s">
        <v>161</v>
      </c>
      <c r="B168" s="376" t="s">
        <v>162</v>
      </c>
      <c r="C168" s="376" t="s">
        <v>676</v>
      </c>
      <c r="D168" s="376" t="s">
        <v>221</v>
      </c>
      <c r="E168" s="376" t="s">
        <v>273</v>
      </c>
      <c r="F168" s="377" t="s">
        <v>166</v>
      </c>
      <c r="G168" s="376" t="s">
        <v>432</v>
      </c>
      <c r="H168" s="378"/>
      <c r="I168" s="378"/>
      <c r="J168" s="376" t="s">
        <v>168</v>
      </c>
      <c r="K168" s="376" t="s">
        <v>222</v>
      </c>
      <c r="L168" s="376" t="s">
        <v>166</v>
      </c>
      <c r="M168" s="376" t="s">
        <v>171</v>
      </c>
      <c r="N168" s="376" t="s">
        <v>223</v>
      </c>
      <c r="O168" s="379">
        <v>0</v>
      </c>
      <c r="P168" s="460">
        <v>1</v>
      </c>
      <c r="Q168" s="460">
        <v>0</v>
      </c>
      <c r="R168" s="380">
        <v>0</v>
      </c>
      <c r="S168" s="460">
        <v>0</v>
      </c>
      <c r="T168" s="380">
        <v>2280</v>
      </c>
      <c r="U168" s="380">
        <v>0</v>
      </c>
      <c r="V168" s="380">
        <v>1874.5</v>
      </c>
      <c r="W168" s="380">
        <v>6200</v>
      </c>
      <c r="X168" s="380">
        <v>4666.8100000000004</v>
      </c>
      <c r="Y168" s="380">
        <v>6200</v>
      </c>
      <c r="Z168" s="380">
        <v>4666.8100000000004</v>
      </c>
      <c r="AA168" s="378"/>
      <c r="AB168" s="376" t="s">
        <v>45</v>
      </c>
      <c r="AC168" s="376" t="s">
        <v>45</v>
      </c>
      <c r="AD168" s="378"/>
      <c r="AE168" s="378"/>
      <c r="AF168" s="378"/>
      <c r="AG168" s="378"/>
      <c r="AH168" s="379">
        <v>0</v>
      </c>
      <c r="AI168" s="379">
        <v>0</v>
      </c>
      <c r="AJ168" s="378"/>
      <c r="AK168" s="378"/>
      <c r="AL168" s="376" t="s">
        <v>181</v>
      </c>
      <c r="AM168" s="378"/>
      <c r="AN168" s="378"/>
      <c r="AO168" s="379">
        <v>0</v>
      </c>
      <c r="AP168" s="460">
        <v>0</v>
      </c>
      <c r="AQ168" s="460">
        <v>0</v>
      </c>
      <c r="AR168" s="459"/>
      <c r="AS168" s="462">
        <f t="shared" si="34"/>
        <v>0</v>
      </c>
      <c r="AT168">
        <f t="shared" si="35"/>
        <v>0</v>
      </c>
      <c r="AU168" s="462" t="str">
        <f>IF(AT168=0,"",IF(AND(AT168=1,M168="F",SUMIF(C2:C391,C168,AS2:AS391)&lt;=1),SUMIF(C2:C391,C168,AS2:AS391),IF(AND(AT168=1,M168="F",SUMIF(C2:C391,C168,AS2:AS391)&gt;1),1,"")))</f>
        <v/>
      </c>
      <c r="AV168" s="462" t="str">
        <f>IF(AT168=0,"",IF(AND(AT168=3,M168="F",SUMIF(C2:C391,C168,AS2:AS391)&lt;=1),SUMIF(C2:C391,C168,AS2:AS391),IF(AND(AT168=3,M168="F",SUMIF(C2:C391,C168,AS2:AS391)&gt;1),1,"")))</f>
        <v/>
      </c>
      <c r="AW168" s="462">
        <f>SUMIF(C2:C391,C168,O2:O391)</f>
        <v>0</v>
      </c>
      <c r="AX168" s="462">
        <f>IF(AND(M168="F",AS168&lt;&gt;0),SUMIF(C2:C391,C168,W2:W391),0)</f>
        <v>0</v>
      </c>
      <c r="AY168" s="462" t="str">
        <f t="shared" si="36"/>
        <v/>
      </c>
      <c r="AZ168" s="462" t="str">
        <f t="shared" si="37"/>
        <v/>
      </c>
      <c r="BA168" s="462">
        <f t="shared" si="38"/>
        <v>0</v>
      </c>
      <c r="BB168" s="462">
        <f>IF(AND(AT168=1,AK168="E",AU168&gt;=0.75,AW168=1),Health,IF(AND(AT168=1,AK168="E",AU168&gt;=0.75),Health*P168,IF(AND(AT168=1,AK168="E",AU168&gt;=0.5,AW168=1),PTHealth,IF(AND(AT168=1,AK168="E",AU168&gt;=0.5),PTHealth*P168,0))))</f>
        <v>0</v>
      </c>
      <c r="BC168" s="462">
        <f>IF(AND(AT168=3,AK168="E",AV168&gt;=0.75,AW168=1),Health,IF(AND(AT168=3,AK168="E",AV168&gt;=0.75),Health*P168,IF(AND(AT168=3,AK168="E",AV168&gt;=0.5,AW168=1),PTHealth,IF(AND(AT168=3,AK168="E",AV168&gt;=0.5),PTHealth*P168,0))))</f>
        <v>0</v>
      </c>
      <c r="BD168" s="462">
        <f>IF(AND(AT168&lt;&gt;0,AX168&gt;=MAXSSDI),SSDI*MAXSSDI*P168,IF(AT168&lt;&gt;0,SSDI*W168,0))</f>
        <v>0</v>
      </c>
      <c r="BE168" s="462">
        <f>IF(AT168&lt;&gt;0,SSHI*W168,0)</f>
        <v>0</v>
      </c>
      <c r="BF168" s="462">
        <f>IF(AND(AT168&lt;&gt;0,AN168&lt;&gt;"NE"),VLOOKUP(AN168,Retirement_Rates,3,FALSE)*W168,0)</f>
        <v>0</v>
      </c>
      <c r="BG168" s="462">
        <f>IF(AND(AT168&lt;&gt;0,AJ168&lt;&gt;"PF"),Life*W168,0)</f>
        <v>0</v>
      </c>
      <c r="BH168" s="462">
        <f>IF(AND(AT168&lt;&gt;0,AM168="Y"),UI*W168,0)</f>
        <v>0</v>
      </c>
      <c r="BI168" s="462">
        <f>IF(AND(AT168&lt;&gt;0,N168&lt;&gt;"NR"),DHR*W168,0)</f>
        <v>0</v>
      </c>
      <c r="BJ168" s="462">
        <f>IF(AT168&lt;&gt;0,WC*W168,0)</f>
        <v>0</v>
      </c>
      <c r="BK168" s="462">
        <f>IF(OR(AND(AT168&lt;&gt;0,AJ168&lt;&gt;"PF",AN168&lt;&gt;"NE",AG168&lt;&gt;"A"),AND(AL168="E",OR(AT168=1,AT168=3))),Sick*W168,0)</f>
        <v>0</v>
      </c>
      <c r="BL168" s="462">
        <f t="shared" si="39"/>
        <v>0</v>
      </c>
      <c r="BM168" s="462">
        <f t="shared" si="40"/>
        <v>0</v>
      </c>
      <c r="BN168" s="462">
        <f>IF(AND(AT168=1,AK168="E",AU168&gt;=0.75,AW168=1),HealthBY,IF(AND(AT168=1,AK168="E",AU168&gt;=0.75),HealthBY*P168,IF(AND(AT168=1,AK168="E",AU168&gt;=0.5,AW168=1),PTHealthBY,IF(AND(AT168=1,AK168="E",AU168&gt;=0.5),PTHealthBY*P168,0))))</f>
        <v>0</v>
      </c>
      <c r="BO168" s="462">
        <f>IF(AND(AT168=3,AK168="E",AV168&gt;=0.75,AW168=1),HealthBY,IF(AND(AT168=3,AK168="E",AV168&gt;=0.75),HealthBY*P168,IF(AND(AT168=3,AK168="E",AV168&gt;=0.5,AW168=1),PTHealthBY,IF(AND(AT168=3,AK168="E",AV168&gt;=0.5),PTHealthBY*P168,0))))</f>
        <v>0</v>
      </c>
      <c r="BP168" s="462">
        <f>IF(AND(AT168&lt;&gt;0,(AX168+BA168)&gt;=MAXSSDIBY),SSDIBY*MAXSSDIBY*P168,IF(AT168&lt;&gt;0,SSDIBY*W168,0))</f>
        <v>0</v>
      </c>
      <c r="BQ168" s="462">
        <f>IF(AT168&lt;&gt;0,SSHIBY*W168,0)</f>
        <v>0</v>
      </c>
      <c r="BR168" s="462">
        <f>IF(AND(AT168&lt;&gt;0,AN168&lt;&gt;"NE"),VLOOKUP(AN168,Retirement_Rates,4,FALSE)*W168,0)</f>
        <v>0</v>
      </c>
      <c r="BS168" s="462">
        <f>IF(AND(AT168&lt;&gt;0,AJ168&lt;&gt;"PF"),LifeBY*W168,0)</f>
        <v>0</v>
      </c>
      <c r="BT168" s="462">
        <f>IF(AND(AT168&lt;&gt;0,AM168="Y"),UIBY*W168,0)</f>
        <v>0</v>
      </c>
      <c r="BU168" s="462">
        <f>IF(AND(AT168&lt;&gt;0,N168&lt;&gt;"NR"),DHRBY*W168,0)</f>
        <v>0</v>
      </c>
      <c r="BV168" s="462">
        <f>IF(AT168&lt;&gt;0,WCBY*W168,0)</f>
        <v>0</v>
      </c>
      <c r="BW168" s="462">
        <f>IF(OR(AND(AT168&lt;&gt;0,AJ168&lt;&gt;"PF",AN168&lt;&gt;"NE",AG168&lt;&gt;"A"),AND(AL168="E",OR(AT168=1,AT168=3))),SickBY*W168,0)</f>
        <v>0</v>
      </c>
      <c r="BX168" s="462">
        <f t="shared" si="41"/>
        <v>0</v>
      </c>
      <c r="BY168" s="462">
        <f t="shared" si="42"/>
        <v>0</v>
      </c>
      <c r="BZ168" s="462">
        <f t="shared" si="43"/>
        <v>0</v>
      </c>
      <c r="CA168" s="462">
        <f t="shared" si="44"/>
        <v>0</v>
      </c>
      <c r="CB168" s="462">
        <f t="shared" si="45"/>
        <v>0</v>
      </c>
      <c r="CC168" s="462">
        <f>IF(AT168&lt;&gt;0,SSHICHG*Y168,0)</f>
        <v>0</v>
      </c>
      <c r="CD168" s="462">
        <f>IF(AND(AT168&lt;&gt;0,AN168&lt;&gt;"NE"),VLOOKUP(AN168,Retirement_Rates,5,FALSE)*Y168,0)</f>
        <v>0</v>
      </c>
      <c r="CE168" s="462">
        <f>IF(AND(AT168&lt;&gt;0,AJ168&lt;&gt;"PF"),LifeCHG*Y168,0)</f>
        <v>0</v>
      </c>
      <c r="CF168" s="462">
        <f>IF(AND(AT168&lt;&gt;0,AM168="Y"),UICHG*Y168,0)</f>
        <v>0</v>
      </c>
      <c r="CG168" s="462">
        <f>IF(AND(AT168&lt;&gt;0,N168&lt;&gt;"NR"),DHRCHG*Y168,0)</f>
        <v>0</v>
      </c>
      <c r="CH168" s="462">
        <f>IF(AT168&lt;&gt;0,WCCHG*Y168,0)</f>
        <v>0</v>
      </c>
      <c r="CI168" s="462">
        <f>IF(OR(AND(AT168&lt;&gt;0,AJ168&lt;&gt;"PF",AN168&lt;&gt;"NE",AG168&lt;&gt;"A"),AND(AL168="E",OR(AT168=1,AT168=3))),SickCHG*Y168,0)</f>
        <v>0</v>
      </c>
      <c r="CJ168" s="462">
        <f t="shared" si="46"/>
        <v>0</v>
      </c>
      <c r="CK168" s="462" t="str">
        <f t="shared" si="47"/>
        <v/>
      </c>
      <c r="CL168" s="462">
        <f t="shared" si="48"/>
        <v>2280</v>
      </c>
      <c r="CM168" s="462">
        <f t="shared" si="49"/>
        <v>1874.5</v>
      </c>
      <c r="CN168" s="462" t="str">
        <f t="shared" si="50"/>
        <v>0243-00</v>
      </c>
    </row>
    <row r="169" spans="1:92" ht="15" thickBot="1" x14ac:dyDescent="0.35">
      <c r="A169" s="376" t="s">
        <v>161</v>
      </c>
      <c r="B169" s="376" t="s">
        <v>162</v>
      </c>
      <c r="C169" s="376" t="s">
        <v>677</v>
      </c>
      <c r="D169" s="376" t="s">
        <v>375</v>
      </c>
      <c r="E169" s="376" t="s">
        <v>273</v>
      </c>
      <c r="F169" s="377" t="s">
        <v>166</v>
      </c>
      <c r="G169" s="376" t="s">
        <v>432</v>
      </c>
      <c r="H169" s="378"/>
      <c r="I169" s="378"/>
      <c r="J169" s="376" t="s">
        <v>168</v>
      </c>
      <c r="K169" s="376" t="s">
        <v>376</v>
      </c>
      <c r="L169" s="376" t="s">
        <v>166</v>
      </c>
      <c r="M169" s="376" t="s">
        <v>171</v>
      </c>
      <c r="N169" s="376" t="s">
        <v>296</v>
      </c>
      <c r="O169" s="379">
        <v>1</v>
      </c>
      <c r="P169" s="460">
        <v>1</v>
      </c>
      <c r="Q169" s="460">
        <v>1</v>
      </c>
      <c r="R169" s="380">
        <v>80</v>
      </c>
      <c r="S169" s="460">
        <v>1</v>
      </c>
      <c r="T169" s="380">
        <v>84261.92</v>
      </c>
      <c r="U169" s="380">
        <v>0</v>
      </c>
      <c r="V169" s="380">
        <v>24132.22</v>
      </c>
      <c r="W169" s="380">
        <v>86985.600000000006</v>
      </c>
      <c r="X169" s="380">
        <v>32083.759999999998</v>
      </c>
      <c r="Y169" s="380">
        <v>86985.600000000006</v>
      </c>
      <c r="Z169" s="380">
        <v>32336.03</v>
      </c>
      <c r="AA169" s="376" t="s">
        <v>678</v>
      </c>
      <c r="AB169" s="376" t="s">
        <v>679</v>
      </c>
      <c r="AC169" s="376" t="s">
        <v>680</v>
      </c>
      <c r="AD169" s="376" t="s">
        <v>170</v>
      </c>
      <c r="AE169" s="376" t="s">
        <v>376</v>
      </c>
      <c r="AF169" s="376" t="s">
        <v>681</v>
      </c>
      <c r="AG169" s="376" t="s">
        <v>178</v>
      </c>
      <c r="AH169" s="381">
        <v>41.82</v>
      </c>
      <c r="AI169" s="381">
        <v>44873.2</v>
      </c>
      <c r="AJ169" s="376" t="s">
        <v>179</v>
      </c>
      <c r="AK169" s="376" t="s">
        <v>180</v>
      </c>
      <c r="AL169" s="376" t="s">
        <v>181</v>
      </c>
      <c r="AM169" s="376" t="s">
        <v>182</v>
      </c>
      <c r="AN169" s="376" t="s">
        <v>68</v>
      </c>
      <c r="AO169" s="379">
        <v>80</v>
      </c>
      <c r="AP169" s="460">
        <v>1</v>
      </c>
      <c r="AQ169" s="460">
        <v>1</v>
      </c>
      <c r="AR169" s="458" t="s">
        <v>183</v>
      </c>
      <c r="AS169" s="462">
        <f t="shared" si="34"/>
        <v>1</v>
      </c>
      <c r="AT169">
        <f t="shared" si="35"/>
        <v>1</v>
      </c>
      <c r="AU169" s="462">
        <f>IF(AT169=0,"",IF(AND(AT169=1,M169="F",SUMIF(C2:C391,C169,AS2:AS391)&lt;=1),SUMIF(C2:C391,C169,AS2:AS391),IF(AND(AT169=1,M169="F",SUMIF(C2:C391,C169,AS2:AS391)&gt;1),1,"")))</f>
        <v>1</v>
      </c>
      <c r="AV169" s="462" t="str">
        <f>IF(AT169=0,"",IF(AND(AT169=3,M169="F",SUMIF(C2:C391,C169,AS2:AS391)&lt;=1),SUMIF(C2:C391,C169,AS2:AS391),IF(AND(AT169=3,M169="F",SUMIF(C2:C391,C169,AS2:AS391)&gt;1),1,"")))</f>
        <v/>
      </c>
      <c r="AW169" s="462">
        <f>SUMIF(C2:C391,C169,O2:O391)</f>
        <v>1</v>
      </c>
      <c r="AX169" s="462">
        <f>IF(AND(M169="F",AS169&lt;&gt;0),SUMIF(C2:C391,C169,W2:W391),0)</f>
        <v>86985.600000000006</v>
      </c>
      <c r="AY169" s="462">
        <f t="shared" si="36"/>
        <v>86985.600000000006</v>
      </c>
      <c r="AZ169" s="462" t="str">
        <f t="shared" si="37"/>
        <v/>
      </c>
      <c r="BA169" s="462">
        <f t="shared" si="38"/>
        <v>0</v>
      </c>
      <c r="BB169" s="462">
        <f>IF(AND(AT169=1,AK169="E",AU169&gt;=0.75,AW169=1),Health,IF(AND(AT169=1,AK169="E",AU169&gt;=0.75),Health*P169,IF(AND(AT169=1,AK169="E",AU169&gt;=0.5,AW169=1),PTHealth,IF(AND(AT169=1,AK169="E",AU169&gt;=0.5),PTHealth*P169,0))))</f>
        <v>11650</v>
      </c>
      <c r="BC169" s="462">
        <f>IF(AND(AT169=3,AK169="E",AV169&gt;=0.75,AW169=1),Health,IF(AND(AT169=3,AK169="E",AV169&gt;=0.75),Health*P169,IF(AND(AT169=3,AK169="E",AV169&gt;=0.5,AW169=1),PTHealth,IF(AND(AT169=3,AK169="E",AV169&gt;=0.5),PTHealth*P169,0))))</f>
        <v>0</v>
      </c>
      <c r="BD169" s="462">
        <f>IF(AND(AT169&lt;&gt;0,AX169&gt;=MAXSSDI),SSDI*MAXSSDI*P169,IF(AT169&lt;&gt;0,SSDI*W169,0))</f>
        <v>5393.1072000000004</v>
      </c>
      <c r="BE169" s="462">
        <f>IF(AT169&lt;&gt;0,SSHI*W169,0)</f>
        <v>1261.2912000000001</v>
      </c>
      <c r="BF169" s="462">
        <f>IF(AND(AT169&lt;&gt;0,AN169&lt;&gt;"NE"),VLOOKUP(AN169,Retirement_Rates,3,FALSE)*W169,0)</f>
        <v>10386.080640000002</v>
      </c>
      <c r="BG169" s="462">
        <f>IF(AND(AT169&lt;&gt;0,AJ169&lt;&gt;"PF"),Life*W169,0)</f>
        <v>627.16617600000006</v>
      </c>
      <c r="BH169" s="462">
        <f>IF(AND(AT169&lt;&gt;0,AM169="Y"),UI*W169,0)</f>
        <v>426.22944000000001</v>
      </c>
      <c r="BI169" s="462">
        <f>IF(AND(AT169&lt;&gt;0,N169&lt;&gt;"NR"),DHR*W169,0)</f>
        <v>0</v>
      </c>
      <c r="BJ169" s="462">
        <f>IF(AT169&lt;&gt;0,WC*W169,0)</f>
        <v>2339.91264</v>
      </c>
      <c r="BK169" s="462">
        <f>IF(OR(AND(AT169&lt;&gt;0,AJ169&lt;&gt;"PF",AN169&lt;&gt;"NE",AG169&lt;&gt;"A"),AND(AL169="E",OR(AT169=1,AT169=3))),Sick*W169,0)</f>
        <v>0</v>
      </c>
      <c r="BL169" s="462">
        <f t="shared" si="39"/>
        <v>20433.787295999999</v>
      </c>
      <c r="BM169" s="462">
        <f t="shared" si="40"/>
        <v>0</v>
      </c>
      <c r="BN169" s="462">
        <f>IF(AND(AT169=1,AK169="E",AU169&gt;=0.75,AW169=1),HealthBY,IF(AND(AT169=1,AK169="E",AU169&gt;=0.75),HealthBY*P169,IF(AND(AT169=1,AK169="E",AU169&gt;=0.5,AW169=1),PTHealthBY,IF(AND(AT169=1,AK169="E",AU169&gt;=0.5),PTHealthBY*P169,0))))</f>
        <v>11650</v>
      </c>
      <c r="BO169" s="462">
        <f>IF(AND(AT169=3,AK169="E",AV169&gt;=0.75,AW169=1),HealthBY,IF(AND(AT169=3,AK169="E",AV169&gt;=0.75),HealthBY*P169,IF(AND(AT169=3,AK169="E",AV169&gt;=0.5,AW169=1),PTHealthBY,IF(AND(AT169=3,AK169="E",AV169&gt;=0.5),PTHealthBY*P169,0))))</f>
        <v>0</v>
      </c>
      <c r="BP169" s="462">
        <f>IF(AND(AT169&lt;&gt;0,(AX169+BA169)&gt;=MAXSSDIBY),SSDIBY*MAXSSDIBY*P169,IF(AT169&lt;&gt;0,SSDIBY*W169,0))</f>
        <v>5393.1072000000004</v>
      </c>
      <c r="BQ169" s="462">
        <f>IF(AT169&lt;&gt;0,SSHIBY*W169,0)</f>
        <v>1261.2912000000001</v>
      </c>
      <c r="BR169" s="462">
        <f>IF(AND(AT169&lt;&gt;0,AN169&lt;&gt;"NE"),VLOOKUP(AN169,Retirement_Rates,4,FALSE)*W169,0)</f>
        <v>10386.080640000002</v>
      </c>
      <c r="BS169" s="462">
        <f>IF(AND(AT169&lt;&gt;0,AJ169&lt;&gt;"PF"),LifeBY*W169,0)</f>
        <v>627.16617600000006</v>
      </c>
      <c r="BT169" s="462">
        <f>IF(AND(AT169&lt;&gt;0,AM169="Y"),UIBY*W169,0)</f>
        <v>0</v>
      </c>
      <c r="BU169" s="462">
        <f>IF(AND(AT169&lt;&gt;0,N169&lt;&gt;"NR"),DHRBY*W169,0)</f>
        <v>0</v>
      </c>
      <c r="BV169" s="462">
        <f>IF(AT169&lt;&gt;0,WCBY*W169,0)</f>
        <v>3018.4003200000002</v>
      </c>
      <c r="BW169" s="462">
        <f>IF(OR(AND(AT169&lt;&gt;0,AJ169&lt;&gt;"PF",AN169&lt;&gt;"NE",AG169&lt;&gt;"A"),AND(AL169="E",OR(AT169=1,AT169=3))),SickBY*W169,0)</f>
        <v>0</v>
      </c>
      <c r="BX169" s="462">
        <f t="shared" si="41"/>
        <v>20686.045536000001</v>
      </c>
      <c r="BY169" s="462">
        <f t="shared" si="42"/>
        <v>0</v>
      </c>
      <c r="BZ169" s="462">
        <f t="shared" si="43"/>
        <v>0</v>
      </c>
      <c r="CA169" s="462">
        <f t="shared" si="44"/>
        <v>0</v>
      </c>
      <c r="CB169" s="462">
        <f t="shared" si="45"/>
        <v>0</v>
      </c>
      <c r="CC169" s="462">
        <f>IF(AT169&lt;&gt;0,SSHICHG*Y169,0)</f>
        <v>0</v>
      </c>
      <c r="CD169" s="462">
        <f>IF(AND(AT169&lt;&gt;0,AN169&lt;&gt;"NE"),VLOOKUP(AN169,Retirement_Rates,5,FALSE)*Y169,0)</f>
        <v>0</v>
      </c>
      <c r="CE169" s="462">
        <f>IF(AND(AT169&lt;&gt;0,AJ169&lt;&gt;"PF"),LifeCHG*Y169,0)</f>
        <v>0</v>
      </c>
      <c r="CF169" s="462">
        <f>IF(AND(AT169&lt;&gt;0,AM169="Y"),UICHG*Y169,0)</f>
        <v>-426.22944000000001</v>
      </c>
      <c r="CG169" s="462">
        <f>IF(AND(AT169&lt;&gt;0,N169&lt;&gt;"NR"),DHRCHG*Y169,0)</f>
        <v>0</v>
      </c>
      <c r="CH169" s="462">
        <f>IF(AT169&lt;&gt;0,WCCHG*Y169,0)</f>
        <v>678.48768000000018</v>
      </c>
      <c r="CI169" s="462">
        <f>IF(OR(AND(AT169&lt;&gt;0,AJ169&lt;&gt;"PF",AN169&lt;&gt;"NE",AG169&lt;&gt;"A"),AND(AL169="E",OR(AT169=1,AT169=3))),SickCHG*Y169,0)</f>
        <v>0</v>
      </c>
      <c r="CJ169" s="462">
        <f t="shared" si="46"/>
        <v>252.25824000000017</v>
      </c>
      <c r="CK169" s="462" t="str">
        <f t="shared" si="47"/>
        <v/>
      </c>
      <c r="CL169" s="462" t="str">
        <f t="shared" si="48"/>
        <v/>
      </c>
      <c r="CM169" s="462" t="str">
        <f t="shared" si="49"/>
        <v/>
      </c>
      <c r="CN169" s="462" t="str">
        <f t="shared" si="50"/>
        <v>0243-00</v>
      </c>
    </row>
    <row r="170" spans="1:92" ht="15" thickBot="1" x14ac:dyDescent="0.35">
      <c r="A170" s="376" t="s">
        <v>161</v>
      </c>
      <c r="B170" s="376" t="s">
        <v>162</v>
      </c>
      <c r="C170" s="376" t="s">
        <v>682</v>
      </c>
      <c r="D170" s="376" t="s">
        <v>221</v>
      </c>
      <c r="E170" s="376" t="s">
        <v>273</v>
      </c>
      <c r="F170" s="377" t="s">
        <v>166</v>
      </c>
      <c r="G170" s="376" t="s">
        <v>432</v>
      </c>
      <c r="H170" s="378"/>
      <c r="I170" s="378"/>
      <c r="J170" s="376" t="s">
        <v>168</v>
      </c>
      <c r="K170" s="376" t="s">
        <v>222</v>
      </c>
      <c r="L170" s="376" t="s">
        <v>166</v>
      </c>
      <c r="M170" s="376" t="s">
        <v>171</v>
      </c>
      <c r="N170" s="376" t="s">
        <v>223</v>
      </c>
      <c r="O170" s="379">
        <v>0</v>
      </c>
      <c r="P170" s="460">
        <v>0</v>
      </c>
      <c r="Q170" s="460">
        <v>0</v>
      </c>
      <c r="R170" s="380">
        <v>0</v>
      </c>
      <c r="S170" s="460">
        <v>0</v>
      </c>
      <c r="T170" s="380">
        <v>37228.94</v>
      </c>
      <c r="U170" s="380">
        <v>2338.5</v>
      </c>
      <c r="V170" s="380">
        <v>6435.07</v>
      </c>
      <c r="W170" s="380">
        <v>0</v>
      </c>
      <c r="X170" s="380">
        <v>0</v>
      </c>
      <c r="Y170" s="380">
        <v>0</v>
      </c>
      <c r="Z170" s="380">
        <v>0</v>
      </c>
      <c r="AA170" s="378"/>
      <c r="AB170" s="376" t="s">
        <v>45</v>
      </c>
      <c r="AC170" s="376" t="s">
        <v>45</v>
      </c>
      <c r="AD170" s="378"/>
      <c r="AE170" s="378"/>
      <c r="AF170" s="378"/>
      <c r="AG170" s="378"/>
      <c r="AH170" s="379">
        <v>0</v>
      </c>
      <c r="AI170" s="379">
        <v>0</v>
      </c>
      <c r="AJ170" s="378"/>
      <c r="AK170" s="378"/>
      <c r="AL170" s="376" t="s">
        <v>181</v>
      </c>
      <c r="AM170" s="378"/>
      <c r="AN170" s="378"/>
      <c r="AO170" s="379">
        <v>0</v>
      </c>
      <c r="AP170" s="460">
        <v>0</v>
      </c>
      <c r="AQ170" s="460">
        <v>0</v>
      </c>
      <c r="AR170" s="459"/>
      <c r="AS170" s="462">
        <f t="shared" si="34"/>
        <v>0</v>
      </c>
      <c r="AT170">
        <f t="shared" si="35"/>
        <v>0</v>
      </c>
      <c r="AU170" s="462" t="str">
        <f>IF(AT170=0,"",IF(AND(AT170=1,M170="F",SUMIF(C2:C391,C170,AS2:AS391)&lt;=1),SUMIF(C2:C391,C170,AS2:AS391),IF(AND(AT170=1,M170="F",SUMIF(C2:C391,C170,AS2:AS391)&gt;1),1,"")))</f>
        <v/>
      </c>
      <c r="AV170" s="462" t="str">
        <f>IF(AT170=0,"",IF(AND(AT170=3,M170="F",SUMIF(C2:C391,C170,AS2:AS391)&lt;=1),SUMIF(C2:C391,C170,AS2:AS391),IF(AND(AT170=3,M170="F",SUMIF(C2:C391,C170,AS2:AS391)&gt;1),1,"")))</f>
        <v/>
      </c>
      <c r="AW170" s="462">
        <f>SUMIF(C2:C391,C170,O2:O391)</f>
        <v>0</v>
      </c>
      <c r="AX170" s="462">
        <f>IF(AND(M170="F",AS170&lt;&gt;0),SUMIF(C2:C391,C170,W2:W391),0)</f>
        <v>0</v>
      </c>
      <c r="AY170" s="462" t="str">
        <f t="shared" si="36"/>
        <v/>
      </c>
      <c r="AZ170" s="462" t="str">
        <f t="shared" si="37"/>
        <v/>
      </c>
      <c r="BA170" s="462">
        <f t="shared" si="38"/>
        <v>0</v>
      </c>
      <c r="BB170" s="462">
        <f>IF(AND(AT170=1,AK170="E",AU170&gt;=0.75,AW170=1),Health,IF(AND(AT170=1,AK170="E",AU170&gt;=0.75),Health*P170,IF(AND(AT170=1,AK170="E",AU170&gt;=0.5,AW170=1),PTHealth,IF(AND(AT170=1,AK170="E",AU170&gt;=0.5),PTHealth*P170,0))))</f>
        <v>0</v>
      </c>
      <c r="BC170" s="462">
        <f>IF(AND(AT170=3,AK170="E",AV170&gt;=0.75,AW170=1),Health,IF(AND(AT170=3,AK170="E",AV170&gt;=0.75),Health*P170,IF(AND(AT170=3,AK170="E",AV170&gt;=0.5,AW170=1),PTHealth,IF(AND(AT170=3,AK170="E",AV170&gt;=0.5),PTHealth*P170,0))))</f>
        <v>0</v>
      </c>
      <c r="BD170" s="462">
        <f>IF(AND(AT170&lt;&gt;0,AX170&gt;=MAXSSDI),SSDI*MAXSSDI*P170,IF(AT170&lt;&gt;0,SSDI*W170,0))</f>
        <v>0</v>
      </c>
      <c r="BE170" s="462">
        <f>IF(AT170&lt;&gt;0,SSHI*W170,0)</f>
        <v>0</v>
      </c>
      <c r="BF170" s="462">
        <f>IF(AND(AT170&lt;&gt;0,AN170&lt;&gt;"NE"),VLOOKUP(AN170,Retirement_Rates,3,FALSE)*W170,0)</f>
        <v>0</v>
      </c>
      <c r="BG170" s="462">
        <f>IF(AND(AT170&lt;&gt;0,AJ170&lt;&gt;"PF"),Life*W170,0)</f>
        <v>0</v>
      </c>
      <c r="BH170" s="462">
        <f>IF(AND(AT170&lt;&gt;0,AM170="Y"),UI*W170,0)</f>
        <v>0</v>
      </c>
      <c r="BI170" s="462">
        <f>IF(AND(AT170&lt;&gt;0,N170&lt;&gt;"NR"),DHR*W170,0)</f>
        <v>0</v>
      </c>
      <c r="BJ170" s="462">
        <f>IF(AT170&lt;&gt;0,WC*W170,0)</f>
        <v>0</v>
      </c>
      <c r="BK170" s="462">
        <f>IF(OR(AND(AT170&lt;&gt;0,AJ170&lt;&gt;"PF",AN170&lt;&gt;"NE",AG170&lt;&gt;"A"),AND(AL170="E",OR(AT170=1,AT170=3))),Sick*W170,0)</f>
        <v>0</v>
      </c>
      <c r="BL170" s="462">
        <f t="shared" si="39"/>
        <v>0</v>
      </c>
      <c r="BM170" s="462">
        <f t="shared" si="40"/>
        <v>0</v>
      </c>
      <c r="BN170" s="462">
        <f>IF(AND(AT170=1,AK170="E",AU170&gt;=0.75,AW170=1),HealthBY,IF(AND(AT170=1,AK170="E",AU170&gt;=0.75),HealthBY*P170,IF(AND(AT170=1,AK170="E",AU170&gt;=0.5,AW170=1),PTHealthBY,IF(AND(AT170=1,AK170="E",AU170&gt;=0.5),PTHealthBY*P170,0))))</f>
        <v>0</v>
      </c>
      <c r="BO170" s="462">
        <f>IF(AND(AT170=3,AK170="E",AV170&gt;=0.75,AW170=1),HealthBY,IF(AND(AT170=3,AK170="E",AV170&gt;=0.75),HealthBY*P170,IF(AND(AT170=3,AK170="E",AV170&gt;=0.5,AW170=1),PTHealthBY,IF(AND(AT170=3,AK170="E",AV170&gt;=0.5),PTHealthBY*P170,0))))</f>
        <v>0</v>
      </c>
      <c r="BP170" s="462">
        <f>IF(AND(AT170&lt;&gt;0,(AX170+BA170)&gt;=MAXSSDIBY),SSDIBY*MAXSSDIBY*P170,IF(AT170&lt;&gt;0,SSDIBY*W170,0))</f>
        <v>0</v>
      </c>
      <c r="BQ170" s="462">
        <f>IF(AT170&lt;&gt;0,SSHIBY*W170,0)</f>
        <v>0</v>
      </c>
      <c r="BR170" s="462">
        <f>IF(AND(AT170&lt;&gt;0,AN170&lt;&gt;"NE"),VLOOKUP(AN170,Retirement_Rates,4,FALSE)*W170,0)</f>
        <v>0</v>
      </c>
      <c r="BS170" s="462">
        <f>IF(AND(AT170&lt;&gt;0,AJ170&lt;&gt;"PF"),LifeBY*W170,0)</f>
        <v>0</v>
      </c>
      <c r="BT170" s="462">
        <f>IF(AND(AT170&lt;&gt;0,AM170="Y"),UIBY*W170,0)</f>
        <v>0</v>
      </c>
      <c r="BU170" s="462">
        <f>IF(AND(AT170&lt;&gt;0,N170&lt;&gt;"NR"),DHRBY*W170,0)</f>
        <v>0</v>
      </c>
      <c r="BV170" s="462">
        <f>IF(AT170&lt;&gt;0,WCBY*W170,0)</f>
        <v>0</v>
      </c>
      <c r="BW170" s="462">
        <f>IF(OR(AND(AT170&lt;&gt;0,AJ170&lt;&gt;"PF",AN170&lt;&gt;"NE",AG170&lt;&gt;"A"),AND(AL170="E",OR(AT170=1,AT170=3))),SickBY*W170,0)</f>
        <v>0</v>
      </c>
      <c r="BX170" s="462">
        <f t="shared" si="41"/>
        <v>0</v>
      </c>
      <c r="BY170" s="462">
        <f t="shared" si="42"/>
        <v>0</v>
      </c>
      <c r="BZ170" s="462">
        <f t="shared" si="43"/>
        <v>0</v>
      </c>
      <c r="CA170" s="462">
        <f t="shared" si="44"/>
        <v>0</v>
      </c>
      <c r="CB170" s="462">
        <f t="shared" si="45"/>
        <v>0</v>
      </c>
      <c r="CC170" s="462">
        <f>IF(AT170&lt;&gt;0,SSHICHG*Y170,0)</f>
        <v>0</v>
      </c>
      <c r="CD170" s="462">
        <f>IF(AND(AT170&lt;&gt;0,AN170&lt;&gt;"NE"),VLOOKUP(AN170,Retirement_Rates,5,FALSE)*Y170,0)</f>
        <v>0</v>
      </c>
      <c r="CE170" s="462">
        <f>IF(AND(AT170&lt;&gt;0,AJ170&lt;&gt;"PF"),LifeCHG*Y170,0)</f>
        <v>0</v>
      </c>
      <c r="CF170" s="462">
        <f>IF(AND(AT170&lt;&gt;0,AM170="Y"),UICHG*Y170,0)</f>
        <v>0</v>
      </c>
      <c r="CG170" s="462">
        <f>IF(AND(AT170&lt;&gt;0,N170&lt;&gt;"NR"),DHRCHG*Y170,0)</f>
        <v>0</v>
      </c>
      <c r="CH170" s="462">
        <f>IF(AT170&lt;&gt;0,WCCHG*Y170,0)</f>
        <v>0</v>
      </c>
      <c r="CI170" s="462">
        <f>IF(OR(AND(AT170&lt;&gt;0,AJ170&lt;&gt;"PF",AN170&lt;&gt;"NE",AG170&lt;&gt;"A"),AND(AL170="E",OR(AT170=1,AT170=3))),SickCHG*Y170,0)</f>
        <v>0</v>
      </c>
      <c r="CJ170" s="462">
        <f t="shared" si="46"/>
        <v>0</v>
      </c>
      <c r="CK170" s="462" t="str">
        <f t="shared" si="47"/>
        <v/>
      </c>
      <c r="CL170" s="462">
        <f t="shared" si="48"/>
        <v>39567.440000000002</v>
      </c>
      <c r="CM170" s="462">
        <f t="shared" si="49"/>
        <v>6435.07</v>
      </c>
      <c r="CN170" s="462" t="str">
        <f t="shared" si="50"/>
        <v>0243-00</v>
      </c>
    </row>
    <row r="171" spans="1:92" ht="15" thickBot="1" x14ac:dyDescent="0.35">
      <c r="A171" s="376" t="s">
        <v>161</v>
      </c>
      <c r="B171" s="376" t="s">
        <v>162</v>
      </c>
      <c r="C171" s="376" t="s">
        <v>683</v>
      </c>
      <c r="D171" s="376" t="s">
        <v>221</v>
      </c>
      <c r="E171" s="376" t="s">
        <v>273</v>
      </c>
      <c r="F171" s="377" t="s">
        <v>166</v>
      </c>
      <c r="G171" s="376" t="s">
        <v>432</v>
      </c>
      <c r="H171" s="378"/>
      <c r="I171" s="378"/>
      <c r="J171" s="376" t="s">
        <v>168</v>
      </c>
      <c r="K171" s="376" t="s">
        <v>222</v>
      </c>
      <c r="L171" s="376" t="s">
        <v>166</v>
      </c>
      <c r="M171" s="376" t="s">
        <v>225</v>
      </c>
      <c r="N171" s="376" t="s">
        <v>223</v>
      </c>
      <c r="O171" s="379">
        <v>0</v>
      </c>
      <c r="P171" s="460">
        <v>1</v>
      </c>
      <c r="Q171" s="460">
        <v>0</v>
      </c>
      <c r="R171" s="380">
        <v>0</v>
      </c>
      <c r="S171" s="460">
        <v>0</v>
      </c>
      <c r="T171" s="380">
        <v>0</v>
      </c>
      <c r="U171" s="380">
        <v>0</v>
      </c>
      <c r="V171" s="380">
        <v>0</v>
      </c>
      <c r="W171" s="380">
        <v>0</v>
      </c>
      <c r="X171" s="380">
        <v>0</v>
      </c>
      <c r="Y171" s="380">
        <v>0</v>
      </c>
      <c r="Z171" s="380">
        <v>0</v>
      </c>
      <c r="AA171" s="378"/>
      <c r="AB171" s="376" t="s">
        <v>45</v>
      </c>
      <c r="AC171" s="376" t="s">
        <v>45</v>
      </c>
      <c r="AD171" s="378"/>
      <c r="AE171" s="378"/>
      <c r="AF171" s="378"/>
      <c r="AG171" s="378"/>
      <c r="AH171" s="379">
        <v>0</v>
      </c>
      <c r="AI171" s="379">
        <v>0</v>
      </c>
      <c r="AJ171" s="378"/>
      <c r="AK171" s="378"/>
      <c r="AL171" s="376" t="s">
        <v>181</v>
      </c>
      <c r="AM171" s="378"/>
      <c r="AN171" s="378"/>
      <c r="AO171" s="379">
        <v>0</v>
      </c>
      <c r="AP171" s="460">
        <v>0</v>
      </c>
      <c r="AQ171" s="460">
        <v>0</v>
      </c>
      <c r="AR171" s="459"/>
      <c r="AS171" s="462">
        <f t="shared" si="34"/>
        <v>0</v>
      </c>
      <c r="AT171">
        <f t="shared" si="35"/>
        <v>0</v>
      </c>
      <c r="AU171" s="462" t="str">
        <f>IF(AT171=0,"",IF(AND(AT171=1,M171="F",SUMIF(C2:C391,C171,AS2:AS391)&lt;=1),SUMIF(C2:C391,C171,AS2:AS391),IF(AND(AT171=1,M171="F",SUMIF(C2:C391,C171,AS2:AS391)&gt;1),1,"")))</f>
        <v/>
      </c>
      <c r="AV171" s="462" t="str">
        <f>IF(AT171=0,"",IF(AND(AT171=3,M171="F",SUMIF(C2:C391,C171,AS2:AS391)&lt;=1),SUMIF(C2:C391,C171,AS2:AS391),IF(AND(AT171=3,M171="F",SUMIF(C2:C391,C171,AS2:AS391)&gt;1),1,"")))</f>
        <v/>
      </c>
      <c r="AW171" s="462">
        <f>SUMIF(C2:C391,C171,O2:O391)</f>
        <v>0</v>
      </c>
      <c r="AX171" s="462">
        <f>IF(AND(M171="F",AS171&lt;&gt;0),SUMIF(C2:C391,C171,W2:W391),0)</f>
        <v>0</v>
      </c>
      <c r="AY171" s="462" t="str">
        <f t="shared" si="36"/>
        <v/>
      </c>
      <c r="AZ171" s="462" t="str">
        <f t="shared" si="37"/>
        <v/>
      </c>
      <c r="BA171" s="462">
        <f t="shared" si="38"/>
        <v>0</v>
      </c>
      <c r="BB171" s="462">
        <f>IF(AND(AT171=1,AK171="E",AU171&gt;=0.75,AW171=1),Health,IF(AND(AT171=1,AK171="E",AU171&gt;=0.75),Health*P171,IF(AND(AT171=1,AK171="E",AU171&gt;=0.5,AW171=1),PTHealth,IF(AND(AT171=1,AK171="E",AU171&gt;=0.5),PTHealth*P171,0))))</f>
        <v>0</v>
      </c>
      <c r="BC171" s="462">
        <f>IF(AND(AT171=3,AK171="E",AV171&gt;=0.75,AW171=1),Health,IF(AND(AT171=3,AK171="E",AV171&gt;=0.75),Health*P171,IF(AND(AT171=3,AK171="E",AV171&gt;=0.5,AW171=1),PTHealth,IF(AND(AT171=3,AK171="E",AV171&gt;=0.5),PTHealth*P171,0))))</f>
        <v>0</v>
      </c>
      <c r="BD171" s="462">
        <f>IF(AND(AT171&lt;&gt;0,AX171&gt;=MAXSSDI),SSDI*MAXSSDI*P171,IF(AT171&lt;&gt;0,SSDI*W171,0))</f>
        <v>0</v>
      </c>
      <c r="BE171" s="462">
        <f>IF(AT171&lt;&gt;0,SSHI*W171,0)</f>
        <v>0</v>
      </c>
      <c r="BF171" s="462">
        <f>IF(AND(AT171&lt;&gt;0,AN171&lt;&gt;"NE"),VLOOKUP(AN171,Retirement_Rates,3,FALSE)*W171,0)</f>
        <v>0</v>
      </c>
      <c r="BG171" s="462">
        <f>IF(AND(AT171&lt;&gt;0,AJ171&lt;&gt;"PF"),Life*W171,0)</f>
        <v>0</v>
      </c>
      <c r="BH171" s="462">
        <f>IF(AND(AT171&lt;&gt;0,AM171="Y"),UI*W171,0)</f>
        <v>0</v>
      </c>
      <c r="BI171" s="462">
        <f>IF(AND(AT171&lt;&gt;0,N171&lt;&gt;"NR"),DHR*W171,0)</f>
        <v>0</v>
      </c>
      <c r="BJ171" s="462">
        <f>IF(AT171&lt;&gt;0,WC*W171,0)</f>
        <v>0</v>
      </c>
      <c r="BK171" s="462">
        <f>IF(OR(AND(AT171&lt;&gt;0,AJ171&lt;&gt;"PF",AN171&lt;&gt;"NE",AG171&lt;&gt;"A"),AND(AL171="E",OR(AT171=1,AT171=3))),Sick*W171,0)</f>
        <v>0</v>
      </c>
      <c r="BL171" s="462">
        <f t="shared" si="39"/>
        <v>0</v>
      </c>
      <c r="BM171" s="462">
        <f t="shared" si="40"/>
        <v>0</v>
      </c>
      <c r="BN171" s="462">
        <f>IF(AND(AT171=1,AK171="E",AU171&gt;=0.75,AW171=1),HealthBY,IF(AND(AT171=1,AK171="E",AU171&gt;=0.75),HealthBY*P171,IF(AND(AT171=1,AK171="E",AU171&gt;=0.5,AW171=1),PTHealthBY,IF(AND(AT171=1,AK171="E",AU171&gt;=0.5),PTHealthBY*P171,0))))</f>
        <v>0</v>
      </c>
      <c r="BO171" s="462">
        <f>IF(AND(AT171=3,AK171="E",AV171&gt;=0.75,AW171=1),HealthBY,IF(AND(AT171=3,AK171="E",AV171&gt;=0.75),HealthBY*P171,IF(AND(AT171=3,AK171="E",AV171&gt;=0.5,AW171=1),PTHealthBY,IF(AND(AT171=3,AK171="E",AV171&gt;=0.5),PTHealthBY*P171,0))))</f>
        <v>0</v>
      </c>
      <c r="BP171" s="462">
        <f>IF(AND(AT171&lt;&gt;0,(AX171+BA171)&gt;=MAXSSDIBY),SSDIBY*MAXSSDIBY*P171,IF(AT171&lt;&gt;0,SSDIBY*W171,0))</f>
        <v>0</v>
      </c>
      <c r="BQ171" s="462">
        <f>IF(AT171&lt;&gt;0,SSHIBY*W171,0)</f>
        <v>0</v>
      </c>
      <c r="BR171" s="462">
        <f>IF(AND(AT171&lt;&gt;0,AN171&lt;&gt;"NE"),VLOOKUP(AN171,Retirement_Rates,4,FALSE)*W171,0)</f>
        <v>0</v>
      </c>
      <c r="BS171" s="462">
        <f>IF(AND(AT171&lt;&gt;0,AJ171&lt;&gt;"PF"),LifeBY*W171,0)</f>
        <v>0</v>
      </c>
      <c r="BT171" s="462">
        <f>IF(AND(AT171&lt;&gt;0,AM171="Y"),UIBY*W171,0)</f>
        <v>0</v>
      </c>
      <c r="BU171" s="462">
        <f>IF(AND(AT171&lt;&gt;0,N171&lt;&gt;"NR"),DHRBY*W171,0)</f>
        <v>0</v>
      </c>
      <c r="BV171" s="462">
        <f>IF(AT171&lt;&gt;0,WCBY*W171,0)</f>
        <v>0</v>
      </c>
      <c r="BW171" s="462">
        <f>IF(OR(AND(AT171&lt;&gt;0,AJ171&lt;&gt;"PF",AN171&lt;&gt;"NE",AG171&lt;&gt;"A"),AND(AL171="E",OR(AT171=1,AT171=3))),SickBY*W171,0)</f>
        <v>0</v>
      </c>
      <c r="BX171" s="462">
        <f t="shared" si="41"/>
        <v>0</v>
      </c>
      <c r="BY171" s="462">
        <f t="shared" si="42"/>
        <v>0</v>
      </c>
      <c r="BZ171" s="462">
        <f t="shared" si="43"/>
        <v>0</v>
      </c>
      <c r="CA171" s="462">
        <f t="shared" si="44"/>
        <v>0</v>
      </c>
      <c r="CB171" s="462">
        <f t="shared" si="45"/>
        <v>0</v>
      </c>
      <c r="CC171" s="462">
        <f>IF(AT171&lt;&gt;0,SSHICHG*Y171,0)</f>
        <v>0</v>
      </c>
      <c r="CD171" s="462">
        <f>IF(AND(AT171&lt;&gt;0,AN171&lt;&gt;"NE"),VLOOKUP(AN171,Retirement_Rates,5,FALSE)*Y171,0)</f>
        <v>0</v>
      </c>
      <c r="CE171" s="462">
        <f>IF(AND(AT171&lt;&gt;0,AJ171&lt;&gt;"PF"),LifeCHG*Y171,0)</f>
        <v>0</v>
      </c>
      <c r="CF171" s="462">
        <f>IF(AND(AT171&lt;&gt;0,AM171="Y"),UICHG*Y171,0)</f>
        <v>0</v>
      </c>
      <c r="CG171" s="462">
        <f>IF(AND(AT171&lt;&gt;0,N171&lt;&gt;"NR"),DHRCHG*Y171,0)</f>
        <v>0</v>
      </c>
      <c r="CH171" s="462">
        <f>IF(AT171&lt;&gt;0,WCCHG*Y171,0)</f>
        <v>0</v>
      </c>
      <c r="CI171" s="462">
        <f>IF(OR(AND(AT171&lt;&gt;0,AJ171&lt;&gt;"PF",AN171&lt;&gt;"NE",AG171&lt;&gt;"A"),AND(AL171="E",OR(AT171=1,AT171=3))),SickCHG*Y171,0)</f>
        <v>0</v>
      </c>
      <c r="CJ171" s="462">
        <f t="shared" si="46"/>
        <v>0</v>
      </c>
      <c r="CK171" s="462" t="str">
        <f t="shared" si="47"/>
        <v/>
      </c>
      <c r="CL171" s="462">
        <f t="shared" si="48"/>
        <v>0</v>
      </c>
      <c r="CM171" s="462">
        <f t="shared" si="49"/>
        <v>0</v>
      </c>
      <c r="CN171" s="462" t="str">
        <f t="shared" si="50"/>
        <v>0243-00</v>
      </c>
    </row>
    <row r="172" spans="1:92" ht="15" thickBot="1" x14ac:dyDescent="0.35">
      <c r="A172" s="376" t="s">
        <v>161</v>
      </c>
      <c r="B172" s="376" t="s">
        <v>162</v>
      </c>
      <c r="C172" s="376" t="s">
        <v>684</v>
      </c>
      <c r="D172" s="376" t="s">
        <v>185</v>
      </c>
      <c r="E172" s="376" t="s">
        <v>273</v>
      </c>
      <c r="F172" s="377" t="s">
        <v>166</v>
      </c>
      <c r="G172" s="376" t="s">
        <v>432</v>
      </c>
      <c r="H172" s="378"/>
      <c r="I172" s="378"/>
      <c r="J172" s="376" t="s">
        <v>168</v>
      </c>
      <c r="K172" s="376" t="s">
        <v>186</v>
      </c>
      <c r="L172" s="376" t="s">
        <v>178</v>
      </c>
      <c r="M172" s="376" t="s">
        <v>171</v>
      </c>
      <c r="N172" s="376" t="s">
        <v>172</v>
      </c>
      <c r="O172" s="379">
        <v>1</v>
      </c>
      <c r="P172" s="460">
        <v>1</v>
      </c>
      <c r="Q172" s="460">
        <v>1</v>
      </c>
      <c r="R172" s="380">
        <v>80</v>
      </c>
      <c r="S172" s="460">
        <v>1</v>
      </c>
      <c r="T172" s="380">
        <v>32251.11</v>
      </c>
      <c r="U172" s="380">
        <v>0</v>
      </c>
      <c r="V172" s="380">
        <v>17878.68</v>
      </c>
      <c r="W172" s="380">
        <v>32822.400000000001</v>
      </c>
      <c r="X172" s="380">
        <v>19460.7</v>
      </c>
      <c r="Y172" s="380">
        <v>32822.400000000001</v>
      </c>
      <c r="Z172" s="380">
        <v>19555.89</v>
      </c>
      <c r="AA172" s="376" t="s">
        <v>685</v>
      </c>
      <c r="AB172" s="376" t="s">
        <v>686</v>
      </c>
      <c r="AC172" s="376" t="s">
        <v>687</v>
      </c>
      <c r="AD172" s="376" t="s">
        <v>170</v>
      </c>
      <c r="AE172" s="376" t="s">
        <v>186</v>
      </c>
      <c r="AF172" s="376" t="s">
        <v>190</v>
      </c>
      <c r="AG172" s="376" t="s">
        <v>178</v>
      </c>
      <c r="AH172" s="381">
        <v>15.78</v>
      </c>
      <c r="AI172" s="381">
        <v>10778.8</v>
      </c>
      <c r="AJ172" s="376" t="s">
        <v>179</v>
      </c>
      <c r="AK172" s="376" t="s">
        <v>180</v>
      </c>
      <c r="AL172" s="376" t="s">
        <v>181</v>
      </c>
      <c r="AM172" s="376" t="s">
        <v>182</v>
      </c>
      <c r="AN172" s="376" t="s">
        <v>68</v>
      </c>
      <c r="AO172" s="379">
        <v>80</v>
      </c>
      <c r="AP172" s="460">
        <v>1</v>
      </c>
      <c r="AQ172" s="460">
        <v>1</v>
      </c>
      <c r="AR172" s="458" t="s">
        <v>183</v>
      </c>
      <c r="AS172" s="462">
        <f t="shared" si="34"/>
        <v>1</v>
      </c>
      <c r="AT172">
        <f t="shared" si="35"/>
        <v>1</v>
      </c>
      <c r="AU172" s="462">
        <f>IF(AT172=0,"",IF(AND(AT172=1,M172="F",SUMIF(C2:C391,C172,AS2:AS391)&lt;=1),SUMIF(C2:C391,C172,AS2:AS391),IF(AND(AT172=1,M172="F",SUMIF(C2:C391,C172,AS2:AS391)&gt;1),1,"")))</f>
        <v>1</v>
      </c>
      <c r="AV172" s="462" t="str">
        <f>IF(AT172=0,"",IF(AND(AT172=3,M172="F",SUMIF(C2:C391,C172,AS2:AS391)&lt;=1),SUMIF(C2:C391,C172,AS2:AS391),IF(AND(AT172=3,M172="F",SUMIF(C2:C391,C172,AS2:AS391)&gt;1),1,"")))</f>
        <v/>
      </c>
      <c r="AW172" s="462">
        <f>SUMIF(C2:C391,C172,O2:O391)</f>
        <v>1</v>
      </c>
      <c r="AX172" s="462">
        <f>IF(AND(M172="F",AS172&lt;&gt;0),SUMIF(C2:C391,C172,W2:W391),0)</f>
        <v>32822.400000000001</v>
      </c>
      <c r="AY172" s="462">
        <f t="shared" si="36"/>
        <v>32822.400000000001</v>
      </c>
      <c r="AZ172" s="462" t="str">
        <f t="shared" si="37"/>
        <v/>
      </c>
      <c r="BA172" s="462">
        <f t="shared" si="38"/>
        <v>0</v>
      </c>
      <c r="BB172" s="462">
        <f>IF(AND(AT172=1,AK172="E",AU172&gt;=0.75,AW172=1),Health,IF(AND(AT172=1,AK172="E",AU172&gt;=0.75),Health*P172,IF(AND(AT172=1,AK172="E",AU172&gt;=0.5,AW172=1),PTHealth,IF(AND(AT172=1,AK172="E",AU172&gt;=0.5),PTHealth*P172,0))))</f>
        <v>11650</v>
      </c>
      <c r="BC172" s="462">
        <f>IF(AND(AT172=3,AK172="E",AV172&gt;=0.75,AW172=1),Health,IF(AND(AT172=3,AK172="E",AV172&gt;=0.75),Health*P172,IF(AND(AT172=3,AK172="E",AV172&gt;=0.5,AW172=1),PTHealth,IF(AND(AT172=3,AK172="E",AV172&gt;=0.5),PTHealth*P172,0))))</f>
        <v>0</v>
      </c>
      <c r="BD172" s="462">
        <f>IF(AND(AT172&lt;&gt;0,AX172&gt;=MAXSSDI),SSDI*MAXSSDI*P172,IF(AT172&lt;&gt;0,SSDI*W172,0))</f>
        <v>2034.9888000000001</v>
      </c>
      <c r="BE172" s="462">
        <f>IF(AT172&lt;&gt;0,SSHI*W172,0)</f>
        <v>475.92480000000006</v>
      </c>
      <c r="BF172" s="462">
        <f>IF(AND(AT172&lt;&gt;0,AN172&lt;&gt;"NE"),VLOOKUP(AN172,Retirement_Rates,3,FALSE)*W172,0)</f>
        <v>3918.9945600000005</v>
      </c>
      <c r="BG172" s="462">
        <f>IF(AND(AT172&lt;&gt;0,AJ172&lt;&gt;"PF"),Life*W172,0)</f>
        <v>236.64950400000001</v>
      </c>
      <c r="BH172" s="462">
        <f>IF(AND(AT172&lt;&gt;0,AM172="Y"),UI*W172,0)</f>
        <v>160.82975999999999</v>
      </c>
      <c r="BI172" s="462">
        <f>IF(AND(AT172&lt;&gt;0,N172&lt;&gt;"NR"),DHR*W172,0)</f>
        <v>100.436544</v>
      </c>
      <c r="BJ172" s="462">
        <f>IF(AT172&lt;&gt;0,WC*W172,0)</f>
        <v>882.92256000000009</v>
      </c>
      <c r="BK172" s="462">
        <f>IF(OR(AND(AT172&lt;&gt;0,AJ172&lt;&gt;"PF",AN172&lt;&gt;"NE",AG172&lt;&gt;"A"),AND(AL172="E",OR(AT172=1,AT172=3))),Sick*W172,0)</f>
        <v>0</v>
      </c>
      <c r="BL172" s="462">
        <f t="shared" si="39"/>
        <v>7810.7465280000006</v>
      </c>
      <c r="BM172" s="462">
        <f t="shared" si="40"/>
        <v>0</v>
      </c>
      <c r="BN172" s="462">
        <f>IF(AND(AT172=1,AK172="E",AU172&gt;=0.75,AW172=1),HealthBY,IF(AND(AT172=1,AK172="E",AU172&gt;=0.75),HealthBY*P172,IF(AND(AT172=1,AK172="E",AU172&gt;=0.5,AW172=1),PTHealthBY,IF(AND(AT172=1,AK172="E",AU172&gt;=0.5),PTHealthBY*P172,0))))</f>
        <v>11650</v>
      </c>
      <c r="BO172" s="462">
        <f>IF(AND(AT172=3,AK172="E",AV172&gt;=0.75,AW172=1),HealthBY,IF(AND(AT172=3,AK172="E",AV172&gt;=0.75),HealthBY*P172,IF(AND(AT172=3,AK172="E",AV172&gt;=0.5,AW172=1),PTHealthBY,IF(AND(AT172=3,AK172="E",AV172&gt;=0.5),PTHealthBY*P172,0))))</f>
        <v>0</v>
      </c>
      <c r="BP172" s="462">
        <f>IF(AND(AT172&lt;&gt;0,(AX172+BA172)&gt;=MAXSSDIBY),SSDIBY*MAXSSDIBY*P172,IF(AT172&lt;&gt;0,SSDIBY*W172,0))</f>
        <v>2034.9888000000001</v>
      </c>
      <c r="BQ172" s="462">
        <f>IF(AT172&lt;&gt;0,SSHIBY*W172,0)</f>
        <v>475.92480000000006</v>
      </c>
      <c r="BR172" s="462">
        <f>IF(AND(AT172&lt;&gt;0,AN172&lt;&gt;"NE"),VLOOKUP(AN172,Retirement_Rates,4,FALSE)*W172,0)</f>
        <v>3918.9945600000005</v>
      </c>
      <c r="BS172" s="462">
        <f>IF(AND(AT172&lt;&gt;0,AJ172&lt;&gt;"PF"),LifeBY*W172,0)</f>
        <v>236.64950400000001</v>
      </c>
      <c r="BT172" s="462">
        <f>IF(AND(AT172&lt;&gt;0,AM172="Y"),UIBY*W172,0)</f>
        <v>0</v>
      </c>
      <c r="BU172" s="462">
        <f>IF(AND(AT172&lt;&gt;0,N172&lt;&gt;"NR"),DHRBY*W172,0)</f>
        <v>100.436544</v>
      </c>
      <c r="BV172" s="462">
        <f>IF(AT172&lt;&gt;0,WCBY*W172,0)</f>
        <v>1138.9372800000001</v>
      </c>
      <c r="BW172" s="462">
        <f>IF(OR(AND(AT172&lt;&gt;0,AJ172&lt;&gt;"PF",AN172&lt;&gt;"NE",AG172&lt;&gt;"A"),AND(AL172="E",OR(AT172=1,AT172=3))),SickBY*W172,0)</f>
        <v>0</v>
      </c>
      <c r="BX172" s="462">
        <f t="shared" si="41"/>
        <v>7905.9314880000011</v>
      </c>
      <c r="BY172" s="462">
        <f t="shared" si="42"/>
        <v>0</v>
      </c>
      <c r="BZ172" s="462">
        <f t="shared" si="43"/>
        <v>0</v>
      </c>
      <c r="CA172" s="462">
        <f t="shared" si="44"/>
        <v>0</v>
      </c>
      <c r="CB172" s="462">
        <f t="shared" si="45"/>
        <v>0</v>
      </c>
      <c r="CC172" s="462">
        <f>IF(AT172&lt;&gt;0,SSHICHG*Y172,0)</f>
        <v>0</v>
      </c>
      <c r="CD172" s="462">
        <f>IF(AND(AT172&lt;&gt;0,AN172&lt;&gt;"NE"),VLOOKUP(AN172,Retirement_Rates,5,FALSE)*Y172,0)</f>
        <v>0</v>
      </c>
      <c r="CE172" s="462">
        <f>IF(AND(AT172&lt;&gt;0,AJ172&lt;&gt;"PF"),LifeCHG*Y172,0)</f>
        <v>0</v>
      </c>
      <c r="CF172" s="462">
        <f>IF(AND(AT172&lt;&gt;0,AM172="Y"),UICHG*Y172,0)</f>
        <v>-160.82975999999999</v>
      </c>
      <c r="CG172" s="462">
        <f>IF(AND(AT172&lt;&gt;0,N172&lt;&gt;"NR"),DHRCHG*Y172,0)</f>
        <v>0</v>
      </c>
      <c r="CH172" s="462">
        <f>IF(AT172&lt;&gt;0,WCCHG*Y172,0)</f>
        <v>256.01472000000007</v>
      </c>
      <c r="CI172" s="462">
        <f>IF(OR(AND(AT172&lt;&gt;0,AJ172&lt;&gt;"PF",AN172&lt;&gt;"NE",AG172&lt;&gt;"A"),AND(AL172="E",OR(AT172=1,AT172=3))),SickCHG*Y172,0)</f>
        <v>0</v>
      </c>
      <c r="CJ172" s="462">
        <f t="shared" si="46"/>
        <v>95.184960000000075</v>
      </c>
      <c r="CK172" s="462" t="str">
        <f t="shared" si="47"/>
        <v/>
      </c>
      <c r="CL172" s="462" t="str">
        <f t="shared" si="48"/>
        <v/>
      </c>
      <c r="CM172" s="462" t="str">
        <f t="shared" si="49"/>
        <v/>
      </c>
      <c r="CN172" s="462" t="str">
        <f t="shared" si="50"/>
        <v>0243-00</v>
      </c>
    </row>
    <row r="173" spans="1:92" ht="15" thickBot="1" x14ac:dyDescent="0.35">
      <c r="A173" s="376" t="s">
        <v>161</v>
      </c>
      <c r="B173" s="376" t="s">
        <v>162</v>
      </c>
      <c r="C173" s="376" t="s">
        <v>688</v>
      </c>
      <c r="D173" s="376" t="s">
        <v>221</v>
      </c>
      <c r="E173" s="376" t="s">
        <v>273</v>
      </c>
      <c r="F173" s="377" t="s">
        <v>166</v>
      </c>
      <c r="G173" s="376" t="s">
        <v>432</v>
      </c>
      <c r="H173" s="378"/>
      <c r="I173" s="378"/>
      <c r="J173" s="376" t="s">
        <v>168</v>
      </c>
      <c r="K173" s="376" t="s">
        <v>222</v>
      </c>
      <c r="L173" s="376" t="s">
        <v>166</v>
      </c>
      <c r="M173" s="376" t="s">
        <v>171</v>
      </c>
      <c r="N173" s="376" t="s">
        <v>223</v>
      </c>
      <c r="O173" s="379">
        <v>0</v>
      </c>
      <c r="P173" s="460">
        <v>1</v>
      </c>
      <c r="Q173" s="460">
        <v>0</v>
      </c>
      <c r="R173" s="380">
        <v>0</v>
      </c>
      <c r="S173" s="460">
        <v>0</v>
      </c>
      <c r="T173" s="380">
        <v>9817.26</v>
      </c>
      <c r="U173" s="380">
        <v>0</v>
      </c>
      <c r="V173" s="380">
        <v>900.94</v>
      </c>
      <c r="W173" s="380">
        <v>9817.26</v>
      </c>
      <c r="X173" s="380">
        <v>900.94</v>
      </c>
      <c r="Y173" s="380">
        <v>9817.26</v>
      </c>
      <c r="Z173" s="380">
        <v>900.94</v>
      </c>
      <c r="AA173" s="378"/>
      <c r="AB173" s="376" t="s">
        <v>45</v>
      </c>
      <c r="AC173" s="376" t="s">
        <v>45</v>
      </c>
      <c r="AD173" s="378"/>
      <c r="AE173" s="378"/>
      <c r="AF173" s="378"/>
      <c r="AG173" s="378"/>
      <c r="AH173" s="379">
        <v>0</v>
      </c>
      <c r="AI173" s="379">
        <v>0</v>
      </c>
      <c r="AJ173" s="378"/>
      <c r="AK173" s="378"/>
      <c r="AL173" s="376" t="s">
        <v>181</v>
      </c>
      <c r="AM173" s="378"/>
      <c r="AN173" s="378"/>
      <c r="AO173" s="379">
        <v>0</v>
      </c>
      <c r="AP173" s="460">
        <v>0</v>
      </c>
      <c r="AQ173" s="460">
        <v>0</v>
      </c>
      <c r="AR173" s="459"/>
      <c r="AS173" s="462">
        <f t="shared" si="34"/>
        <v>0</v>
      </c>
      <c r="AT173">
        <f t="shared" si="35"/>
        <v>0</v>
      </c>
      <c r="AU173" s="462" t="str">
        <f>IF(AT173=0,"",IF(AND(AT173=1,M173="F",SUMIF(C2:C391,C173,AS2:AS391)&lt;=1),SUMIF(C2:C391,C173,AS2:AS391),IF(AND(AT173=1,M173="F",SUMIF(C2:C391,C173,AS2:AS391)&gt;1),1,"")))</f>
        <v/>
      </c>
      <c r="AV173" s="462" t="str">
        <f>IF(AT173=0,"",IF(AND(AT173=3,M173="F",SUMIF(C2:C391,C173,AS2:AS391)&lt;=1),SUMIF(C2:C391,C173,AS2:AS391),IF(AND(AT173=3,M173="F",SUMIF(C2:C391,C173,AS2:AS391)&gt;1),1,"")))</f>
        <v/>
      </c>
      <c r="AW173" s="462">
        <f>SUMIF(C2:C391,C173,O2:O391)</f>
        <v>0</v>
      </c>
      <c r="AX173" s="462">
        <f>IF(AND(M173="F",AS173&lt;&gt;0),SUMIF(C2:C391,C173,W2:W391),0)</f>
        <v>0</v>
      </c>
      <c r="AY173" s="462" t="str">
        <f t="shared" si="36"/>
        <v/>
      </c>
      <c r="AZ173" s="462" t="str">
        <f t="shared" si="37"/>
        <v/>
      </c>
      <c r="BA173" s="462">
        <f t="shared" si="38"/>
        <v>0</v>
      </c>
      <c r="BB173" s="462">
        <f>IF(AND(AT173=1,AK173="E",AU173&gt;=0.75,AW173=1),Health,IF(AND(AT173=1,AK173="E",AU173&gt;=0.75),Health*P173,IF(AND(AT173=1,AK173="E",AU173&gt;=0.5,AW173=1),PTHealth,IF(AND(AT173=1,AK173="E",AU173&gt;=0.5),PTHealth*P173,0))))</f>
        <v>0</v>
      </c>
      <c r="BC173" s="462">
        <f>IF(AND(AT173=3,AK173="E",AV173&gt;=0.75,AW173=1),Health,IF(AND(AT173=3,AK173="E",AV173&gt;=0.75),Health*P173,IF(AND(AT173=3,AK173="E",AV173&gt;=0.5,AW173=1),PTHealth,IF(AND(AT173=3,AK173="E",AV173&gt;=0.5),PTHealth*P173,0))))</f>
        <v>0</v>
      </c>
      <c r="BD173" s="462">
        <f>IF(AND(AT173&lt;&gt;0,AX173&gt;=MAXSSDI),SSDI*MAXSSDI*P173,IF(AT173&lt;&gt;0,SSDI*W173,0))</f>
        <v>0</v>
      </c>
      <c r="BE173" s="462">
        <f>IF(AT173&lt;&gt;0,SSHI*W173,0)</f>
        <v>0</v>
      </c>
      <c r="BF173" s="462">
        <f>IF(AND(AT173&lt;&gt;0,AN173&lt;&gt;"NE"),VLOOKUP(AN173,Retirement_Rates,3,FALSE)*W173,0)</f>
        <v>0</v>
      </c>
      <c r="BG173" s="462">
        <f>IF(AND(AT173&lt;&gt;0,AJ173&lt;&gt;"PF"),Life*W173,0)</f>
        <v>0</v>
      </c>
      <c r="BH173" s="462">
        <f>IF(AND(AT173&lt;&gt;0,AM173="Y"),UI*W173,0)</f>
        <v>0</v>
      </c>
      <c r="BI173" s="462">
        <f>IF(AND(AT173&lt;&gt;0,N173&lt;&gt;"NR"),DHR*W173,0)</f>
        <v>0</v>
      </c>
      <c r="BJ173" s="462">
        <f>IF(AT173&lt;&gt;0,WC*W173,0)</f>
        <v>0</v>
      </c>
      <c r="BK173" s="462">
        <f>IF(OR(AND(AT173&lt;&gt;0,AJ173&lt;&gt;"PF",AN173&lt;&gt;"NE",AG173&lt;&gt;"A"),AND(AL173="E",OR(AT173=1,AT173=3))),Sick*W173,0)</f>
        <v>0</v>
      </c>
      <c r="BL173" s="462">
        <f t="shared" si="39"/>
        <v>0</v>
      </c>
      <c r="BM173" s="462">
        <f t="shared" si="40"/>
        <v>0</v>
      </c>
      <c r="BN173" s="462">
        <f>IF(AND(AT173=1,AK173="E",AU173&gt;=0.75,AW173=1),HealthBY,IF(AND(AT173=1,AK173="E",AU173&gt;=0.75),HealthBY*P173,IF(AND(AT173=1,AK173="E",AU173&gt;=0.5,AW173=1),PTHealthBY,IF(AND(AT173=1,AK173="E",AU173&gt;=0.5),PTHealthBY*P173,0))))</f>
        <v>0</v>
      </c>
      <c r="BO173" s="462">
        <f>IF(AND(AT173=3,AK173="E",AV173&gt;=0.75,AW173=1),HealthBY,IF(AND(AT173=3,AK173="E",AV173&gt;=0.75),HealthBY*P173,IF(AND(AT173=3,AK173="E",AV173&gt;=0.5,AW173=1),PTHealthBY,IF(AND(AT173=3,AK173="E",AV173&gt;=0.5),PTHealthBY*P173,0))))</f>
        <v>0</v>
      </c>
      <c r="BP173" s="462">
        <f>IF(AND(AT173&lt;&gt;0,(AX173+BA173)&gt;=MAXSSDIBY),SSDIBY*MAXSSDIBY*P173,IF(AT173&lt;&gt;0,SSDIBY*W173,0))</f>
        <v>0</v>
      </c>
      <c r="BQ173" s="462">
        <f>IF(AT173&lt;&gt;0,SSHIBY*W173,0)</f>
        <v>0</v>
      </c>
      <c r="BR173" s="462">
        <f>IF(AND(AT173&lt;&gt;0,AN173&lt;&gt;"NE"),VLOOKUP(AN173,Retirement_Rates,4,FALSE)*W173,0)</f>
        <v>0</v>
      </c>
      <c r="BS173" s="462">
        <f>IF(AND(AT173&lt;&gt;0,AJ173&lt;&gt;"PF"),LifeBY*W173,0)</f>
        <v>0</v>
      </c>
      <c r="BT173" s="462">
        <f>IF(AND(AT173&lt;&gt;0,AM173="Y"),UIBY*W173,0)</f>
        <v>0</v>
      </c>
      <c r="BU173" s="462">
        <f>IF(AND(AT173&lt;&gt;0,N173&lt;&gt;"NR"),DHRBY*W173,0)</f>
        <v>0</v>
      </c>
      <c r="BV173" s="462">
        <f>IF(AT173&lt;&gt;0,WCBY*W173,0)</f>
        <v>0</v>
      </c>
      <c r="BW173" s="462">
        <f>IF(OR(AND(AT173&lt;&gt;0,AJ173&lt;&gt;"PF",AN173&lt;&gt;"NE",AG173&lt;&gt;"A"),AND(AL173="E",OR(AT173=1,AT173=3))),SickBY*W173,0)</f>
        <v>0</v>
      </c>
      <c r="BX173" s="462">
        <f t="shared" si="41"/>
        <v>0</v>
      </c>
      <c r="BY173" s="462">
        <f t="shared" si="42"/>
        <v>0</v>
      </c>
      <c r="BZ173" s="462">
        <f t="shared" si="43"/>
        <v>0</v>
      </c>
      <c r="CA173" s="462">
        <f t="shared" si="44"/>
        <v>0</v>
      </c>
      <c r="CB173" s="462">
        <f t="shared" si="45"/>
        <v>0</v>
      </c>
      <c r="CC173" s="462">
        <f>IF(AT173&lt;&gt;0,SSHICHG*Y173,0)</f>
        <v>0</v>
      </c>
      <c r="CD173" s="462">
        <f>IF(AND(AT173&lt;&gt;0,AN173&lt;&gt;"NE"),VLOOKUP(AN173,Retirement_Rates,5,FALSE)*Y173,0)</f>
        <v>0</v>
      </c>
      <c r="CE173" s="462">
        <f>IF(AND(AT173&lt;&gt;0,AJ173&lt;&gt;"PF"),LifeCHG*Y173,0)</f>
        <v>0</v>
      </c>
      <c r="CF173" s="462">
        <f>IF(AND(AT173&lt;&gt;0,AM173="Y"),UICHG*Y173,0)</f>
        <v>0</v>
      </c>
      <c r="CG173" s="462">
        <f>IF(AND(AT173&lt;&gt;0,N173&lt;&gt;"NR"),DHRCHG*Y173,0)</f>
        <v>0</v>
      </c>
      <c r="CH173" s="462">
        <f>IF(AT173&lt;&gt;0,WCCHG*Y173,0)</f>
        <v>0</v>
      </c>
      <c r="CI173" s="462">
        <f>IF(OR(AND(AT173&lt;&gt;0,AJ173&lt;&gt;"PF",AN173&lt;&gt;"NE",AG173&lt;&gt;"A"),AND(AL173="E",OR(AT173=1,AT173=3))),SickCHG*Y173,0)</f>
        <v>0</v>
      </c>
      <c r="CJ173" s="462">
        <f t="shared" si="46"/>
        <v>0</v>
      </c>
      <c r="CK173" s="462" t="str">
        <f t="shared" si="47"/>
        <v/>
      </c>
      <c r="CL173" s="462">
        <f t="shared" si="48"/>
        <v>9817.26</v>
      </c>
      <c r="CM173" s="462">
        <f t="shared" si="49"/>
        <v>900.94</v>
      </c>
      <c r="CN173" s="462" t="str">
        <f t="shared" si="50"/>
        <v>0243-00</v>
      </c>
    </row>
    <row r="174" spans="1:92" ht="15" thickBot="1" x14ac:dyDescent="0.35">
      <c r="A174" s="376" t="s">
        <v>161</v>
      </c>
      <c r="B174" s="376" t="s">
        <v>162</v>
      </c>
      <c r="C174" s="376" t="s">
        <v>689</v>
      </c>
      <c r="D174" s="376" t="s">
        <v>690</v>
      </c>
      <c r="E174" s="376" t="s">
        <v>273</v>
      </c>
      <c r="F174" s="377" t="s">
        <v>166</v>
      </c>
      <c r="G174" s="376" t="s">
        <v>432</v>
      </c>
      <c r="H174" s="378"/>
      <c r="I174" s="378"/>
      <c r="J174" s="376" t="s">
        <v>193</v>
      </c>
      <c r="K174" s="376" t="s">
        <v>691</v>
      </c>
      <c r="L174" s="376" t="s">
        <v>170</v>
      </c>
      <c r="M174" s="376" t="s">
        <v>171</v>
      </c>
      <c r="N174" s="376" t="s">
        <v>172</v>
      </c>
      <c r="O174" s="379">
        <v>1</v>
      </c>
      <c r="P174" s="460">
        <v>0</v>
      </c>
      <c r="Q174" s="460">
        <v>0</v>
      </c>
      <c r="R174" s="380">
        <v>80</v>
      </c>
      <c r="S174" s="460">
        <v>0</v>
      </c>
      <c r="T174" s="380">
        <v>1153.45</v>
      </c>
      <c r="U174" s="380">
        <v>0</v>
      </c>
      <c r="V174" s="380">
        <v>729.64</v>
      </c>
      <c r="W174" s="380">
        <v>0</v>
      </c>
      <c r="X174" s="380">
        <v>0</v>
      </c>
      <c r="Y174" s="380">
        <v>0</v>
      </c>
      <c r="Z174" s="380">
        <v>0</v>
      </c>
      <c r="AA174" s="376" t="s">
        <v>692</v>
      </c>
      <c r="AB174" s="376" t="s">
        <v>693</v>
      </c>
      <c r="AC174" s="376" t="s">
        <v>694</v>
      </c>
      <c r="AD174" s="376" t="s">
        <v>324</v>
      </c>
      <c r="AE174" s="376" t="s">
        <v>691</v>
      </c>
      <c r="AF174" s="376" t="s">
        <v>177</v>
      </c>
      <c r="AG174" s="376" t="s">
        <v>178</v>
      </c>
      <c r="AH174" s="381">
        <v>28.89</v>
      </c>
      <c r="AI174" s="381">
        <v>10680.4</v>
      </c>
      <c r="AJ174" s="376" t="s">
        <v>179</v>
      </c>
      <c r="AK174" s="376" t="s">
        <v>180</v>
      </c>
      <c r="AL174" s="376" t="s">
        <v>181</v>
      </c>
      <c r="AM174" s="376" t="s">
        <v>182</v>
      </c>
      <c r="AN174" s="376" t="s">
        <v>68</v>
      </c>
      <c r="AO174" s="379">
        <v>80</v>
      </c>
      <c r="AP174" s="460">
        <v>1</v>
      </c>
      <c r="AQ174" s="460">
        <v>0</v>
      </c>
      <c r="AR174" s="458" t="s">
        <v>183</v>
      </c>
      <c r="AS174" s="462">
        <f t="shared" si="34"/>
        <v>0</v>
      </c>
      <c r="AT174">
        <f t="shared" si="35"/>
        <v>0</v>
      </c>
      <c r="AU174" s="462" t="str">
        <f>IF(AT174=0,"",IF(AND(AT174=1,M174="F",SUMIF(C2:C391,C174,AS2:AS391)&lt;=1),SUMIF(C2:C391,C174,AS2:AS391),IF(AND(AT174=1,M174="F",SUMIF(C2:C391,C174,AS2:AS391)&gt;1),1,"")))</f>
        <v/>
      </c>
      <c r="AV174" s="462" t="str">
        <f>IF(AT174=0,"",IF(AND(AT174=3,M174="F",SUMIF(C2:C391,C174,AS2:AS391)&lt;=1),SUMIF(C2:C391,C174,AS2:AS391),IF(AND(AT174=3,M174="F",SUMIF(C2:C391,C174,AS2:AS391)&gt;1),1,"")))</f>
        <v/>
      </c>
      <c r="AW174" s="462">
        <f>SUMIF(C2:C391,C174,O2:O391)</f>
        <v>4</v>
      </c>
      <c r="AX174" s="462">
        <f>IF(AND(M174="F",AS174&lt;&gt;0),SUMIF(C2:C391,C174,W2:W391),0)</f>
        <v>0</v>
      </c>
      <c r="AY174" s="462" t="str">
        <f t="shared" si="36"/>
        <v/>
      </c>
      <c r="AZ174" s="462" t="str">
        <f t="shared" si="37"/>
        <v/>
      </c>
      <c r="BA174" s="462">
        <f t="shared" si="38"/>
        <v>0</v>
      </c>
      <c r="BB174" s="462">
        <f>IF(AND(AT174=1,AK174="E",AU174&gt;=0.75,AW174=1),Health,IF(AND(AT174=1,AK174="E",AU174&gt;=0.75),Health*P174,IF(AND(AT174=1,AK174="E",AU174&gt;=0.5,AW174=1),PTHealth,IF(AND(AT174=1,AK174="E",AU174&gt;=0.5),PTHealth*P174,0))))</f>
        <v>0</v>
      </c>
      <c r="BC174" s="462">
        <f>IF(AND(AT174=3,AK174="E",AV174&gt;=0.75,AW174=1),Health,IF(AND(AT174=3,AK174="E",AV174&gt;=0.75),Health*P174,IF(AND(AT174=3,AK174="E",AV174&gt;=0.5,AW174=1),PTHealth,IF(AND(AT174=3,AK174="E",AV174&gt;=0.5),PTHealth*P174,0))))</f>
        <v>0</v>
      </c>
      <c r="BD174" s="462">
        <f>IF(AND(AT174&lt;&gt;0,AX174&gt;=MAXSSDI),SSDI*MAXSSDI*P174,IF(AT174&lt;&gt;0,SSDI*W174,0))</f>
        <v>0</v>
      </c>
      <c r="BE174" s="462">
        <f>IF(AT174&lt;&gt;0,SSHI*W174,0)</f>
        <v>0</v>
      </c>
      <c r="BF174" s="462">
        <f>IF(AND(AT174&lt;&gt;0,AN174&lt;&gt;"NE"),VLOOKUP(AN174,Retirement_Rates,3,FALSE)*W174,0)</f>
        <v>0</v>
      </c>
      <c r="BG174" s="462">
        <f>IF(AND(AT174&lt;&gt;0,AJ174&lt;&gt;"PF"),Life*W174,0)</f>
        <v>0</v>
      </c>
      <c r="BH174" s="462">
        <f>IF(AND(AT174&lt;&gt;0,AM174="Y"),UI*W174,0)</f>
        <v>0</v>
      </c>
      <c r="BI174" s="462">
        <f>IF(AND(AT174&lt;&gt;0,N174&lt;&gt;"NR"),DHR*W174,0)</f>
        <v>0</v>
      </c>
      <c r="BJ174" s="462">
        <f>IF(AT174&lt;&gt;0,WC*W174,0)</f>
        <v>0</v>
      </c>
      <c r="BK174" s="462">
        <f>IF(OR(AND(AT174&lt;&gt;0,AJ174&lt;&gt;"PF",AN174&lt;&gt;"NE",AG174&lt;&gt;"A"),AND(AL174="E",OR(AT174=1,AT174=3))),Sick*W174,0)</f>
        <v>0</v>
      </c>
      <c r="BL174" s="462">
        <f t="shared" si="39"/>
        <v>0</v>
      </c>
      <c r="BM174" s="462">
        <f t="shared" si="40"/>
        <v>0</v>
      </c>
      <c r="BN174" s="462">
        <f>IF(AND(AT174=1,AK174="E",AU174&gt;=0.75,AW174=1),HealthBY,IF(AND(AT174=1,AK174="E",AU174&gt;=0.75),HealthBY*P174,IF(AND(AT174=1,AK174="E",AU174&gt;=0.5,AW174=1),PTHealthBY,IF(AND(AT174=1,AK174="E",AU174&gt;=0.5),PTHealthBY*P174,0))))</f>
        <v>0</v>
      </c>
      <c r="BO174" s="462">
        <f>IF(AND(AT174=3,AK174="E",AV174&gt;=0.75,AW174=1),HealthBY,IF(AND(AT174=3,AK174="E",AV174&gt;=0.75),HealthBY*P174,IF(AND(AT174=3,AK174="E",AV174&gt;=0.5,AW174=1),PTHealthBY,IF(AND(AT174=3,AK174="E",AV174&gt;=0.5),PTHealthBY*P174,0))))</f>
        <v>0</v>
      </c>
      <c r="BP174" s="462">
        <f>IF(AND(AT174&lt;&gt;0,(AX174+BA174)&gt;=MAXSSDIBY),SSDIBY*MAXSSDIBY*P174,IF(AT174&lt;&gt;0,SSDIBY*W174,0))</f>
        <v>0</v>
      </c>
      <c r="BQ174" s="462">
        <f>IF(AT174&lt;&gt;0,SSHIBY*W174,0)</f>
        <v>0</v>
      </c>
      <c r="BR174" s="462">
        <f>IF(AND(AT174&lt;&gt;0,AN174&lt;&gt;"NE"),VLOOKUP(AN174,Retirement_Rates,4,FALSE)*W174,0)</f>
        <v>0</v>
      </c>
      <c r="BS174" s="462">
        <f>IF(AND(AT174&lt;&gt;0,AJ174&lt;&gt;"PF"),LifeBY*W174,0)</f>
        <v>0</v>
      </c>
      <c r="BT174" s="462">
        <f>IF(AND(AT174&lt;&gt;0,AM174="Y"),UIBY*W174,0)</f>
        <v>0</v>
      </c>
      <c r="BU174" s="462">
        <f>IF(AND(AT174&lt;&gt;0,N174&lt;&gt;"NR"),DHRBY*W174,0)</f>
        <v>0</v>
      </c>
      <c r="BV174" s="462">
        <f>IF(AT174&lt;&gt;0,WCBY*W174,0)</f>
        <v>0</v>
      </c>
      <c r="BW174" s="462">
        <f>IF(OR(AND(AT174&lt;&gt;0,AJ174&lt;&gt;"PF",AN174&lt;&gt;"NE",AG174&lt;&gt;"A"),AND(AL174="E",OR(AT174=1,AT174=3))),SickBY*W174,0)</f>
        <v>0</v>
      </c>
      <c r="BX174" s="462">
        <f t="shared" si="41"/>
        <v>0</v>
      </c>
      <c r="BY174" s="462">
        <f t="shared" si="42"/>
        <v>0</v>
      </c>
      <c r="BZ174" s="462">
        <f t="shared" si="43"/>
        <v>0</v>
      </c>
      <c r="CA174" s="462">
        <f t="shared" si="44"/>
        <v>0</v>
      </c>
      <c r="CB174" s="462">
        <f t="shared" si="45"/>
        <v>0</v>
      </c>
      <c r="CC174" s="462">
        <f>IF(AT174&lt;&gt;0,SSHICHG*Y174,0)</f>
        <v>0</v>
      </c>
      <c r="CD174" s="462">
        <f>IF(AND(AT174&lt;&gt;0,AN174&lt;&gt;"NE"),VLOOKUP(AN174,Retirement_Rates,5,FALSE)*Y174,0)</f>
        <v>0</v>
      </c>
      <c r="CE174" s="462">
        <f>IF(AND(AT174&lt;&gt;0,AJ174&lt;&gt;"PF"),LifeCHG*Y174,0)</f>
        <v>0</v>
      </c>
      <c r="CF174" s="462">
        <f>IF(AND(AT174&lt;&gt;0,AM174="Y"),UICHG*Y174,0)</f>
        <v>0</v>
      </c>
      <c r="CG174" s="462">
        <f>IF(AND(AT174&lt;&gt;0,N174&lt;&gt;"NR"),DHRCHG*Y174,0)</f>
        <v>0</v>
      </c>
      <c r="CH174" s="462">
        <f>IF(AT174&lt;&gt;0,WCCHG*Y174,0)</f>
        <v>0</v>
      </c>
      <c r="CI174" s="462">
        <f>IF(OR(AND(AT174&lt;&gt;0,AJ174&lt;&gt;"PF",AN174&lt;&gt;"NE",AG174&lt;&gt;"A"),AND(AL174="E",OR(AT174=1,AT174=3))),SickCHG*Y174,0)</f>
        <v>0</v>
      </c>
      <c r="CJ174" s="462">
        <f t="shared" si="46"/>
        <v>0</v>
      </c>
      <c r="CK174" s="462" t="str">
        <f t="shared" si="47"/>
        <v/>
      </c>
      <c r="CL174" s="462" t="str">
        <f t="shared" si="48"/>
        <v/>
      </c>
      <c r="CM174" s="462" t="str">
        <f t="shared" si="49"/>
        <v/>
      </c>
      <c r="CN174" s="462" t="str">
        <f t="shared" si="50"/>
        <v>0243-00</v>
      </c>
    </row>
    <row r="175" spans="1:92" ht="15" thickBot="1" x14ac:dyDescent="0.35">
      <c r="A175" s="376" t="s">
        <v>161</v>
      </c>
      <c r="B175" s="376" t="s">
        <v>162</v>
      </c>
      <c r="C175" s="376" t="s">
        <v>695</v>
      </c>
      <c r="D175" s="376" t="s">
        <v>438</v>
      </c>
      <c r="E175" s="376" t="s">
        <v>273</v>
      </c>
      <c r="F175" s="377" t="s">
        <v>166</v>
      </c>
      <c r="G175" s="376" t="s">
        <v>432</v>
      </c>
      <c r="H175" s="378"/>
      <c r="I175" s="378"/>
      <c r="J175" s="376" t="s">
        <v>168</v>
      </c>
      <c r="K175" s="376" t="s">
        <v>439</v>
      </c>
      <c r="L175" s="376" t="s">
        <v>231</v>
      </c>
      <c r="M175" s="376" t="s">
        <v>171</v>
      </c>
      <c r="N175" s="376" t="s">
        <v>172</v>
      </c>
      <c r="O175" s="379">
        <v>1</v>
      </c>
      <c r="P175" s="460">
        <v>1</v>
      </c>
      <c r="Q175" s="460">
        <v>1</v>
      </c>
      <c r="R175" s="380">
        <v>80</v>
      </c>
      <c r="S175" s="460">
        <v>1</v>
      </c>
      <c r="T175" s="380">
        <v>45486.09</v>
      </c>
      <c r="U175" s="380">
        <v>0</v>
      </c>
      <c r="V175" s="380">
        <v>21655.51</v>
      </c>
      <c r="W175" s="380">
        <v>46072</v>
      </c>
      <c r="X175" s="380">
        <v>22613.72</v>
      </c>
      <c r="Y175" s="380">
        <v>46072</v>
      </c>
      <c r="Z175" s="380">
        <v>22747.33</v>
      </c>
      <c r="AA175" s="376" t="s">
        <v>696</v>
      </c>
      <c r="AB175" s="376" t="s">
        <v>697</v>
      </c>
      <c r="AC175" s="376" t="s">
        <v>698</v>
      </c>
      <c r="AD175" s="376" t="s">
        <v>699</v>
      </c>
      <c r="AE175" s="376" t="s">
        <v>439</v>
      </c>
      <c r="AF175" s="376" t="s">
        <v>236</v>
      </c>
      <c r="AG175" s="376" t="s">
        <v>178</v>
      </c>
      <c r="AH175" s="381">
        <v>22.15</v>
      </c>
      <c r="AI175" s="381">
        <v>42201.8</v>
      </c>
      <c r="AJ175" s="376" t="s">
        <v>179</v>
      </c>
      <c r="AK175" s="376" t="s">
        <v>180</v>
      </c>
      <c r="AL175" s="376" t="s">
        <v>181</v>
      </c>
      <c r="AM175" s="376" t="s">
        <v>182</v>
      </c>
      <c r="AN175" s="376" t="s">
        <v>68</v>
      </c>
      <c r="AO175" s="379">
        <v>80</v>
      </c>
      <c r="AP175" s="460">
        <v>1</v>
      </c>
      <c r="AQ175" s="460">
        <v>1</v>
      </c>
      <c r="AR175" s="458" t="s">
        <v>183</v>
      </c>
      <c r="AS175" s="462">
        <f t="shared" si="34"/>
        <v>1</v>
      </c>
      <c r="AT175">
        <f t="shared" si="35"/>
        <v>1</v>
      </c>
      <c r="AU175" s="462">
        <f>IF(AT175=0,"",IF(AND(AT175=1,M175="F",SUMIF(C2:C391,C175,AS2:AS391)&lt;=1),SUMIF(C2:C391,C175,AS2:AS391),IF(AND(AT175=1,M175="F",SUMIF(C2:C391,C175,AS2:AS391)&gt;1),1,"")))</f>
        <v>1</v>
      </c>
      <c r="AV175" s="462" t="str">
        <f>IF(AT175=0,"",IF(AND(AT175=3,M175="F",SUMIF(C2:C391,C175,AS2:AS391)&lt;=1),SUMIF(C2:C391,C175,AS2:AS391),IF(AND(AT175=3,M175="F",SUMIF(C2:C391,C175,AS2:AS391)&gt;1),1,"")))</f>
        <v/>
      </c>
      <c r="AW175" s="462">
        <f>SUMIF(C2:C391,C175,O2:O391)</f>
        <v>1</v>
      </c>
      <c r="AX175" s="462">
        <f>IF(AND(M175="F",AS175&lt;&gt;0),SUMIF(C2:C391,C175,W2:W391),0)</f>
        <v>46072</v>
      </c>
      <c r="AY175" s="462">
        <f t="shared" si="36"/>
        <v>46072</v>
      </c>
      <c r="AZ175" s="462" t="str">
        <f t="shared" si="37"/>
        <v/>
      </c>
      <c r="BA175" s="462">
        <f t="shared" si="38"/>
        <v>0</v>
      </c>
      <c r="BB175" s="462">
        <f>IF(AND(AT175=1,AK175="E",AU175&gt;=0.75,AW175=1),Health,IF(AND(AT175=1,AK175="E",AU175&gt;=0.75),Health*P175,IF(AND(AT175=1,AK175="E",AU175&gt;=0.5,AW175=1),PTHealth,IF(AND(AT175=1,AK175="E",AU175&gt;=0.5),PTHealth*P175,0))))</f>
        <v>11650</v>
      </c>
      <c r="BC175" s="462">
        <f>IF(AND(AT175=3,AK175="E",AV175&gt;=0.75,AW175=1),Health,IF(AND(AT175=3,AK175="E",AV175&gt;=0.75),Health*P175,IF(AND(AT175=3,AK175="E",AV175&gt;=0.5,AW175=1),PTHealth,IF(AND(AT175=3,AK175="E",AV175&gt;=0.5),PTHealth*P175,0))))</f>
        <v>0</v>
      </c>
      <c r="BD175" s="462">
        <f>IF(AND(AT175&lt;&gt;0,AX175&gt;=MAXSSDI),SSDI*MAXSSDI*P175,IF(AT175&lt;&gt;0,SSDI*W175,0))</f>
        <v>2856.4639999999999</v>
      </c>
      <c r="BE175" s="462">
        <f>IF(AT175&lt;&gt;0,SSHI*W175,0)</f>
        <v>668.04399999999998</v>
      </c>
      <c r="BF175" s="462">
        <f>IF(AND(AT175&lt;&gt;0,AN175&lt;&gt;"NE"),VLOOKUP(AN175,Retirement_Rates,3,FALSE)*W175,0)</f>
        <v>5500.9967999999999</v>
      </c>
      <c r="BG175" s="462">
        <f>IF(AND(AT175&lt;&gt;0,AJ175&lt;&gt;"PF"),Life*W175,0)</f>
        <v>332.17912000000001</v>
      </c>
      <c r="BH175" s="462">
        <f>IF(AND(AT175&lt;&gt;0,AM175="Y"),UI*W175,0)</f>
        <v>225.75279999999998</v>
      </c>
      <c r="BI175" s="462">
        <f>IF(AND(AT175&lt;&gt;0,N175&lt;&gt;"NR"),DHR*W175,0)</f>
        <v>140.98031999999998</v>
      </c>
      <c r="BJ175" s="462">
        <f>IF(AT175&lt;&gt;0,WC*W175,0)</f>
        <v>1239.3368</v>
      </c>
      <c r="BK175" s="462">
        <f>IF(OR(AND(AT175&lt;&gt;0,AJ175&lt;&gt;"PF",AN175&lt;&gt;"NE",AG175&lt;&gt;"A"),AND(AL175="E",OR(AT175=1,AT175=3))),Sick*W175,0)</f>
        <v>0</v>
      </c>
      <c r="BL175" s="462">
        <f t="shared" si="39"/>
        <v>10963.753840000001</v>
      </c>
      <c r="BM175" s="462">
        <f t="shared" si="40"/>
        <v>0</v>
      </c>
      <c r="BN175" s="462">
        <f>IF(AND(AT175=1,AK175="E",AU175&gt;=0.75,AW175=1),HealthBY,IF(AND(AT175=1,AK175="E",AU175&gt;=0.75),HealthBY*P175,IF(AND(AT175=1,AK175="E",AU175&gt;=0.5,AW175=1),PTHealthBY,IF(AND(AT175=1,AK175="E",AU175&gt;=0.5),PTHealthBY*P175,0))))</f>
        <v>11650</v>
      </c>
      <c r="BO175" s="462">
        <f>IF(AND(AT175=3,AK175="E",AV175&gt;=0.75,AW175=1),HealthBY,IF(AND(AT175=3,AK175="E",AV175&gt;=0.75),HealthBY*P175,IF(AND(AT175=3,AK175="E",AV175&gt;=0.5,AW175=1),PTHealthBY,IF(AND(AT175=3,AK175="E",AV175&gt;=0.5),PTHealthBY*P175,0))))</f>
        <v>0</v>
      </c>
      <c r="BP175" s="462">
        <f>IF(AND(AT175&lt;&gt;0,(AX175+BA175)&gt;=MAXSSDIBY),SSDIBY*MAXSSDIBY*P175,IF(AT175&lt;&gt;0,SSDIBY*W175,0))</f>
        <v>2856.4639999999999</v>
      </c>
      <c r="BQ175" s="462">
        <f>IF(AT175&lt;&gt;0,SSHIBY*W175,0)</f>
        <v>668.04399999999998</v>
      </c>
      <c r="BR175" s="462">
        <f>IF(AND(AT175&lt;&gt;0,AN175&lt;&gt;"NE"),VLOOKUP(AN175,Retirement_Rates,4,FALSE)*W175,0)</f>
        <v>5500.9967999999999</v>
      </c>
      <c r="BS175" s="462">
        <f>IF(AND(AT175&lt;&gt;0,AJ175&lt;&gt;"PF"),LifeBY*W175,0)</f>
        <v>332.17912000000001</v>
      </c>
      <c r="BT175" s="462">
        <f>IF(AND(AT175&lt;&gt;0,AM175="Y"),UIBY*W175,0)</f>
        <v>0</v>
      </c>
      <c r="BU175" s="462">
        <f>IF(AND(AT175&lt;&gt;0,N175&lt;&gt;"NR"),DHRBY*W175,0)</f>
        <v>140.98031999999998</v>
      </c>
      <c r="BV175" s="462">
        <f>IF(AT175&lt;&gt;0,WCBY*W175,0)</f>
        <v>1598.6984</v>
      </c>
      <c r="BW175" s="462">
        <f>IF(OR(AND(AT175&lt;&gt;0,AJ175&lt;&gt;"PF",AN175&lt;&gt;"NE",AG175&lt;&gt;"A"),AND(AL175="E",OR(AT175=1,AT175=3))),SickBY*W175,0)</f>
        <v>0</v>
      </c>
      <c r="BX175" s="462">
        <f t="shared" si="41"/>
        <v>11097.362639999999</v>
      </c>
      <c r="BY175" s="462">
        <f t="shared" si="42"/>
        <v>0</v>
      </c>
      <c r="BZ175" s="462">
        <f t="shared" si="43"/>
        <v>0</v>
      </c>
      <c r="CA175" s="462">
        <f t="shared" si="44"/>
        <v>0</v>
      </c>
      <c r="CB175" s="462">
        <f t="shared" si="45"/>
        <v>0</v>
      </c>
      <c r="CC175" s="462">
        <f>IF(AT175&lt;&gt;0,SSHICHG*Y175,0)</f>
        <v>0</v>
      </c>
      <c r="CD175" s="462">
        <f>IF(AND(AT175&lt;&gt;0,AN175&lt;&gt;"NE"),VLOOKUP(AN175,Retirement_Rates,5,FALSE)*Y175,0)</f>
        <v>0</v>
      </c>
      <c r="CE175" s="462">
        <f>IF(AND(AT175&lt;&gt;0,AJ175&lt;&gt;"PF"),LifeCHG*Y175,0)</f>
        <v>0</v>
      </c>
      <c r="CF175" s="462">
        <f>IF(AND(AT175&lt;&gt;0,AM175="Y"),UICHG*Y175,0)</f>
        <v>-225.75279999999998</v>
      </c>
      <c r="CG175" s="462">
        <f>IF(AND(AT175&lt;&gt;0,N175&lt;&gt;"NR"),DHRCHG*Y175,0)</f>
        <v>0</v>
      </c>
      <c r="CH175" s="462">
        <f>IF(AT175&lt;&gt;0,WCCHG*Y175,0)</f>
        <v>359.36160000000007</v>
      </c>
      <c r="CI175" s="462">
        <f>IF(OR(AND(AT175&lt;&gt;0,AJ175&lt;&gt;"PF",AN175&lt;&gt;"NE",AG175&lt;&gt;"A"),AND(AL175="E",OR(AT175=1,AT175=3))),SickCHG*Y175,0)</f>
        <v>0</v>
      </c>
      <c r="CJ175" s="462">
        <f t="shared" si="46"/>
        <v>133.60880000000009</v>
      </c>
      <c r="CK175" s="462" t="str">
        <f t="shared" si="47"/>
        <v/>
      </c>
      <c r="CL175" s="462" t="str">
        <f t="shared" si="48"/>
        <v/>
      </c>
      <c r="CM175" s="462" t="str">
        <f t="shared" si="49"/>
        <v/>
      </c>
      <c r="CN175" s="462" t="str">
        <f t="shared" si="50"/>
        <v>0243-00</v>
      </c>
    </row>
    <row r="176" spans="1:92" ht="15" thickBot="1" x14ac:dyDescent="0.35">
      <c r="A176" s="376" t="s">
        <v>161</v>
      </c>
      <c r="B176" s="376" t="s">
        <v>162</v>
      </c>
      <c r="C176" s="376" t="s">
        <v>700</v>
      </c>
      <c r="D176" s="376" t="s">
        <v>438</v>
      </c>
      <c r="E176" s="376" t="s">
        <v>273</v>
      </c>
      <c r="F176" s="377" t="s">
        <v>166</v>
      </c>
      <c r="G176" s="376" t="s">
        <v>432</v>
      </c>
      <c r="H176" s="378"/>
      <c r="I176" s="378"/>
      <c r="J176" s="376" t="s">
        <v>168</v>
      </c>
      <c r="K176" s="376" t="s">
        <v>439</v>
      </c>
      <c r="L176" s="376" t="s">
        <v>231</v>
      </c>
      <c r="M176" s="376" t="s">
        <v>171</v>
      </c>
      <c r="N176" s="376" t="s">
        <v>172</v>
      </c>
      <c r="O176" s="379">
        <v>1</v>
      </c>
      <c r="P176" s="460">
        <v>1</v>
      </c>
      <c r="Q176" s="460">
        <v>1</v>
      </c>
      <c r="R176" s="380">
        <v>80</v>
      </c>
      <c r="S176" s="460">
        <v>1</v>
      </c>
      <c r="T176" s="380">
        <v>29162.28</v>
      </c>
      <c r="U176" s="380">
        <v>0</v>
      </c>
      <c r="V176" s="380">
        <v>18619.560000000001</v>
      </c>
      <c r="W176" s="380">
        <v>41808</v>
      </c>
      <c r="X176" s="380">
        <v>21599.01</v>
      </c>
      <c r="Y176" s="380">
        <v>41808</v>
      </c>
      <c r="Z176" s="380">
        <v>21720.26</v>
      </c>
      <c r="AA176" s="376" t="s">
        <v>701</v>
      </c>
      <c r="AB176" s="376" t="s">
        <v>702</v>
      </c>
      <c r="AC176" s="376" t="s">
        <v>703</v>
      </c>
      <c r="AD176" s="376" t="s">
        <v>176</v>
      </c>
      <c r="AE176" s="376" t="s">
        <v>439</v>
      </c>
      <c r="AF176" s="376" t="s">
        <v>236</v>
      </c>
      <c r="AG176" s="376" t="s">
        <v>178</v>
      </c>
      <c r="AH176" s="381">
        <v>20.100000000000001</v>
      </c>
      <c r="AI176" s="381">
        <v>5145.1000000000004</v>
      </c>
      <c r="AJ176" s="376" t="s">
        <v>179</v>
      </c>
      <c r="AK176" s="376" t="s">
        <v>180</v>
      </c>
      <c r="AL176" s="376" t="s">
        <v>181</v>
      </c>
      <c r="AM176" s="376" t="s">
        <v>182</v>
      </c>
      <c r="AN176" s="376" t="s">
        <v>68</v>
      </c>
      <c r="AO176" s="379">
        <v>80</v>
      </c>
      <c r="AP176" s="460">
        <v>1</v>
      </c>
      <c r="AQ176" s="460">
        <v>1</v>
      </c>
      <c r="AR176" s="458" t="s">
        <v>183</v>
      </c>
      <c r="AS176" s="462">
        <f t="shared" si="34"/>
        <v>1</v>
      </c>
      <c r="AT176">
        <f t="shared" si="35"/>
        <v>1</v>
      </c>
      <c r="AU176" s="462">
        <f>IF(AT176=0,"",IF(AND(AT176=1,M176="F",SUMIF(C2:C391,C176,AS2:AS391)&lt;=1),SUMIF(C2:C391,C176,AS2:AS391),IF(AND(AT176=1,M176="F",SUMIF(C2:C391,C176,AS2:AS391)&gt;1),1,"")))</f>
        <v>1</v>
      </c>
      <c r="AV176" s="462" t="str">
        <f>IF(AT176=0,"",IF(AND(AT176=3,M176="F",SUMIF(C2:C391,C176,AS2:AS391)&lt;=1),SUMIF(C2:C391,C176,AS2:AS391),IF(AND(AT176=3,M176="F",SUMIF(C2:C391,C176,AS2:AS391)&gt;1),1,"")))</f>
        <v/>
      </c>
      <c r="AW176" s="462">
        <f>SUMIF(C2:C391,C176,O2:O391)</f>
        <v>1</v>
      </c>
      <c r="AX176" s="462">
        <f>IF(AND(M176="F",AS176&lt;&gt;0),SUMIF(C2:C391,C176,W2:W391),0)</f>
        <v>41808</v>
      </c>
      <c r="AY176" s="462">
        <f t="shared" si="36"/>
        <v>41808</v>
      </c>
      <c r="AZ176" s="462" t="str">
        <f t="shared" si="37"/>
        <v/>
      </c>
      <c r="BA176" s="462">
        <f t="shared" si="38"/>
        <v>0</v>
      </c>
      <c r="BB176" s="462">
        <f>IF(AND(AT176=1,AK176="E",AU176&gt;=0.75,AW176=1),Health,IF(AND(AT176=1,AK176="E",AU176&gt;=0.75),Health*P176,IF(AND(AT176=1,AK176="E",AU176&gt;=0.5,AW176=1),PTHealth,IF(AND(AT176=1,AK176="E",AU176&gt;=0.5),PTHealth*P176,0))))</f>
        <v>11650</v>
      </c>
      <c r="BC176" s="462">
        <f>IF(AND(AT176=3,AK176="E",AV176&gt;=0.75,AW176=1),Health,IF(AND(AT176=3,AK176="E",AV176&gt;=0.75),Health*P176,IF(AND(AT176=3,AK176="E",AV176&gt;=0.5,AW176=1),PTHealth,IF(AND(AT176=3,AK176="E",AV176&gt;=0.5),PTHealth*P176,0))))</f>
        <v>0</v>
      </c>
      <c r="BD176" s="462">
        <f>IF(AND(AT176&lt;&gt;0,AX176&gt;=MAXSSDI),SSDI*MAXSSDI*P176,IF(AT176&lt;&gt;0,SSDI*W176,0))</f>
        <v>2592.096</v>
      </c>
      <c r="BE176" s="462">
        <f>IF(AT176&lt;&gt;0,SSHI*W176,0)</f>
        <v>606.21600000000001</v>
      </c>
      <c r="BF176" s="462">
        <f>IF(AND(AT176&lt;&gt;0,AN176&lt;&gt;"NE"),VLOOKUP(AN176,Retirement_Rates,3,FALSE)*W176,0)</f>
        <v>4991.8752000000004</v>
      </c>
      <c r="BG176" s="462">
        <f>IF(AND(AT176&lt;&gt;0,AJ176&lt;&gt;"PF"),Life*W176,0)</f>
        <v>301.43567999999999</v>
      </c>
      <c r="BH176" s="462">
        <f>IF(AND(AT176&lt;&gt;0,AM176="Y"),UI*W176,0)</f>
        <v>204.85919999999999</v>
      </c>
      <c r="BI176" s="462">
        <f>IF(AND(AT176&lt;&gt;0,N176&lt;&gt;"NR"),DHR*W176,0)</f>
        <v>127.93247999999998</v>
      </c>
      <c r="BJ176" s="462">
        <f>IF(AT176&lt;&gt;0,WC*W176,0)</f>
        <v>1124.6351999999999</v>
      </c>
      <c r="BK176" s="462">
        <f>IF(OR(AND(AT176&lt;&gt;0,AJ176&lt;&gt;"PF",AN176&lt;&gt;"NE",AG176&lt;&gt;"A"),AND(AL176="E",OR(AT176=1,AT176=3))),Sick*W176,0)</f>
        <v>0</v>
      </c>
      <c r="BL176" s="462">
        <f t="shared" si="39"/>
        <v>9949.0497600000017</v>
      </c>
      <c r="BM176" s="462">
        <f t="shared" si="40"/>
        <v>0</v>
      </c>
      <c r="BN176" s="462">
        <f>IF(AND(AT176=1,AK176="E",AU176&gt;=0.75,AW176=1),HealthBY,IF(AND(AT176=1,AK176="E",AU176&gt;=0.75),HealthBY*P176,IF(AND(AT176=1,AK176="E",AU176&gt;=0.5,AW176=1),PTHealthBY,IF(AND(AT176=1,AK176="E",AU176&gt;=0.5),PTHealthBY*P176,0))))</f>
        <v>11650</v>
      </c>
      <c r="BO176" s="462">
        <f>IF(AND(AT176=3,AK176="E",AV176&gt;=0.75,AW176=1),HealthBY,IF(AND(AT176=3,AK176="E",AV176&gt;=0.75),HealthBY*P176,IF(AND(AT176=3,AK176="E",AV176&gt;=0.5,AW176=1),PTHealthBY,IF(AND(AT176=3,AK176="E",AV176&gt;=0.5),PTHealthBY*P176,0))))</f>
        <v>0</v>
      </c>
      <c r="BP176" s="462">
        <f>IF(AND(AT176&lt;&gt;0,(AX176+BA176)&gt;=MAXSSDIBY),SSDIBY*MAXSSDIBY*P176,IF(AT176&lt;&gt;0,SSDIBY*W176,0))</f>
        <v>2592.096</v>
      </c>
      <c r="BQ176" s="462">
        <f>IF(AT176&lt;&gt;0,SSHIBY*W176,0)</f>
        <v>606.21600000000001</v>
      </c>
      <c r="BR176" s="462">
        <f>IF(AND(AT176&lt;&gt;0,AN176&lt;&gt;"NE"),VLOOKUP(AN176,Retirement_Rates,4,FALSE)*W176,0)</f>
        <v>4991.8752000000004</v>
      </c>
      <c r="BS176" s="462">
        <f>IF(AND(AT176&lt;&gt;0,AJ176&lt;&gt;"PF"),LifeBY*W176,0)</f>
        <v>301.43567999999999</v>
      </c>
      <c r="BT176" s="462">
        <f>IF(AND(AT176&lt;&gt;0,AM176="Y"),UIBY*W176,0)</f>
        <v>0</v>
      </c>
      <c r="BU176" s="462">
        <f>IF(AND(AT176&lt;&gt;0,N176&lt;&gt;"NR"),DHRBY*W176,0)</f>
        <v>127.93247999999998</v>
      </c>
      <c r="BV176" s="462">
        <f>IF(AT176&lt;&gt;0,WCBY*W176,0)</f>
        <v>1450.7376000000002</v>
      </c>
      <c r="BW176" s="462">
        <f>IF(OR(AND(AT176&lt;&gt;0,AJ176&lt;&gt;"PF",AN176&lt;&gt;"NE",AG176&lt;&gt;"A"),AND(AL176="E",OR(AT176=1,AT176=3))),SickBY*W176,0)</f>
        <v>0</v>
      </c>
      <c r="BX176" s="462">
        <f t="shared" si="41"/>
        <v>10070.292960000001</v>
      </c>
      <c r="BY176" s="462">
        <f t="shared" si="42"/>
        <v>0</v>
      </c>
      <c r="BZ176" s="462">
        <f t="shared" si="43"/>
        <v>0</v>
      </c>
      <c r="CA176" s="462">
        <f t="shared" si="44"/>
        <v>0</v>
      </c>
      <c r="CB176" s="462">
        <f t="shared" si="45"/>
        <v>0</v>
      </c>
      <c r="CC176" s="462">
        <f>IF(AT176&lt;&gt;0,SSHICHG*Y176,0)</f>
        <v>0</v>
      </c>
      <c r="CD176" s="462">
        <f>IF(AND(AT176&lt;&gt;0,AN176&lt;&gt;"NE"),VLOOKUP(AN176,Retirement_Rates,5,FALSE)*Y176,0)</f>
        <v>0</v>
      </c>
      <c r="CE176" s="462">
        <f>IF(AND(AT176&lt;&gt;0,AJ176&lt;&gt;"PF"),LifeCHG*Y176,0)</f>
        <v>0</v>
      </c>
      <c r="CF176" s="462">
        <f>IF(AND(AT176&lt;&gt;0,AM176="Y"),UICHG*Y176,0)</f>
        <v>-204.85919999999999</v>
      </c>
      <c r="CG176" s="462">
        <f>IF(AND(AT176&lt;&gt;0,N176&lt;&gt;"NR"),DHRCHG*Y176,0)</f>
        <v>0</v>
      </c>
      <c r="CH176" s="462">
        <f>IF(AT176&lt;&gt;0,WCCHG*Y176,0)</f>
        <v>326.10240000000005</v>
      </c>
      <c r="CI176" s="462">
        <f>IF(OR(AND(AT176&lt;&gt;0,AJ176&lt;&gt;"PF",AN176&lt;&gt;"NE",AG176&lt;&gt;"A"),AND(AL176="E",OR(AT176=1,AT176=3))),SickCHG*Y176,0)</f>
        <v>0</v>
      </c>
      <c r="CJ176" s="462">
        <f t="shared" si="46"/>
        <v>121.24320000000006</v>
      </c>
      <c r="CK176" s="462" t="str">
        <f t="shared" si="47"/>
        <v/>
      </c>
      <c r="CL176" s="462" t="str">
        <f t="shared" si="48"/>
        <v/>
      </c>
      <c r="CM176" s="462" t="str">
        <f t="shared" si="49"/>
        <v/>
      </c>
      <c r="CN176" s="462" t="str">
        <f t="shared" si="50"/>
        <v>0243-00</v>
      </c>
    </row>
    <row r="177" spans="1:92" ht="15" thickBot="1" x14ac:dyDescent="0.35">
      <c r="A177" s="376" t="s">
        <v>161</v>
      </c>
      <c r="B177" s="376" t="s">
        <v>162</v>
      </c>
      <c r="C177" s="376" t="s">
        <v>704</v>
      </c>
      <c r="D177" s="376" t="s">
        <v>221</v>
      </c>
      <c r="E177" s="376" t="s">
        <v>273</v>
      </c>
      <c r="F177" s="377" t="s">
        <v>166</v>
      </c>
      <c r="G177" s="376" t="s">
        <v>432</v>
      </c>
      <c r="H177" s="378"/>
      <c r="I177" s="378"/>
      <c r="J177" s="376" t="s">
        <v>168</v>
      </c>
      <c r="K177" s="376" t="s">
        <v>222</v>
      </c>
      <c r="L177" s="376" t="s">
        <v>166</v>
      </c>
      <c r="M177" s="376" t="s">
        <v>171</v>
      </c>
      <c r="N177" s="376" t="s">
        <v>223</v>
      </c>
      <c r="O177" s="379">
        <v>0</v>
      </c>
      <c r="P177" s="460">
        <v>0</v>
      </c>
      <c r="Q177" s="460">
        <v>0</v>
      </c>
      <c r="R177" s="380">
        <v>0</v>
      </c>
      <c r="S177" s="460">
        <v>0</v>
      </c>
      <c r="T177" s="380">
        <v>115051.35</v>
      </c>
      <c r="U177" s="380">
        <v>3284.85</v>
      </c>
      <c r="V177" s="380">
        <v>16202.48</v>
      </c>
      <c r="W177" s="380">
        <v>0</v>
      </c>
      <c r="X177" s="380">
        <v>0</v>
      </c>
      <c r="Y177" s="380">
        <v>0</v>
      </c>
      <c r="Z177" s="380">
        <v>0</v>
      </c>
      <c r="AA177" s="378"/>
      <c r="AB177" s="376" t="s">
        <v>45</v>
      </c>
      <c r="AC177" s="376" t="s">
        <v>45</v>
      </c>
      <c r="AD177" s="378"/>
      <c r="AE177" s="378"/>
      <c r="AF177" s="378"/>
      <c r="AG177" s="378"/>
      <c r="AH177" s="379">
        <v>0</v>
      </c>
      <c r="AI177" s="379">
        <v>0</v>
      </c>
      <c r="AJ177" s="378"/>
      <c r="AK177" s="378"/>
      <c r="AL177" s="376" t="s">
        <v>181</v>
      </c>
      <c r="AM177" s="378"/>
      <c r="AN177" s="378"/>
      <c r="AO177" s="379">
        <v>0</v>
      </c>
      <c r="AP177" s="460">
        <v>0</v>
      </c>
      <c r="AQ177" s="460">
        <v>0</v>
      </c>
      <c r="AR177" s="459"/>
      <c r="AS177" s="462">
        <f t="shared" si="34"/>
        <v>0</v>
      </c>
      <c r="AT177">
        <f t="shared" si="35"/>
        <v>0</v>
      </c>
      <c r="AU177" s="462" t="str">
        <f>IF(AT177=0,"",IF(AND(AT177=1,M177="F",SUMIF(C2:C391,C177,AS2:AS391)&lt;=1),SUMIF(C2:C391,C177,AS2:AS391),IF(AND(AT177=1,M177="F",SUMIF(C2:C391,C177,AS2:AS391)&gt;1),1,"")))</f>
        <v/>
      </c>
      <c r="AV177" s="462" t="str">
        <f>IF(AT177=0,"",IF(AND(AT177=3,M177="F",SUMIF(C2:C391,C177,AS2:AS391)&lt;=1),SUMIF(C2:C391,C177,AS2:AS391),IF(AND(AT177=3,M177="F",SUMIF(C2:C391,C177,AS2:AS391)&gt;1),1,"")))</f>
        <v/>
      </c>
      <c r="AW177" s="462">
        <f>SUMIF(C2:C391,C177,O2:O391)</f>
        <v>0</v>
      </c>
      <c r="AX177" s="462">
        <f>IF(AND(M177="F",AS177&lt;&gt;0),SUMIF(C2:C391,C177,W2:W391),0)</f>
        <v>0</v>
      </c>
      <c r="AY177" s="462" t="str">
        <f t="shared" si="36"/>
        <v/>
      </c>
      <c r="AZ177" s="462" t="str">
        <f t="shared" si="37"/>
        <v/>
      </c>
      <c r="BA177" s="462">
        <f t="shared" si="38"/>
        <v>0</v>
      </c>
      <c r="BB177" s="462">
        <f>IF(AND(AT177=1,AK177="E",AU177&gt;=0.75,AW177=1),Health,IF(AND(AT177=1,AK177="E",AU177&gt;=0.75),Health*P177,IF(AND(AT177=1,AK177="E",AU177&gt;=0.5,AW177=1),PTHealth,IF(AND(AT177=1,AK177="E",AU177&gt;=0.5),PTHealth*P177,0))))</f>
        <v>0</v>
      </c>
      <c r="BC177" s="462">
        <f>IF(AND(AT177=3,AK177="E",AV177&gt;=0.75,AW177=1),Health,IF(AND(AT177=3,AK177="E",AV177&gt;=0.75),Health*P177,IF(AND(AT177=3,AK177="E",AV177&gt;=0.5,AW177=1),PTHealth,IF(AND(AT177=3,AK177="E",AV177&gt;=0.5),PTHealth*P177,0))))</f>
        <v>0</v>
      </c>
      <c r="BD177" s="462">
        <f>IF(AND(AT177&lt;&gt;0,AX177&gt;=MAXSSDI),SSDI*MAXSSDI*P177,IF(AT177&lt;&gt;0,SSDI*W177,0))</f>
        <v>0</v>
      </c>
      <c r="BE177" s="462">
        <f>IF(AT177&lt;&gt;0,SSHI*W177,0)</f>
        <v>0</v>
      </c>
      <c r="BF177" s="462">
        <f>IF(AND(AT177&lt;&gt;0,AN177&lt;&gt;"NE"),VLOOKUP(AN177,Retirement_Rates,3,FALSE)*W177,0)</f>
        <v>0</v>
      </c>
      <c r="BG177" s="462">
        <f>IF(AND(AT177&lt;&gt;0,AJ177&lt;&gt;"PF"),Life*W177,0)</f>
        <v>0</v>
      </c>
      <c r="BH177" s="462">
        <f>IF(AND(AT177&lt;&gt;0,AM177="Y"),UI*W177,0)</f>
        <v>0</v>
      </c>
      <c r="BI177" s="462">
        <f>IF(AND(AT177&lt;&gt;0,N177&lt;&gt;"NR"),DHR*W177,0)</f>
        <v>0</v>
      </c>
      <c r="BJ177" s="462">
        <f>IF(AT177&lt;&gt;0,WC*W177,0)</f>
        <v>0</v>
      </c>
      <c r="BK177" s="462">
        <f>IF(OR(AND(AT177&lt;&gt;0,AJ177&lt;&gt;"PF",AN177&lt;&gt;"NE",AG177&lt;&gt;"A"),AND(AL177="E",OR(AT177=1,AT177=3))),Sick*W177,0)</f>
        <v>0</v>
      </c>
      <c r="BL177" s="462">
        <f t="shared" si="39"/>
        <v>0</v>
      </c>
      <c r="BM177" s="462">
        <f t="shared" si="40"/>
        <v>0</v>
      </c>
      <c r="BN177" s="462">
        <f>IF(AND(AT177=1,AK177="E",AU177&gt;=0.75,AW177=1),HealthBY,IF(AND(AT177=1,AK177="E",AU177&gt;=0.75),HealthBY*P177,IF(AND(AT177=1,AK177="E",AU177&gt;=0.5,AW177=1),PTHealthBY,IF(AND(AT177=1,AK177="E",AU177&gt;=0.5),PTHealthBY*P177,0))))</f>
        <v>0</v>
      </c>
      <c r="BO177" s="462">
        <f>IF(AND(AT177=3,AK177="E",AV177&gt;=0.75,AW177=1),HealthBY,IF(AND(AT177=3,AK177="E",AV177&gt;=0.75),HealthBY*P177,IF(AND(AT177=3,AK177="E",AV177&gt;=0.5,AW177=1),PTHealthBY,IF(AND(AT177=3,AK177="E",AV177&gt;=0.5),PTHealthBY*P177,0))))</f>
        <v>0</v>
      </c>
      <c r="BP177" s="462">
        <f>IF(AND(AT177&lt;&gt;0,(AX177+BA177)&gt;=MAXSSDIBY),SSDIBY*MAXSSDIBY*P177,IF(AT177&lt;&gt;0,SSDIBY*W177,0))</f>
        <v>0</v>
      </c>
      <c r="BQ177" s="462">
        <f>IF(AT177&lt;&gt;0,SSHIBY*W177,0)</f>
        <v>0</v>
      </c>
      <c r="BR177" s="462">
        <f>IF(AND(AT177&lt;&gt;0,AN177&lt;&gt;"NE"),VLOOKUP(AN177,Retirement_Rates,4,FALSE)*W177,0)</f>
        <v>0</v>
      </c>
      <c r="BS177" s="462">
        <f>IF(AND(AT177&lt;&gt;0,AJ177&lt;&gt;"PF"),LifeBY*W177,0)</f>
        <v>0</v>
      </c>
      <c r="BT177" s="462">
        <f>IF(AND(AT177&lt;&gt;0,AM177="Y"),UIBY*W177,0)</f>
        <v>0</v>
      </c>
      <c r="BU177" s="462">
        <f>IF(AND(AT177&lt;&gt;0,N177&lt;&gt;"NR"),DHRBY*W177,0)</f>
        <v>0</v>
      </c>
      <c r="BV177" s="462">
        <f>IF(AT177&lt;&gt;0,WCBY*W177,0)</f>
        <v>0</v>
      </c>
      <c r="BW177" s="462">
        <f>IF(OR(AND(AT177&lt;&gt;0,AJ177&lt;&gt;"PF",AN177&lt;&gt;"NE",AG177&lt;&gt;"A"),AND(AL177="E",OR(AT177=1,AT177=3))),SickBY*W177,0)</f>
        <v>0</v>
      </c>
      <c r="BX177" s="462">
        <f t="shared" si="41"/>
        <v>0</v>
      </c>
      <c r="BY177" s="462">
        <f t="shared" si="42"/>
        <v>0</v>
      </c>
      <c r="BZ177" s="462">
        <f t="shared" si="43"/>
        <v>0</v>
      </c>
      <c r="CA177" s="462">
        <f t="shared" si="44"/>
        <v>0</v>
      </c>
      <c r="CB177" s="462">
        <f t="shared" si="45"/>
        <v>0</v>
      </c>
      <c r="CC177" s="462">
        <f>IF(AT177&lt;&gt;0,SSHICHG*Y177,0)</f>
        <v>0</v>
      </c>
      <c r="CD177" s="462">
        <f>IF(AND(AT177&lt;&gt;0,AN177&lt;&gt;"NE"),VLOOKUP(AN177,Retirement_Rates,5,FALSE)*Y177,0)</f>
        <v>0</v>
      </c>
      <c r="CE177" s="462">
        <f>IF(AND(AT177&lt;&gt;0,AJ177&lt;&gt;"PF"),LifeCHG*Y177,0)</f>
        <v>0</v>
      </c>
      <c r="CF177" s="462">
        <f>IF(AND(AT177&lt;&gt;0,AM177="Y"),UICHG*Y177,0)</f>
        <v>0</v>
      </c>
      <c r="CG177" s="462">
        <f>IF(AND(AT177&lt;&gt;0,N177&lt;&gt;"NR"),DHRCHG*Y177,0)</f>
        <v>0</v>
      </c>
      <c r="CH177" s="462">
        <f>IF(AT177&lt;&gt;0,WCCHG*Y177,0)</f>
        <v>0</v>
      </c>
      <c r="CI177" s="462">
        <f>IF(OR(AND(AT177&lt;&gt;0,AJ177&lt;&gt;"PF",AN177&lt;&gt;"NE",AG177&lt;&gt;"A"),AND(AL177="E",OR(AT177=1,AT177=3))),SickCHG*Y177,0)</f>
        <v>0</v>
      </c>
      <c r="CJ177" s="462">
        <f t="shared" si="46"/>
        <v>0</v>
      </c>
      <c r="CK177" s="462" t="str">
        <f t="shared" si="47"/>
        <v/>
      </c>
      <c r="CL177" s="462">
        <f t="shared" si="48"/>
        <v>118336.20000000001</v>
      </c>
      <c r="CM177" s="462">
        <f t="shared" si="49"/>
        <v>16202.48</v>
      </c>
      <c r="CN177" s="462" t="str">
        <f t="shared" si="50"/>
        <v>0243-00</v>
      </c>
    </row>
    <row r="178" spans="1:92" ht="15" thickBot="1" x14ac:dyDescent="0.35">
      <c r="A178" s="376" t="s">
        <v>161</v>
      </c>
      <c r="B178" s="376" t="s">
        <v>162</v>
      </c>
      <c r="C178" s="376" t="s">
        <v>705</v>
      </c>
      <c r="D178" s="376" t="s">
        <v>438</v>
      </c>
      <c r="E178" s="376" t="s">
        <v>273</v>
      </c>
      <c r="F178" s="377" t="s">
        <v>166</v>
      </c>
      <c r="G178" s="376" t="s">
        <v>432</v>
      </c>
      <c r="H178" s="378"/>
      <c r="I178" s="378"/>
      <c r="J178" s="376" t="s">
        <v>168</v>
      </c>
      <c r="K178" s="376" t="s">
        <v>439</v>
      </c>
      <c r="L178" s="376" t="s">
        <v>231</v>
      </c>
      <c r="M178" s="376" t="s">
        <v>171</v>
      </c>
      <c r="N178" s="376" t="s">
        <v>172</v>
      </c>
      <c r="O178" s="379">
        <v>1</v>
      </c>
      <c r="P178" s="460">
        <v>1</v>
      </c>
      <c r="Q178" s="460">
        <v>1</v>
      </c>
      <c r="R178" s="380">
        <v>80</v>
      </c>
      <c r="S178" s="460">
        <v>1</v>
      </c>
      <c r="T178" s="380">
        <v>41779.9</v>
      </c>
      <c r="U178" s="380">
        <v>0</v>
      </c>
      <c r="V178" s="380">
        <v>21306.48</v>
      </c>
      <c r="W178" s="380">
        <v>42328</v>
      </c>
      <c r="X178" s="380">
        <v>21722.76</v>
      </c>
      <c r="Y178" s="380">
        <v>42328</v>
      </c>
      <c r="Z178" s="380">
        <v>21845.52</v>
      </c>
      <c r="AA178" s="376" t="s">
        <v>706</v>
      </c>
      <c r="AB178" s="376" t="s">
        <v>707</v>
      </c>
      <c r="AC178" s="376" t="s">
        <v>708</v>
      </c>
      <c r="AD178" s="376" t="s">
        <v>270</v>
      </c>
      <c r="AE178" s="376" t="s">
        <v>439</v>
      </c>
      <c r="AF178" s="376" t="s">
        <v>236</v>
      </c>
      <c r="AG178" s="376" t="s">
        <v>178</v>
      </c>
      <c r="AH178" s="381">
        <v>20.350000000000001</v>
      </c>
      <c r="AI178" s="381">
        <v>30321.7</v>
      </c>
      <c r="AJ178" s="376" t="s">
        <v>179</v>
      </c>
      <c r="AK178" s="376" t="s">
        <v>180</v>
      </c>
      <c r="AL178" s="376" t="s">
        <v>181</v>
      </c>
      <c r="AM178" s="376" t="s">
        <v>182</v>
      </c>
      <c r="AN178" s="376" t="s">
        <v>68</v>
      </c>
      <c r="AO178" s="379">
        <v>80</v>
      </c>
      <c r="AP178" s="460">
        <v>1</v>
      </c>
      <c r="AQ178" s="460">
        <v>1</v>
      </c>
      <c r="AR178" s="458" t="s">
        <v>183</v>
      </c>
      <c r="AS178" s="462">
        <f t="shared" si="34"/>
        <v>1</v>
      </c>
      <c r="AT178">
        <f t="shared" si="35"/>
        <v>1</v>
      </c>
      <c r="AU178" s="462">
        <f>IF(AT178=0,"",IF(AND(AT178=1,M178="F",SUMIF(C2:C391,C178,AS2:AS391)&lt;=1),SUMIF(C2:C391,C178,AS2:AS391),IF(AND(AT178=1,M178="F",SUMIF(C2:C391,C178,AS2:AS391)&gt;1),1,"")))</f>
        <v>1</v>
      </c>
      <c r="AV178" s="462" t="str">
        <f>IF(AT178=0,"",IF(AND(AT178=3,M178="F",SUMIF(C2:C391,C178,AS2:AS391)&lt;=1),SUMIF(C2:C391,C178,AS2:AS391),IF(AND(AT178=3,M178="F",SUMIF(C2:C391,C178,AS2:AS391)&gt;1),1,"")))</f>
        <v/>
      </c>
      <c r="AW178" s="462">
        <f>SUMIF(C2:C391,C178,O2:O391)</f>
        <v>1</v>
      </c>
      <c r="AX178" s="462">
        <f>IF(AND(M178="F",AS178&lt;&gt;0),SUMIF(C2:C391,C178,W2:W391),0)</f>
        <v>42328</v>
      </c>
      <c r="AY178" s="462">
        <f t="shared" si="36"/>
        <v>42328</v>
      </c>
      <c r="AZ178" s="462" t="str">
        <f t="shared" si="37"/>
        <v/>
      </c>
      <c r="BA178" s="462">
        <f t="shared" si="38"/>
        <v>0</v>
      </c>
      <c r="BB178" s="462">
        <f>IF(AND(AT178=1,AK178="E",AU178&gt;=0.75,AW178=1),Health,IF(AND(AT178=1,AK178="E",AU178&gt;=0.75),Health*P178,IF(AND(AT178=1,AK178="E",AU178&gt;=0.5,AW178=1),PTHealth,IF(AND(AT178=1,AK178="E",AU178&gt;=0.5),PTHealth*P178,0))))</f>
        <v>11650</v>
      </c>
      <c r="BC178" s="462">
        <f>IF(AND(AT178=3,AK178="E",AV178&gt;=0.75,AW178=1),Health,IF(AND(AT178=3,AK178="E",AV178&gt;=0.75),Health*P178,IF(AND(AT178=3,AK178="E",AV178&gt;=0.5,AW178=1),PTHealth,IF(AND(AT178=3,AK178="E",AV178&gt;=0.5),PTHealth*P178,0))))</f>
        <v>0</v>
      </c>
      <c r="BD178" s="462">
        <f>IF(AND(AT178&lt;&gt;0,AX178&gt;=MAXSSDI),SSDI*MAXSSDI*P178,IF(AT178&lt;&gt;0,SSDI*W178,0))</f>
        <v>2624.3359999999998</v>
      </c>
      <c r="BE178" s="462">
        <f>IF(AT178&lt;&gt;0,SSHI*W178,0)</f>
        <v>613.75600000000009</v>
      </c>
      <c r="BF178" s="462">
        <f>IF(AND(AT178&lt;&gt;0,AN178&lt;&gt;"NE"),VLOOKUP(AN178,Retirement_Rates,3,FALSE)*W178,0)</f>
        <v>5053.9632000000001</v>
      </c>
      <c r="BG178" s="462">
        <f>IF(AND(AT178&lt;&gt;0,AJ178&lt;&gt;"PF"),Life*W178,0)</f>
        <v>305.18488000000002</v>
      </c>
      <c r="BH178" s="462">
        <f>IF(AND(AT178&lt;&gt;0,AM178="Y"),UI*W178,0)</f>
        <v>207.40719999999999</v>
      </c>
      <c r="BI178" s="462">
        <f>IF(AND(AT178&lt;&gt;0,N178&lt;&gt;"NR"),DHR*W178,0)</f>
        <v>129.52367999999998</v>
      </c>
      <c r="BJ178" s="462">
        <f>IF(AT178&lt;&gt;0,WC*W178,0)</f>
        <v>1138.6232</v>
      </c>
      <c r="BK178" s="462">
        <f>IF(OR(AND(AT178&lt;&gt;0,AJ178&lt;&gt;"PF",AN178&lt;&gt;"NE",AG178&lt;&gt;"A"),AND(AL178="E",OR(AT178=1,AT178=3))),Sick*W178,0)</f>
        <v>0</v>
      </c>
      <c r="BL178" s="462">
        <f t="shared" si="39"/>
        <v>10072.794159999999</v>
      </c>
      <c r="BM178" s="462">
        <f t="shared" si="40"/>
        <v>0</v>
      </c>
      <c r="BN178" s="462">
        <f>IF(AND(AT178=1,AK178="E",AU178&gt;=0.75,AW178=1),HealthBY,IF(AND(AT178=1,AK178="E",AU178&gt;=0.75),HealthBY*P178,IF(AND(AT178=1,AK178="E",AU178&gt;=0.5,AW178=1),PTHealthBY,IF(AND(AT178=1,AK178="E",AU178&gt;=0.5),PTHealthBY*P178,0))))</f>
        <v>11650</v>
      </c>
      <c r="BO178" s="462">
        <f>IF(AND(AT178=3,AK178="E",AV178&gt;=0.75,AW178=1),HealthBY,IF(AND(AT178=3,AK178="E",AV178&gt;=0.75),HealthBY*P178,IF(AND(AT178=3,AK178="E",AV178&gt;=0.5,AW178=1),PTHealthBY,IF(AND(AT178=3,AK178="E",AV178&gt;=0.5),PTHealthBY*P178,0))))</f>
        <v>0</v>
      </c>
      <c r="BP178" s="462">
        <f>IF(AND(AT178&lt;&gt;0,(AX178+BA178)&gt;=MAXSSDIBY),SSDIBY*MAXSSDIBY*P178,IF(AT178&lt;&gt;0,SSDIBY*W178,0))</f>
        <v>2624.3359999999998</v>
      </c>
      <c r="BQ178" s="462">
        <f>IF(AT178&lt;&gt;0,SSHIBY*W178,0)</f>
        <v>613.75600000000009</v>
      </c>
      <c r="BR178" s="462">
        <f>IF(AND(AT178&lt;&gt;0,AN178&lt;&gt;"NE"),VLOOKUP(AN178,Retirement_Rates,4,FALSE)*W178,0)</f>
        <v>5053.9632000000001</v>
      </c>
      <c r="BS178" s="462">
        <f>IF(AND(AT178&lt;&gt;0,AJ178&lt;&gt;"PF"),LifeBY*W178,0)</f>
        <v>305.18488000000002</v>
      </c>
      <c r="BT178" s="462">
        <f>IF(AND(AT178&lt;&gt;0,AM178="Y"),UIBY*W178,0)</f>
        <v>0</v>
      </c>
      <c r="BU178" s="462">
        <f>IF(AND(AT178&lt;&gt;0,N178&lt;&gt;"NR"),DHRBY*W178,0)</f>
        <v>129.52367999999998</v>
      </c>
      <c r="BV178" s="462">
        <f>IF(AT178&lt;&gt;0,WCBY*W178,0)</f>
        <v>1468.7816</v>
      </c>
      <c r="BW178" s="462">
        <f>IF(OR(AND(AT178&lt;&gt;0,AJ178&lt;&gt;"PF",AN178&lt;&gt;"NE",AG178&lt;&gt;"A"),AND(AL178="E",OR(AT178=1,AT178=3))),SickBY*W178,0)</f>
        <v>0</v>
      </c>
      <c r="BX178" s="462">
        <f t="shared" si="41"/>
        <v>10195.54536</v>
      </c>
      <c r="BY178" s="462">
        <f t="shared" si="42"/>
        <v>0</v>
      </c>
      <c r="BZ178" s="462">
        <f t="shared" si="43"/>
        <v>0</v>
      </c>
      <c r="CA178" s="462">
        <f t="shared" si="44"/>
        <v>0</v>
      </c>
      <c r="CB178" s="462">
        <f t="shared" si="45"/>
        <v>0</v>
      </c>
      <c r="CC178" s="462">
        <f>IF(AT178&lt;&gt;0,SSHICHG*Y178,0)</f>
        <v>0</v>
      </c>
      <c r="CD178" s="462">
        <f>IF(AND(AT178&lt;&gt;0,AN178&lt;&gt;"NE"),VLOOKUP(AN178,Retirement_Rates,5,FALSE)*Y178,0)</f>
        <v>0</v>
      </c>
      <c r="CE178" s="462">
        <f>IF(AND(AT178&lt;&gt;0,AJ178&lt;&gt;"PF"),LifeCHG*Y178,0)</f>
        <v>0</v>
      </c>
      <c r="CF178" s="462">
        <f>IF(AND(AT178&lt;&gt;0,AM178="Y"),UICHG*Y178,0)</f>
        <v>-207.40719999999999</v>
      </c>
      <c r="CG178" s="462">
        <f>IF(AND(AT178&lt;&gt;0,N178&lt;&gt;"NR"),DHRCHG*Y178,0)</f>
        <v>0</v>
      </c>
      <c r="CH178" s="462">
        <f>IF(AT178&lt;&gt;0,WCCHG*Y178,0)</f>
        <v>330.15840000000009</v>
      </c>
      <c r="CI178" s="462">
        <f>IF(OR(AND(AT178&lt;&gt;0,AJ178&lt;&gt;"PF",AN178&lt;&gt;"NE",AG178&lt;&gt;"A"),AND(AL178="E",OR(AT178=1,AT178=3))),SickCHG*Y178,0)</f>
        <v>0</v>
      </c>
      <c r="CJ178" s="462">
        <f t="shared" si="46"/>
        <v>122.7512000000001</v>
      </c>
      <c r="CK178" s="462" t="str">
        <f t="shared" si="47"/>
        <v/>
      </c>
      <c r="CL178" s="462" t="str">
        <f t="shared" si="48"/>
        <v/>
      </c>
      <c r="CM178" s="462" t="str">
        <f t="shared" si="49"/>
        <v/>
      </c>
      <c r="CN178" s="462" t="str">
        <f t="shared" si="50"/>
        <v>0243-00</v>
      </c>
    </row>
    <row r="179" spans="1:92" ht="15" thickBot="1" x14ac:dyDescent="0.35">
      <c r="A179" s="376" t="s">
        <v>161</v>
      </c>
      <c r="B179" s="376" t="s">
        <v>162</v>
      </c>
      <c r="C179" s="376" t="s">
        <v>709</v>
      </c>
      <c r="D179" s="376" t="s">
        <v>438</v>
      </c>
      <c r="E179" s="376" t="s">
        <v>273</v>
      </c>
      <c r="F179" s="377" t="s">
        <v>166</v>
      </c>
      <c r="G179" s="376" t="s">
        <v>432</v>
      </c>
      <c r="H179" s="378"/>
      <c r="I179" s="378"/>
      <c r="J179" s="376" t="s">
        <v>168</v>
      </c>
      <c r="K179" s="376" t="s">
        <v>439</v>
      </c>
      <c r="L179" s="376" t="s">
        <v>231</v>
      </c>
      <c r="M179" s="376" t="s">
        <v>171</v>
      </c>
      <c r="N179" s="376" t="s">
        <v>172</v>
      </c>
      <c r="O179" s="379">
        <v>1</v>
      </c>
      <c r="P179" s="460">
        <v>1</v>
      </c>
      <c r="Q179" s="460">
        <v>1</v>
      </c>
      <c r="R179" s="380">
        <v>80</v>
      </c>
      <c r="S179" s="460">
        <v>1</v>
      </c>
      <c r="T179" s="380">
        <v>41582.449999999997</v>
      </c>
      <c r="U179" s="380">
        <v>0</v>
      </c>
      <c r="V179" s="380">
        <v>21258.85</v>
      </c>
      <c r="W179" s="380">
        <v>41808</v>
      </c>
      <c r="X179" s="380">
        <v>21599.01</v>
      </c>
      <c r="Y179" s="380">
        <v>41808</v>
      </c>
      <c r="Z179" s="380">
        <v>21720.26</v>
      </c>
      <c r="AA179" s="376" t="s">
        <v>710</v>
      </c>
      <c r="AB179" s="376" t="s">
        <v>711</v>
      </c>
      <c r="AC179" s="376" t="s">
        <v>372</v>
      </c>
      <c r="AD179" s="376" t="s">
        <v>446</v>
      </c>
      <c r="AE179" s="376" t="s">
        <v>439</v>
      </c>
      <c r="AF179" s="376" t="s">
        <v>236</v>
      </c>
      <c r="AG179" s="376" t="s">
        <v>178</v>
      </c>
      <c r="AH179" s="381">
        <v>20.100000000000001</v>
      </c>
      <c r="AI179" s="379">
        <v>13556</v>
      </c>
      <c r="AJ179" s="376" t="s">
        <v>179</v>
      </c>
      <c r="AK179" s="376" t="s">
        <v>180</v>
      </c>
      <c r="AL179" s="376" t="s">
        <v>181</v>
      </c>
      <c r="AM179" s="376" t="s">
        <v>182</v>
      </c>
      <c r="AN179" s="376" t="s">
        <v>68</v>
      </c>
      <c r="AO179" s="379">
        <v>80</v>
      </c>
      <c r="AP179" s="460">
        <v>1</v>
      </c>
      <c r="AQ179" s="460">
        <v>1</v>
      </c>
      <c r="AR179" s="458" t="s">
        <v>183</v>
      </c>
      <c r="AS179" s="462">
        <f t="shared" si="34"/>
        <v>1</v>
      </c>
      <c r="AT179">
        <f t="shared" si="35"/>
        <v>1</v>
      </c>
      <c r="AU179" s="462">
        <f>IF(AT179=0,"",IF(AND(AT179=1,M179="F",SUMIF(C2:C391,C179,AS2:AS391)&lt;=1),SUMIF(C2:C391,C179,AS2:AS391),IF(AND(AT179=1,M179="F",SUMIF(C2:C391,C179,AS2:AS391)&gt;1),1,"")))</f>
        <v>1</v>
      </c>
      <c r="AV179" s="462" t="str">
        <f>IF(AT179=0,"",IF(AND(AT179=3,M179="F",SUMIF(C2:C391,C179,AS2:AS391)&lt;=1),SUMIF(C2:C391,C179,AS2:AS391),IF(AND(AT179=3,M179="F",SUMIF(C2:C391,C179,AS2:AS391)&gt;1),1,"")))</f>
        <v/>
      </c>
      <c r="AW179" s="462">
        <f>SUMIF(C2:C391,C179,O2:O391)</f>
        <v>1</v>
      </c>
      <c r="AX179" s="462">
        <f>IF(AND(M179="F",AS179&lt;&gt;0),SUMIF(C2:C391,C179,W2:W391),0)</f>
        <v>41808</v>
      </c>
      <c r="AY179" s="462">
        <f t="shared" si="36"/>
        <v>41808</v>
      </c>
      <c r="AZ179" s="462" t="str">
        <f t="shared" si="37"/>
        <v/>
      </c>
      <c r="BA179" s="462">
        <f t="shared" si="38"/>
        <v>0</v>
      </c>
      <c r="BB179" s="462">
        <f>IF(AND(AT179=1,AK179="E",AU179&gt;=0.75,AW179=1),Health,IF(AND(AT179=1,AK179="E",AU179&gt;=0.75),Health*P179,IF(AND(AT179=1,AK179="E",AU179&gt;=0.5,AW179=1),PTHealth,IF(AND(AT179=1,AK179="E",AU179&gt;=0.5),PTHealth*P179,0))))</f>
        <v>11650</v>
      </c>
      <c r="BC179" s="462">
        <f>IF(AND(AT179=3,AK179="E",AV179&gt;=0.75,AW179=1),Health,IF(AND(AT179=3,AK179="E",AV179&gt;=0.75),Health*P179,IF(AND(AT179=3,AK179="E",AV179&gt;=0.5,AW179=1),PTHealth,IF(AND(AT179=3,AK179="E",AV179&gt;=0.5),PTHealth*P179,0))))</f>
        <v>0</v>
      </c>
      <c r="BD179" s="462">
        <f>IF(AND(AT179&lt;&gt;0,AX179&gt;=MAXSSDI),SSDI*MAXSSDI*P179,IF(AT179&lt;&gt;0,SSDI*W179,0))</f>
        <v>2592.096</v>
      </c>
      <c r="BE179" s="462">
        <f>IF(AT179&lt;&gt;0,SSHI*W179,0)</f>
        <v>606.21600000000001</v>
      </c>
      <c r="BF179" s="462">
        <f>IF(AND(AT179&lt;&gt;0,AN179&lt;&gt;"NE"),VLOOKUP(AN179,Retirement_Rates,3,FALSE)*W179,0)</f>
        <v>4991.8752000000004</v>
      </c>
      <c r="BG179" s="462">
        <f>IF(AND(AT179&lt;&gt;0,AJ179&lt;&gt;"PF"),Life*W179,0)</f>
        <v>301.43567999999999</v>
      </c>
      <c r="BH179" s="462">
        <f>IF(AND(AT179&lt;&gt;0,AM179="Y"),UI*W179,0)</f>
        <v>204.85919999999999</v>
      </c>
      <c r="BI179" s="462">
        <f>IF(AND(AT179&lt;&gt;0,N179&lt;&gt;"NR"),DHR*W179,0)</f>
        <v>127.93247999999998</v>
      </c>
      <c r="BJ179" s="462">
        <f>IF(AT179&lt;&gt;0,WC*W179,0)</f>
        <v>1124.6351999999999</v>
      </c>
      <c r="BK179" s="462">
        <f>IF(OR(AND(AT179&lt;&gt;0,AJ179&lt;&gt;"PF",AN179&lt;&gt;"NE",AG179&lt;&gt;"A"),AND(AL179="E",OR(AT179=1,AT179=3))),Sick*W179,0)</f>
        <v>0</v>
      </c>
      <c r="BL179" s="462">
        <f t="shared" si="39"/>
        <v>9949.0497600000017</v>
      </c>
      <c r="BM179" s="462">
        <f t="shared" si="40"/>
        <v>0</v>
      </c>
      <c r="BN179" s="462">
        <f>IF(AND(AT179=1,AK179="E",AU179&gt;=0.75,AW179=1),HealthBY,IF(AND(AT179=1,AK179="E",AU179&gt;=0.75),HealthBY*P179,IF(AND(AT179=1,AK179="E",AU179&gt;=0.5,AW179=1),PTHealthBY,IF(AND(AT179=1,AK179="E",AU179&gt;=0.5),PTHealthBY*P179,0))))</f>
        <v>11650</v>
      </c>
      <c r="BO179" s="462">
        <f>IF(AND(AT179=3,AK179="E",AV179&gt;=0.75,AW179=1),HealthBY,IF(AND(AT179=3,AK179="E",AV179&gt;=0.75),HealthBY*P179,IF(AND(AT179=3,AK179="E",AV179&gt;=0.5,AW179=1),PTHealthBY,IF(AND(AT179=3,AK179="E",AV179&gt;=0.5),PTHealthBY*P179,0))))</f>
        <v>0</v>
      </c>
      <c r="BP179" s="462">
        <f>IF(AND(AT179&lt;&gt;0,(AX179+BA179)&gt;=MAXSSDIBY),SSDIBY*MAXSSDIBY*P179,IF(AT179&lt;&gt;0,SSDIBY*W179,0))</f>
        <v>2592.096</v>
      </c>
      <c r="BQ179" s="462">
        <f>IF(AT179&lt;&gt;0,SSHIBY*W179,0)</f>
        <v>606.21600000000001</v>
      </c>
      <c r="BR179" s="462">
        <f>IF(AND(AT179&lt;&gt;0,AN179&lt;&gt;"NE"),VLOOKUP(AN179,Retirement_Rates,4,FALSE)*W179,0)</f>
        <v>4991.8752000000004</v>
      </c>
      <c r="BS179" s="462">
        <f>IF(AND(AT179&lt;&gt;0,AJ179&lt;&gt;"PF"),LifeBY*W179,0)</f>
        <v>301.43567999999999</v>
      </c>
      <c r="BT179" s="462">
        <f>IF(AND(AT179&lt;&gt;0,AM179="Y"),UIBY*W179,0)</f>
        <v>0</v>
      </c>
      <c r="BU179" s="462">
        <f>IF(AND(AT179&lt;&gt;0,N179&lt;&gt;"NR"),DHRBY*W179,0)</f>
        <v>127.93247999999998</v>
      </c>
      <c r="BV179" s="462">
        <f>IF(AT179&lt;&gt;0,WCBY*W179,0)</f>
        <v>1450.7376000000002</v>
      </c>
      <c r="BW179" s="462">
        <f>IF(OR(AND(AT179&lt;&gt;0,AJ179&lt;&gt;"PF",AN179&lt;&gt;"NE",AG179&lt;&gt;"A"),AND(AL179="E",OR(AT179=1,AT179=3))),SickBY*W179,0)</f>
        <v>0</v>
      </c>
      <c r="BX179" s="462">
        <f t="shared" si="41"/>
        <v>10070.292960000001</v>
      </c>
      <c r="BY179" s="462">
        <f t="shared" si="42"/>
        <v>0</v>
      </c>
      <c r="BZ179" s="462">
        <f t="shared" si="43"/>
        <v>0</v>
      </c>
      <c r="CA179" s="462">
        <f t="shared" si="44"/>
        <v>0</v>
      </c>
      <c r="CB179" s="462">
        <f t="shared" si="45"/>
        <v>0</v>
      </c>
      <c r="CC179" s="462">
        <f>IF(AT179&lt;&gt;0,SSHICHG*Y179,0)</f>
        <v>0</v>
      </c>
      <c r="CD179" s="462">
        <f>IF(AND(AT179&lt;&gt;0,AN179&lt;&gt;"NE"),VLOOKUP(AN179,Retirement_Rates,5,FALSE)*Y179,0)</f>
        <v>0</v>
      </c>
      <c r="CE179" s="462">
        <f>IF(AND(AT179&lt;&gt;0,AJ179&lt;&gt;"PF"),LifeCHG*Y179,0)</f>
        <v>0</v>
      </c>
      <c r="CF179" s="462">
        <f>IF(AND(AT179&lt;&gt;0,AM179="Y"),UICHG*Y179,0)</f>
        <v>-204.85919999999999</v>
      </c>
      <c r="CG179" s="462">
        <f>IF(AND(AT179&lt;&gt;0,N179&lt;&gt;"NR"),DHRCHG*Y179,0)</f>
        <v>0</v>
      </c>
      <c r="CH179" s="462">
        <f>IF(AT179&lt;&gt;0,WCCHG*Y179,0)</f>
        <v>326.10240000000005</v>
      </c>
      <c r="CI179" s="462">
        <f>IF(OR(AND(AT179&lt;&gt;0,AJ179&lt;&gt;"PF",AN179&lt;&gt;"NE",AG179&lt;&gt;"A"),AND(AL179="E",OR(AT179=1,AT179=3))),SickCHG*Y179,0)</f>
        <v>0</v>
      </c>
      <c r="CJ179" s="462">
        <f t="shared" si="46"/>
        <v>121.24320000000006</v>
      </c>
      <c r="CK179" s="462" t="str">
        <f t="shared" si="47"/>
        <v/>
      </c>
      <c r="CL179" s="462" t="str">
        <f t="shared" si="48"/>
        <v/>
      </c>
      <c r="CM179" s="462" t="str">
        <f t="shared" si="49"/>
        <v/>
      </c>
      <c r="CN179" s="462" t="str">
        <f t="shared" si="50"/>
        <v>0243-00</v>
      </c>
    </row>
    <row r="180" spans="1:92" ht="15" thickBot="1" x14ac:dyDescent="0.35">
      <c r="A180" s="376" t="s">
        <v>161</v>
      </c>
      <c r="B180" s="376" t="s">
        <v>162</v>
      </c>
      <c r="C180" s="376" t="s">
        <v>712</v>
      </c>
      <c r="D180" s="376" t="s">
        <v>438</v>
      </c>
      <c r="E180" s="376" t="s">
        <v>273</v>
      </c>
      <c r="F180" s="377" t="s">
        <v>166</v>
      </c>
      <c r="G180" s="376" t="s">
        <v>432</v>
      </c>
      <c r="H180" s="378"/>
      <c r="I180" s="378"/>
      <c r="J180" s="376" t="s">
        <v>168</v>
      </c>
      <c r="K180" s="376" t="s">
        <v>439</v>
      </c>
      <c r="L180" s="376" t="s">
        <v>231</v>
      </c>
      <c r="M180" s="376" t="s">
        <v>171</v>
      </c>
      <c r="N180" s="376" t="s">
        <v>172</v>
      </c>
      <c r="O180" s="379">
        <v>1</v>
      </c>
      <c r="P180" s="460">
        <v>1</v>
      </c>
      <c r="Q180" s="460">
        <v>1</v>
      </c>
      <c r="R180" s="380">
        <v>80</v>
      </c>
      <c r="S180" s="460">
        <v>1</v>
      </c>
      <c r="T180" s="380">
        <v>48858.41</v>
      </c>
      <c r="U180" s="380">
        <v>0</v>
      </c>
      <c r="V180" s="380">
        <v>22776.77</v>
      </c>
      <c r="W180" s="380">
        <v>49150.400000000001</v>
      </c>
      <c r="X180" s="380">
        <v>23346.29</v>
      </c>
      <c r="Y180" s="380">
        <v>49150.400000000001</v>
      </c>
      <c r="Z180" s="380">
        <v>23488.83</v>
      </c>
      <c r="AA180" s="376" t="s">
        <v>713</v>
      </c>
      <c r="AB180" s="376" t="s">
        <v>714</v>
      </c>
      <c r="AC180" s="376" t="s">
        <v>715</v>
      </c>
      <c r="AD180" s="376" t="s">
        <v>614</v>
      </c>
      <c r="AE180" s="376" t="s">
        <v>439</v>
      </c>
      <c r="AF180" s="376" t="s">
        <v>236</v>
      </c>
      <c r="AG180" s="376" t="s">
        <v>178</v>
      </c>
      <c r="AH180" s="381">
        <v>23.63</v>
      </c>
      <c r="AI180" s="381">
        <v>56447.4</v>
      </c>
      <c r="AJ180" s="376" t="s">
        <v>179</v>
      </c>
      <c r="AK180" s="376" t="s">
        <v>180</v>
      </c>
      <c r="AL180" s="376" t="s">
        <v>181</v>
      </c>
      <c r="AM180" s="376" t="s">
        <v>182</v>
      </c>
      <c r="AN180" s="376" t="s">
        <v>68</v>
      </c>
      <c r="AO180" s="379">
        <v>80</v>
      </c>
      <c r="AP180" s="460">
        <v>1</v>
      </c>
      <c r="AQ180" s="460">
        <v>1</v>
      </c>
      <c r="AR180" s="458" t="s">
        <v>183</v>
      </c>
      <c r="AS180" s="462">
        <f t="shared" si="34"/>
        <v>1</v>
      </c>
      <c r="AT180">
        <f t="shared" si="35"/>
        <v>1</v>
      </c>
      <c r="AU180" s="462">
        <f>IF(AT180=0,"",IF(AND(AT180=1,M180="F",SUMIF(C2:C391,C180,AS2:AS391)&lt;=1),SUMIF(C2:C391,C180,AS2:AS391),IF(AND(AT180=1,M180="F",SUMIF(C2:C391,C180,AS2:AS391)&gt;1),1,"")))</f>
        <v>1</v>
      </c>
      <c r="AV180" s="462" t="str">
        <f>IF(AT180=0,"",IF(AND(AT180=3,M180="F",SUMIF(C2:C391,C180,AS2:AS391)&lt;=1),SUMIF(C2:C391,C180,AS2:AS391),IF(AND(AT180=3,M180="F",SUMIF(C2:C391,C180,AS2:AS391)&gt;1),1,"")))</f>
        <v/>
      </c>
      <c r="AW180" s="462">
        <f>SUMIF(C2:C391,C180,O2:O391)</f>
        <v>1</v>
      </c>
      <c r="AX180" s="462">
        <f>IF(AND(M180="F",AS180&lt;&gt;0),SUMIF(C2:C391,C180,W2:W391),0)</f>
        <v>49150.400000000001</v>
      </c>
      <c r="AY180" s="462">
        <f t="shared" si="36"/>
        <v>49150.400000000001</v>
      </c>
      <c r="AZ180" s="462" t="str">
        <f t="shared" si="37"/>
        <v/>
      </c>
      <c r="BA180" s="462">
        <f t="shared" si="38"/>
        <v>0</v>
      </c>
      <c r="BB180" s="462">
        <f>IF(AND(AT180=1,AK180="E",AU180&gt;=0.75,AW180=1),Health,IF(AND(AT180=1,AK180="E",AU180&gt;=0.75),Health*P180,IF(AND(AT180=1,AK180="E",AU180&gt;=0.5,AW180=1),PTHealth,IF(AND(AT180=1,AK180="E",AU180&gt;=0.5),PTHealth*P180,0))))</f>
        <v>11650</v>
      </c>
      <c r="BC180" s="462">
        <f>IF(AND(AT180=3,AK180="E",AV180&gt;=0.75,AW180=1),Health,IF(AND(AT180=3,AK180="E",AV180&gt;=0.75),Health*P180,IF(AND(AT180=3,AK180="E",AV180&gt;=0.5,AW180=1),PTHealth,IF(AND(AT180=3,AK180="E",AV180&gt;=0.5),PTHealth*P180,0))))</f>
        <v>0</v>
      </c>
      <c r="BD180" s="462">
        <f>IF(AND(AT180&lt;&gt;0,AX180&gt;=MAXSSDI),SSDI*MAXSSDI*P180,IF(AT180&lt;&gt;0,SSDI*W180,0))</f>
        <v>3047.3247999999999</v>
      </c>
      <c r="BE180" s="462">
        <f>IF(AT180&lt;&gt;0,SSHI*W180,0)</f>
        <v>712.68080000000009</v>
      </c>
      <c r="BF180" s="462">
        <f>IF(AND(AT180&lt;&gt;0,AN180&lt;&gt;"NE"),VLOOKUP(AN180,Retirement_Rates,3,FALSE)*W180,0)</f>
        <v>5868.5577600000006</v>
      </c>
      <c r="BG180" s="462">
        <f>IF(AND(AT180&lt;&gt;0,AJ180&lt;&gt;"PF"),Life*W180,0)</f>
        <v>354.37438400000002</v>
      </c>
      <c r="BH180" s="462">
        <f>IF(AND(AT180&lt;&gt;0,AM180="Y"),UI*W180,0)</f>
        <v>240.83696</v>
      </c>
      <c r="BI180" s="462">
        <f>IF(AND(AT180&lt;&gt;0,N180&lt;&gt;"NR"),DHR*W180,0)</f>
        <v>150.40022399999998</v>
      </c>
      <c r="BJ180" s="462">
        <f>IF(AT180&lt;&gt;0,WC*W180,0)</f>
        <v>1322.1457600000001</v>
      </c>
      <c r="BK180" s="462">
        <f>IF(OR(AND(AT180&lt;&gt;0,AJ180&lt;&gt;"PF",AN180&lt;&gt;"NE",AG180&lt;&gt;"A"),AND(AL180="E",OR(AT180=1,AT180=3))),Sick*W180,0)</f>
        <v>0</v>
      </c>
      <c r="BL180" s="462">
        <f t="shared" si="39"/>
        <v>11696.320688</v>
      </c>
      <c r="BM180" s="462">
        <f t="shared" si="40"/>
        <v>0</v>
      </c>
      <c r="BN180" s="462">
        <f>IF(AND(AT180=1,AK180="E",AU180&gt;=0.75,AW180=1),HealthBY,IF(AND(AT180=1,AK180="E",AU180&gt;=0.75),HealthBY*P180,IF(AND(AT180=1,AK180="E",AU180&gt;=0.5,AW180=1),PTHealthBY,IF(AND(AT180=1,AK180="E",AU180&gt;=0.5),PTHealthBY*P180,0))))</f>
        <v>11650</v>
      </c>
      <c r="BO180" s="462">
        <f>IF(AND(AT180=3,AK180="E",AV180&gt;=0.75,AW180=1),HealthBY,IF(AND(AT180=3,AK180="E",AV180&gt;=0.75),HealthBY*P180,IF(AND(AT180=3,AK180="E",AV180&gt;=0.5,AW180=1),PTHealthBY,IF(AND(AT180=3,AK180="E",AV180&gt;=0.5),PTHealthBY*P180,0))))</f>
        <v>0</v>
      </c>
      <c r="BP180" s="462">
        <f>IF(AND(AT180&lt;&gt;0,(AX180+BA180)&gt;=MAXSSDIBY),SSDIBY*MAXSSDIBY*P180,IF(AT180&lt;&gt;0,SSDIBY*W180,0))</f>
        <v>3047.3247999999999</v>
      </c>
      <c r="BQ180" s="462">
        <f>IF(AT180&lt;&gt;0,SSHIBY*W180,0)</f>
        <v>712.68080000000009</v>
      </c>
      <c r="BR180" s="462">
        <f>IF(AND(AT180&lt;&gt;0,AN180&lt;&gt;"NE"),VLOOKUP(AN180,Retirement_Rates,4,FALSE)*W180,0)</f>
        <v>5868.5577600000006</v>
      </c>
      <c r="BS180" s="462">
        <f>IF(AND(AT180&lt;&gt;0,AJ180&lt;&gt;"PF"),LifeBY*W180,0)</f>
        <v>354.37438400000002</v>
      </c>
      <c r="BT180" s="462">
        <f>IF(AND(AT180&lt;&gt;0,AM180="Y"),UIBY*W180,0)</f>
        <v>0</v>
      </c>
      <c r="BU180" s="462">
        <f>IF(AND(AT180&lt;&gt;0,N180&lt;&gt;"NR"),DHRBY*W180,0)</f>
        <v>150.40022399999998</v>
      </c>
      <c r="BV180" s="462">
        <f>IF(AT180&lt;&gt;0,WCBY*W180,0)</f>
        <v>1705.5188800000001</v>
      </c>
      <c r="BW180" s="462">
        <f>IF(OR(AND(AT180&lt;&gt;0,AJ180&lt;&gt;"PF",AN180&lt;&gt;"NE",AG180&lt;&gt;"A"),AND(AL180="E",OR(AT180=1,AT180=3))),SickBY*W180,0)</f>
        <v>0</v>
      </c>
      <c r="BX180" s="462">
        <f t="shared" si="41"/>
        <v>11838.856847999999</v>
      </c>
      <c r="BY180" s="462">
        <f t="shared" si="42"/>
        <v>0</v>
      </c>
      <c r="BZ180" s="462">
        <f t="shared" si="43"/>
        <v>0</v>
      </c>
      <c r="CA180" s="462">
        <f t="shared" si="44"/>
        <v>0</v>
      </c>
      <c r="CB180" s="462">
        <f t="shared" si="45"/>
        <v>0</v>
      </c>
      <c r="CC180" s="462">
        <f>IF(AT180&lt;&gt;0,SSHICHG*Y180,0)</f>
        <v>0</v>
      </c>
      <c r="CD180" s="462">
        <f>IF(AND(AT180&lt;&gt;0,AN180&lt;&gt;"NE"),VLOOKUP(AN180,Retirement_Rates,5,FALSE)*Y180,0)</f>
        <v>0</v>
      </c>
      <c r="CE180" s="462">
        <f>IF(AND(AT180&lt;&gt;0,AJ180&lt;&gt;"PF"),LifeCHG*Y180,0)</f>
        <v>0</v>
      </c>
      <c r="CF180" s="462">
        <f>IF(AND(AT180&lt;&gt;0,AM180="Y"),UICHG*Y180,0)</f>
        <v>-240.83696</v>
      </c>
      <c r="CG180" s="462">
        <f>IF(AND(AT180&lt;&gt;0,N180&lt;&gt;"NR"),DHRCHG*Y180,0)</f>
        <v>0</v>
      </c>
      <c r="CH180" s="462">
        <f>IF(AT180&lt;&gt;0,WCCHG*Y180,0)</f>
        <v>383.37312000000009</v>
      </c>
      <c r="CI180" s="462">
        <f>IF(OR(AND(AT180&lt;&gt;0,AJ180&lt;&gt;"PF",AN180&lt;&gt;"NE",AG180&lt;&gt;"A"),AND(AL180="E",OR(AT180=1,AT180=3))),SickCHG*Y180,0)</f>
        <v>0</v>
      </c>
      <c r="CJ180" s="462">
        <f t="shared" si="46"/>
        <v>142.53616000000008</v>
      </c>
      <c r="CK180" s="462" t="str">
        <f t="shared" si="47"/>
        <v/>
      </c>
      <c r="CL180" s="462" t="str">
        <f t="shared" si="48"/>
        <v/>
      </c>
      <c r="CM180" s="462" t="str">
        <f t="shared" si="49"/>
        <v/>
      </c>
      <c r="CN180" s="462" t="str">
        <f t="shared" si="50"/>
        <v>0243-00</v>
      </c>
    </row>
    <row r="181" spans="1:92" ht="15" thickBot="1" x14ac:dyDescent="0.35">
      <c r="A181" s="376" t="s">
        <v>161</v>
      </c>
      <c r="B181" s="376" t="s">
        <v>162</v>
      </c>
      <c r="C181" s="376" t="s">
        <v>716</v>
      </c>
      <c r="D181" s="376" t="s">
        <v>460</v>
      </c>
      <c r="E181" s="376" t="s">
        <v>273</v>
      </c>
      <c r="F181" s="377" t="s">
        <v>166</v>
      </c>
      <c r="G181" s="376" t="s">
        <v>432</v>
      </c>
      <c r="H181" s="378"/>
      <c r="I181" s="378"/>
      <c r="J181" s="376" t="s">
        <v>168</v>
      </c>
      <c r="K181" s="376" t="s">
        <v>461</v>
      </c>
      <c r="L181" s="376" t="s">
        <v>240</v>
      </c>
      <c r="M181" s="376" t="s">
        <v>171</v>
      </c>
      <c r="N181" s="376" t="s">
        <v>172</v>
      </c>
      <c r="O181" s="379">
        <v>1</v>
      </c>
      <c r="P181" s="460">
        <v>1</v>
      </c>
      <c r="Q181" s="460">
        <v>1</v>
      </c>
      <c r="R181" s="380">
        <v>80</v>
      </c>
      <c r="S181" s="460">
        <v>1</v>
      </c>
      <c r="T181" s="380">
        <v>48907.22</v>
      </c>
      <c r="U181" s="380">
        <v>0</v>
      </c>
      <c r="V181" s="380">
        <v>22772.87</v>
      </c>
      <c r="W181" s="380">
        <v>47652.800000000003</v>
      </c>
      <c r="X181" s="380">
        <v>22989.9</v>
      </c>
      <c r="Y181" s="380">
        <v>47652.800000000003</v>
      </c>
      <c r="Z181" s="380">
        <v>23128.1</v>
      </c>
      <c r="AA181" s="376" t="s">
        <v>717</v>
      </c>
      <c r="AB181" s="376" t="s">
        <v>702</v>
      </c>
      <c r="AC181" s="376" t="s">
        <v>718</v>
      </c>
      <c r="AD181" s="376" t="s">
        <v>180</v>
      </c>
      <c r="AE181" s="376" t="s">
        <v>461</v>
      </c>
      <c r="AF181" s="376" t="s">
        <v>244</v>
      </c>
      <c r="AG181" s="376" t="s">
        <v>178</v>
      </c>
      <c r="AH181" s="381">
        <v>22.91</v>
      </c>
      <c r="AI181" s="379">
        <v>27387</v>
      </c>
      <c r="AJ181" s="376" t="s">
        <v>179</v>
      </c>
      <c r="AK181" s="376" t="s">
        <v>180</v>
      </c>
      <c r="AL181" s="376" t="s">
        <v>181</v>
      </c>
      <c r="AM181" s="376" t="s">
        <v>182</v>
      </c>
      <c r="AN181" s="376" t="s">
        <v>68</v>
      </c>
      <c r="AO181" s="379">
        <v>80</v>
      </c>
      <c r="AP181" s="460">
        <v>1</v>
      </c>
      <c r="AQ181" s="460">
        <v>1</v>
      </c>
      <c r="AR181" s="458" t="s">
        <v>183</v>
      </c>
      <c r="AS181" s="462">
        <f t="shared" si="34"/>
        <v>1</v>
      </c>
      <c r="AT181">
        <f t="shared" si="35"/>
        <v>1</v>
      </c>
      <c r="AU181" s="462">
        <f>IF(AT181=0,"",IF(AND(AT181=1,M181="F",SUMIF(C2:C391,C181,AS2:AS391)&lt;=1),SUMIF(C2:C391,C181,AS2:AS391),IF(AND(AT181=1,M181="F",SUMIF(C2:C391,C181,AS2:AS391)&gt;1),1,"")))</f>
        <v>1</v>
      </c>
      <c r="AV181" s="462" t="str">
        <f>IF(AT181=0,"",IF(AND(AT181=3,M181="F",SUMIF(C2:C391,C181,AS2:AS391)&lt;=1),SUMIF(C2:C391,C181,AS2:AS391),IF(AND(AT181=3,M181="F",SUMIF(C2:C391,C181,AS2:AS391)&gt;1),1,"")))</f>
        <v/>
      </c>
      <c r="AW181" s="462">
        <f>SUMIF(C2:C391,C181,O2:O391)</f>
        <v>1</v>
      </c>
      <c r="AX181" s="462">
        <f>IF(AND(M181="F",AS181&lt;&gt;0),SUMIF(C2:C391,C181,W2:W391),0)</f>
        <v>47652.800000000003</v>
      </c>
      <c r="AY181" s="462">
        <f t="shared" si="36"/>
        <v>47652.800000000003</v>
      </c>
      <c r="AZ181" s="462" t="str">
        <f t="shared" si="37"/>
        <v/>
      </c>
      <c r="BA181" s="462">
        <f t="shared" si="38"/>
        <v>0</v>
      </c>
      <c r="BB181" s="462">
        <f>IF(AND(AT181=1,AK181="E",AU181&gt;=0.75,AW181=1),Health,IF(AND(AT181=1,AK181="E",AU181&gt;=0.75),Health*P181,IF(AND(AT181=1,AK181="E",AU181&gt;=0.5,AW181=1),PTHealth,IF(AND(AT181=1,AK181="E",AU181&gt;=0.5),PTHealth*P181,0))))</f>
        <v>11650</v>
      </c>
      <c r="BC181" s="462">
        <f>IF(AND(AT181=3,AK181="E",AV181&gt;=0.75,AW181=1),Health,IF(AND(AT181=3,AK181="E",AV181&gt;=0.75),Health*P181,IF(AND(AT181=3,AK181="E",AV181&gt;=0.5,AW181=1),PTHealth,IF(AND(AT181=3,AK181="E",AV181&gt;=0.5),PTHealth*P181,0))))</f>
        <v>0</v>
      </c>
      <c r="BD181" s="462">
        <f>IF(AND(AT181&lt;&gt;0,AX181&gt;=MAXSSDI),SSDI*MAXSSDI*P181,IF(AT181&lt;&gt;0,SSDI*W181,0))</f>
        <v>2954.4736000000003</v>
      </c>
      <c r="BE181" s="462">
        <f>IF(AT181&lt;&gt;0,SSHI*W181,0)</f>
        <v>690.96560000000011</v>
      </c>
      <c r="BF181" s="462">
        <f>IF(AND(AT181&lt;&gt;0,AN181&lt;&gt;"NE"),VLOOKUP(AN181,Retirement_Rates,3,FALSE)*W181,0)</f>
        <v>5689.7443200000007</v>
      </c>
      <c r="BG181" s="462">
        <f>IF(AND(AT181&lt;&gt;0,AJ181&lt;&gt;"PF"),Life*W181,0)</f>
        <v>343.57668800000005</v>
      </c>
      <c r="BH181" s="462">
        <f>IF(AND(AT181&lt;&gt;0,AM181="Y"),UI*W181,0)</f>
        <v>233.49872000000002</v>
      </c>
      <c r="BI181" s="462">
        <f>IF(AND(AT181&lt;&gt;0,N181&lt;&gt;"NR"),DHR*W181,0)</f>
        <v>145.81756799999999</v>
      </c>
      <c r="BJ181" s="462">
        <f>IF(AT181&lt;&gt;0,WC*W181,0)</f>
        <v>1281.86032</v>
      </c>
      <c r="BK181" s="462">
        <f>IF(OR(AND(AT181&lt;&gt;0,AJ181&lt;&gt;"PF",AN181&lt;&gt;"NE",AG181&lt;&gt;"A"),AND(AL181="E",OR(AT181=1,AT181=3))),Sick*W181,0)</f>
        <v>0</v>
      </c>
      <c r="BL181" s="462">
        <f t="shared" si="39"/>
        <v>11339.936815999999</v>
      </c>
      <c r="BM181" s="462">
        <f t="shared" si="40"/>
        <v>0</v>
      </c>
      <c r="BN181" s="462">
        <f>IF(AND(AT181=1,AK181="E",AU181&gt;=0.75,AW181=1),HealthBY,IF(AND(AT181=1,AK181="E",AU181&gt;=0.75),HealthBY*P181,IF(AND(AT181=1,AK181="E",AU181&gt;=0.5,AW181=1),PTHealthBY,IF(AND(AT181=1,AK181="E",AU181&gt;=0.5),PTHealthBY*P181,0))))</f>
        <v>11650</v>
      </c>
      <c r="BO181" s="462">
        <f>IF(AND(AT181=3,AK181="E",AV181&gt;=0.75,AW181=1),HealthBY,IF(AND(AT181=3,AK181="E",AV181&gt;=0.75),HealthBY*P181,IF(AND(AT181=3,AK181="E",AV181&gt;=0.5,AW181=1),PTHealthBY,IF(AND(AT181=3,AK181="E",AV181&gt;=0.5),PTHealthBY*P181,0))))</f>
        <v>0</v>
      </c>
      <c r="BP181" s="462">
        <f>IF(AND(AT181&lt;&gt;0,(AX181+BA181)&gt;=MAXSSDIBY),SSDIBY*MAXSSDIBY*P181,IF(AT181&lt;&gt;0,SSDIBY*W181,0))</f>
        <v>2954.4736000000003</v>
      </c>
      <c r="BQ181" s="462">
        <f>IF(AT181&lt;&gt;0,SSHIBY*W181,0)</f>
        <v>690.96560000000011</v>
      </c>
      <c r="BR181" s="462">
        <f>IF(AND(AT181&lt;&gt;0,AN181&lt;&gt;"NE"),VLOOKUP(AN181,Retirement_Rates,4,FALSE)*W181,0)</f>
        <v>5689.7443200000007</v>
      </c>
      <c r="BS181" s="462">
        <f>IF(AND(AT181&lt;&gt;0,AJ181&lt;&gt;"PF"),LifeBY*W181,0)</f>
        <v>343.57668800000005</v>
      </c>
      <c r="BT181" s="462">
        <f>IF(AND(AT181&lt;&gt;0,AM181="Y"),UIBY*W181,0)</f>
        <v>0</v>
      </c>
      <c r="BU181" s="462">
        <f>IF(AND(AT181&lt;&gt;0,N181&lt;&gt;"NR"),DHRBY*W181,0)</f>
        <v>145.81756799999999</v>
      </c>
      <c r="BV181" s="462">
        <f>IF(AT181&lt;&gt;0,WCBY*W181,0)</f>
        <v>1653.5521600000002</v>
      </c>
      <c r="BW181" s="462">
        <f>IF(OR(AND(AT181&lt;&gt;0,AJ181&lt;&gt;"PF",AN181&lt;&gt;"NE",AG181&lt;&gt;"A"),AND(AL181="E",OR(AT181=1,AT181=3))),SickBY*W181,0)</f>
        <v>0</v>
      </c>
      <c r="BX181" s="462">
        <f t="shared" si="41"/>
        <v>11478.129936000001</v>
      </c>
      <c r="BY181" s="462">
        <f t="shared" si="42"/>
        <v>0</v>
      </c>
      <c r="BZ181" s="462">
        <f t="shared" si="43"/>
        <v>0</v>
      </c>
      <c r="CA181" s="462">
        <f t="shared" si="44"/>
        <v>0</v>
      </c>
      <c r="CB181" s="462">
        <f t="shared" si="45"/>
        <v>0</v>
      </c>
      <c r="CC181" s="462">
        <f>IF(AT181&lt;&gt;0,SSHICHG*Y181,0)</f>
        <v>0</v>
      </c>
      <c r="CD181" s="462">
        <f>IF(AND(AT181&lt;&gt;0,AN181&lt;&gt;"NE"),VLOOKUP(AN181,Retirement_Rates,5,FALSE)*Y181,0)</f>
        <v>0</v>
      </c>
      <c r="CE181" s="462">
        <f>IF(AND(AT181&lt;&gt;0,AJ181&lt;&gt;"PF"),LifeCHG*Y181,0)</f>
        <v>0</v>
      </c>
      <c r="CF181" s="462">
        <f>IF(AND(AT181&lt;&gt;0,AM181="Y"),UICHG*Y181,0)</f>
        <v>-233.49872000000002</v>
      </c>
      <c r="CG181" s="462">
        <f>IF(AND(AT181&lt;&gt;0,N181&lt;&gt;"NR"),DHRCHG*Y181,0)</f>
        <v>0</v>
      </c>
      <c r="CH181" s="462">
        <f>IF(AT181&lt;&gt;0,WCCHG*Y181,0)</f>
        <v>371.69184000000007</v>
      </c>
      <c r="CI181" s="462">
        <f>IF(OR(AND(AT181&lt;&gt;0,AJ181&lt;&gt;"PF",AN181&lt;&gt;"NE",AG181&lt;&gt;"A"),AND(AL181="E",OR(AT181=1,AT181=3))),SickCHG*Y181,0)</f>
        <v>0</v>
      </c>
      <c r="CJ181" s="462">
        <f t="shared" si="46"/>
        <v>138.19312000000005</v>
      </c>
      <c r="CK181" s="462" t="str">
        <f t="shared" si="47"/>
        <v/>
      </c>
      <c r="CL181" s="462" t="str">
        <f t="shared" si="48"/>
        <v/>
      </c>
      <c r="CM181" s="462" t="str">
        <f t="shared" si="49"/>
        <v/>
      </c>
      <c r="CN181" s="462" t="str">
        <f t="shared" si="50"/>
        <v>0243-00</v>
      </c>
    </row>
    <row r="182" spans="1:92" ht="15" thickBot="1" x14ac:dyDescent="0.35">
      <c r="A182" s="376" t="s">
        <v>161</v>
      </c>
      <c r="B182" s="376" t="s">
        <v>162</v>
      </c>
      <c r="C182" s="376" t="s">
        <v>719</v>
      </c>
      <c r="D182" s="376" t="s">
        <v>221</v>
      </c>
      <c r="E182" s="376" t="s">
        <v>273</v>
      </c>
      <c r="F182" s="377" t="s">
        <v>166</v>
      </c>
      <c r="G182" s="376" t="s">
        <v>432</v>
      </c>
      <c r="H182" s="378"/>
      <c r="I182" s="378"/>
      <c r="J182" s="376" t="s">
        <v>168</v>
      </c>
      <c r="K182" s="376" t="s">
        <v>222</v>
      </c>
      <c r="L182" s="376" t="s">
        <v>166</v>
      </c>
      <c r="M182" s="376" t="s">
        <v>171</v>
      </c>
      <c r="N182" s="376" t="s">
        <v>223</v>
      </c>
      <c r="O182" s="379">
        <v>0</v>
      </c>
      <c r="P182" s="460">
        <v>0</v>
      </c>
      <c r="Q182" s="460">
        <v>0</v>
      </c>
      <c r="R182" s="380">
        <v>0</v>
      </c>
      <c r="S182" s="460">
        <v>0</v>
      </c>
      <c r="T182" s="380">
        <v>4568</v>
      </c>
      <c r="U182" s="380">
        <v>396</v>
      </c>
      <c r="V182" s="380">
        <v>553.14</v>
      </c>
      <c r="W182" s="380">
        <v>0</v>
      </c>
      <c r="X182" s="380">
        <v>0</v>
      </c>
      <c r="Y182" s="380">
        <v>0</v>
      </c>
      <c r="Z182" s="380">
        <v>0</v>
      </c>
      <c r="AA182" s="378"/>
      <c r="AB182" s="376" t="s">
        <v>45</v>
      </c>
      <c r="AC182" s="376" t="s">
        <v>45</v>
      </c>
      <c r="AD182" s="378"/>
      <c r="AE182" s="378"/>
      <c r="AF182" s="378"/>
      <c r="AG182" s="378"/>
      <c r="AH182" s="379">
        <v>0</v>
      </c>
      <c r="AI182" s="379">
        <v>0</v>
      </c>
      <c r="AJ182" s="378"/>
      <c r="AK182" s="378"/>
      <c r="AL182" s="376" t="s">
        <v>181</v>
      </c>
      <c r="AM182" s="378"/>
      <c r="AN182" s="378"/>
      <c r="AO182" s="379">
        <v>0</v>
      </c>
      <c r="AP182" s="460">
        <v>0</v>
      </c>
      <c r="AQ182" s="460">
        <v>0</v>
      </c>
      <c r="AR182" s="459"/>
      <c r="AS182" s="462">
        <f t="shared" si="34"/>
        <v>0</v>
      </c>
      <c r="AT182">
        <f t="shared" si="35"/>
        <v>0</v>
      </c>
      <c r="AU182" s="462" t="str">
        <f>IF(AT182=0,"",IF(AND(AT182=1,M182="F",SUMIF(C2:C391,C182,AS2:AS391)&lt;=1),SUMIF(C2:C391,C182,AS2:AS391),IF(AND(AT182=1,M182="F",SUMIF(C2:C391,C182,AS2:AS391)&gt;1),1,"")))</f>
        <v/>
      </c>
      <c r="AV182" s="462" t="str">
        <f>IF(AT182=0,"",IF(AND(AT182=3,M182="F",SUMIF(C2:C391,C182,AS2:AS391)&lt;=1),SUMIF(C2:C391,C182,AS2:AS391),IF(AND(AT182=3,M182="F",SUMIF(C2:C391,C182,AS2:AS391)&gt;1),1,"")))</f>
        <v/>
      </c>
      <c r="AW182" s="462">
        <f>SUMIF(C2:C391,C182,O2:O391)</f>
        <v>0</v>
      </c>
      <c r="AX182" s="462">
        <f>IF(AND(M182="F",AS182&lt;&gt;0),SUMIF(C2:C391,C182,W2:W391),0)</f>
        <v>0</v>
      </c>
      <c r="AY182" s="462" t="str">
        <f t="shared" si="36"/>
        <v/>
      </c>
      <c r="AZ182" s="462" t="str">
        <f t="shared" si="37"/>
        <v/>
      </c>
      <c r="BA182" s="462">
        <f t="shared" si="38"/>
        <v>0</v>
      </c>
      <c r="BB182" s="462">
        <f>IF(AND(AT182=1,AK182="E",AU182&gt;=0.75,AW182=1),Health,IF(AND(AT182=1,AK182="E",AU182&gt;=0.75),Health*P182,IF(AND(AT182=1,AK182="E",AU182&gt;=0.5,AW182=1),PTHealth,IF(AND(AT182=1,AK182="E",AU182&gt;=0.5),PTHealth*P182,0))))</f>
        <v>0</v>
      </c>
      <c r="BC182" s="462">
        <f>IF(AND(AT182=3,AK182="E",AV182&gt;=0.75,AW182=1),Health,IF(AND(AT182=3,AK182="E",AV182&gt;=0.75),Health*P182,IF(AND(AT182=3,AK182="E",AV182&gt;=0.5,AW182=1),PTHealth,IF(AND(AT182=3,AK182="E",AV182&gt;=0.5),PTHealth*P182,0))))</f>
        <v>0</v>
      </c>
      <c r="BD182" s="462">
        <f>IF(AND(AT182&lt;&gt;0,AX182&gt;=MAXSSDI),SSDI*MAXSSDI*P182,IF(AT182&lt;&gt;0,SSDI*W182,0))</f>
        <v>0</v>
      </c>
      <c r="BE182" s="462">
        <f>IF(AT182&lt;&gt;0,SSHI*W182,0)</f>
        <v>0</v>
      </c>
      <c r="BF182" s="462">
        <f>IF(AND(AT182&lt;&gt;0,AN182&lt;&gt;"NE"),VLOOKUP(AN182,Retirement_Rates,3,FALSE)*W182,0)</f>
        <v>0</v>
      </c>
      <c r="BG182" s="462">
        <f>IF(AND(AT182&lt;&gt;0,AJ182&lt;&gt;"PF"),Life*W182,0)</f>
        <v>0</v>
      </c>
      <c r="BH182" s="462">
        <f>IF(AND(AT182&lt;&gt;0,AM182="Y"),UI*W182,0)</f>
        <v>0</v>
      </c>
      <c r="BI182" s="462">
        <f>IF(AND(AT182&lt;&gt;0,N182&lt;&gt;"NR"),DHR*W182,0)</f>
        <v>0</v>
      </c>
      <c r="BJ182" s="462">
        <f>IF(AT182&lt;&gt;0,WC*W182,0)</f>
        <v>0</v>
      </c>
      <c r="BK182" s="462">
        <f>IF(OR(AND(AT182&lt;&gt;0,AJ182&lt;&gt;"PF",AN182&lt;&gt;"NE",AG182&lt;&gt;"A"),AND(AL182="E",OR(AT182=1,AT182=3))),Sick*W182,0)</f>
        <v>0</v>
      </c>
      <c r="BL182" s="462">
        <f t="shared" si="39"/>
        <v>0</v>
      </c>
      <c r="BM182" s="462">
        <f t="shared" si="40"/>
        <v>0</v>
      </c>
      <c r="BN182" s="462">
        <f>IF(AND(AT182=1,AK182="E",AU182&gt;=0.75,AW182=1),HealthBY,IF(AND(AT182=1,AK182="E",AU182&gt;=0.75),HealthBY*P182,IF(AND(AT182=1,AK182="E",AU182&gt;=0.5,AW182=1),PTHealthBY,IF(AND(AT182=1,AK182="E",AU182&gt;=0.5),PTHealthBY*P182,0))))</f>
        <v>0</v>
      </c>
      <c r="BO182" s="462">
        <f>IF(AND(AT182=3,AK182="E",AV182&gt;=0.75,AW182=1),HealthBY,IF(AND(AT182=3,AK182="E",AV182&gt;=0.75),HealthBY*P182,IF(AND(AT182=3,AK182="E",AV182&gt;=0.5,AW182=1),PTHealthBY,IF(AND(AT182=3,AK182="E",AV182&gt;=0.5),PTHealthBY*P182,0))))</f>
        <v>0</v>
      </c>
      <c r="BP182" s="462">
        <f>IF(AND(AT182&lt;&gt;0,(AX182+BA182)&gt;=MAXSSDIBY),SSDIBY*MAXSSDIBY*P182,IF(AT182&lt;&gt;0,SSDIBY*W182,0))</f>
        <v>0</v>
      </c>
      <c r="BQ182" s="462">
        <f>IF(AT182&lt;&gt;0,SSHIBY*W182,0)</f>
        <v>0</v>
      </c>
      <c r="BR182" s="462">
        <f>IF(AND(AT182&lt;&gt;0,AN182&lt;&gt;"NE"),VLOOKUP(AN182,Retirement_Rates,4,FALSE)*W182,0)</f>
        <v>0</v>
      </c>
      <c r="BS182" s="462">
        <f>IF(AND(AT182&lt;&gt;0,AJ182&lt;&gt;"PF"),LifeBY*W182,0)</f>
        <v>0</v>
      </c>
      <c r="BT182" s="462">
        <f>IF(AND(AT182&lt;&gt;0,AM182="Y"),UIBY*W182,0)</f>
        <v>0</v>
      </c>
      <c r="BU182" s="462">
        <f>IF(AND(AT182&lt;&gt;0,N182&lt;&gt;"NR"),DHRBY*W182,0)</f>
        <v>0</v>
      </c>
      <c r="BV182" s="462">
        <f>IF(AT182&lt;&gt;0,WCBY*W182,0)</f>
        <v>0</v>
      </c>
      <c r="BW182" s="462">
        <f>IF(OR(AND(AT182&lt;&gt;0,AJ182&lt;&gt;"PF",AN182&lt;&gt;"NE",AG182&lt;&gt;"A"),AND(AL182="E",OR(AT182=1,AT182=3))),SickBY*W182,0)</f>
        <v>0</v>
      </c>
      <c r="BX182" s="462">
        <f t="shared" si="41"/>
        <v>0</v>
      </c>
      <c r="BY182" s="462">
        <f t="shared" si="42"/>
        <v>0</v>
      </c>
      <c r="BZ182" s="462">
        <f t="shared" si="43"/>
        <v>0</v>
      </c>
      <c r="CA182" s="462">
        <f t="shared" si="44"/>
        <v>0</v>
      </c>
      <c r="CB182" s="462">
        <f t="shared" si="45"/>
        <v>0</v>
      </c>
      <c r="CC182" s="462">
        <f>IF(AT182&lt;&gt;0,SSHICHG*Y182,0)</f>
        <v>0</v>
      </c>
      <c r="CD182" s="462">
        <f>IF(AND(AT182&lt;&gt;0,AN182&lt;&gt;"NE"),VLOOKUP(AN182,Retirement_Rates,5,FALSE)*Y182,0)</f>
        <v>0</v>
      </c>
      <c r="CE182" s="462">
        <f>IF(AND(AT182&lt;&gt;0,AJ182&lt;&gt;"PF"),LifeCHG*Y182,0)</f>
        <v>0</v>
      </c>
      <c r="CF182" s="462">
        <f>IF(AND(AT182&lt;&gt;0,AM182="Y"),UICHG*Y182,0)</f>
        <v>0</v>
      </c>
      <c r="CG182" s="462">
        <f>IF(AND(AT182&lt;&gt;0,N182&lt;&gt;"NR"),DHRCHG*Y182,0)</f>
        <v>0</v>
      </c>
      <c r="CH182" s="462">
        <f>IF(AT182&lt;&gt;0,WCCHG*Y182,0)</f>
        <v>0</v>
      </c>
      <c r="CI182" s="462">
        <f>IF(OR(AND(AT182&lt;&gt;0,AJ182&lt;&gt;"PF",AN182&lt;&gt;"NE",AG182&lt;&gt;"A"),AND(AL182="E",OR(AT182=1,AT182=3))),SickCHG*Y182,0)</f>
        <v>0</v>
      </c>
      <c r="CJ182" s="462">
        <f t="shared" si="46"/>
        <v>0</v>
      </c>
      <c r="CK182" s="462" t="str">
        <f t="shared" si="47"/>
        <v/>
      </c>
      <c r="CL182" s="462">
        <f t="shared" si="48"/>
        <v>4964</v>
      </c>
      <c r="CM182" s="462">
        <f t="shared" si="49"/>
        <v>553.14</v>
      </c>
      <c r="CN182" s="462" t="str">
        <f t="shared" si="50"/>
        <v>0243-00</v>
      </c>
    </row>
    <row r="183" spans="1:92" ht="15" thickBot="1" x14ac:dyDescent="0.35">
      <c r="A183" s="376" t="s">
        <v>161</v>
      </c>
      <c r="B183" s="376" t="s">
        <v>162</v>
      </c>
      <c r="C183" s="376" t="s">
        <v>720</v>
      </c>
      <c r="D183" s="376" t="s">
        <v>460</v>
      </c>
      <c r="E183" s="376" t="s">
        <v>273</v>
      </c>
      <c r="F183" s="377" t="s">
        <v>166</v>
      </c>
      <c r="G183" s="376" t="s">
        <v>432</v>
      </c>
      <c r="H183" s="378"/>
      <c r="I183" s="378"/>
      <c r="J183" s="376" t="s">
        <v>168</v>
      </c>
      <c r="K183" s="376" t="s">
        <v>461</v>
      </c>
      <c r="L183" s="376" t="s">
        <v>240</v>
      </c>
      <c r="M183" s="376" t="s">
        <v>171</v>
      </c>
      <c r="N183" s="376" t="s">
        <v>172</v>
      </c>
      <c r="O183" s="379">
        <v>1</v>
      </c>
      <c r="P183" s="460">
        <v>1</v>
      </c>
      <c r="Q183" s="460">
        <v>1</v>
      </c>
      <c r="R183" s="380">
        <v>80</v>
      </c>
      <c r="S183" s="460">
        <v>1</v>
      </c>
      <c r="T183" s="380">
        <v>49097.46</v>
      </c>
      <c r="U183" s="380">
        <v>0</v>
      </c>
      <c r="V183" s="380">
        <v>22292.65</v>
      </c>
      <c r="W183" s="380">
        <v>47299.199999999997</v>
      </c>
      <c r="X183" s="380">
        <v>22905.75</v>
      </c>
      <c r="Y183" s="380">
        <v>47299.199999999997</v>
      </c>
      <c r="Z183" s="380">
        <v>23042.93</v>
      </c>
      <c r="AA183" s="376" t="s">
        <v>721</v>
      </c>
      <c r="AB183" s="376" t="s">
        <v>722</v>
      </c>
      <c r="AC183" s="376" t="s">
        <v>723</v>
      </c>
      <c r="AD183" s="376" t="s">
        <v>724</v>
      </c>
      <c r="AE183" s="376" t="s">
        <v>461</v>
      </c>
      <c r="AF183" s="376" t="s">
        <v>244</v>
      </c>
      <c r="AG183" s="376" t="s">
        <v>178</v>
      </c>
      <c r="AH183" s="381">
        <v>22.74</v>
      </c>
      <c r="AI183" s="381">
        <v>39542.6</v>
      </c>
      <c r="AJ183" s="376" t="s">
        <v>179</v>
      </c>
      <c r="AK183" s="376" t="s">
        <v>180</v>
      </c>
      <c r="AL183" s="376" t="s">
        <v>181</v>
      </c>
      <c r="AM183" s="376" t="s">
        <v>182</v>
      </c>
      <c r="AN183" s="376" t="s">
        <v>68</v>
      </c>
      <c r="AO183" s="379">
        <v>80</v>
      </c>
      <c r="AP183" s="460">
        <v>1</v>
      </c>
      <c r="AQ183" s="460">
        <v>1</v>
      </c>
      <c r="AR183" s="458" t="s">
        <v>183</v>
      </c>
      <c r="AS183" s="462">
        <f t="shared" si="34"/>
        <v>1</v>
      </c>
      <c r="AT183">
        <f t="shared" si="35"/>
        <v>1</v>
      </c>
      <c r="AU183" s="462">
        <f>IF(AT183=0,"",IF(AND(AT183=1,M183="F",SUMIF(C2:C391,C183,AS2:AS391)&lt;=1),SUMIF(C2:C391,C183,AS2:AS391),IF(AND(AT183=1,M183="F",SUMIF(C2:C391,C183,AS2:AS391)&gt;1),1,"")))</f>
        <v>1</v>
      </c>
      <c r="AV183" s="462" t="str">
        <f>IF(AT183=0,"",IF(AND(AT183=3,M183="F",SUMIF(C2:C391,C183,AS2:AS391)&lt;=1),SUMIF(C2:C391,C183,AS2:AS391),IF(AND(AT183=3,M183="F",SUMIF(C2:C391,C183,AS2:AS391)&gt;1),1,"")))</f>
        <v/>
      </c>
      <c r="AW183" s="462">
        <f>SUMIF(C2:C391,C183,O2:O391)</f>
        <v>1</v>
      </c>
      <c r="AX183" s="462">
        <f>IF(AND(M183="F",AS183&lt;&gt;0),SUMIF(C2:C391,C183,W2:W391),0)</f>
        <v>47299.199999999997</v>
      </c>
      <c r="AY183" s="462">
        <f t="shared" si="36"/>
        <v>47299.199999999997</v>
      </c>
      <c r="AZ183" s="462" t="str">
        <f t="shared" si="37"/>
        <v/>
      </c>
      <c r="BA183" s="462">
        <f t="shared" si="38"/>
        <v>0</v>
      </c>
      <c r="BB183" s="462">
        <f>IF(AND(AT183=1,AK183="E",AU183&gt;=0.75,AW183=1),Health,IF(AND(AT183=1,AK183="E",AU183&gt;=0.75),Health*P183,IF(AND(AT183=1,AK183="E",AU183&gt;=0.5,AW183=1),PTHealth,IF(AND(AT183=1,AK183="E",AU183&gt;=0.5),PTHealth*P183,0))))</f>
        <v>11650</v>
      </c>
      <c r="BC183" s="462">
        <f>IF(AND(AT183=3,AK183="E",AV183&gt;=0.75,AW183=1),Health,IF(AND(AT183=3,AK183="E",AV183&gt;=0.75),Health*P183,IF(AND(AT183=3,AK183="E",AV183&gt;=0.5,AW183=1),PTHealth,IF(AND(AT183=3,AK183="E",AV183&gt;=0.5),PTHealth*P183,0))))</f>
        <v>0</v>
      </c>
      <c r="BD183" s="462">
        <f>IF(AND(AT183&lt;&gt;0,AX183&gt;=MAXSSDI),SSDI*MAXSSDI*P183,IF(AT183&lt;&gt;0,SSDI*W183,0))</f>
        <v>2932.5503999999996</v>
      </c>
      <c r="BE183" s="462">
        <f>IF(AT183&lt;&gt;0,SSHI*W183,0)</f>
        <v>685.83839999999998</v>
      </c>
      <c r="BF183" s="462">
        <f>IF(AND(AT183&lt;&gt;0,AN183&lt;&gt;"NE"),VLOOKUP(AN183,Retirement_Rates,3,FALSE)*W183,0)</f>
        <v>5647.52448</v>
      </c>
      <c r="BG183" s="462">
        <f>IF(AND(AT183&lt;&gt;0,AJ183&lt;&gt;"PF"),Life*W183,0)</f>
        <v>341.02723199999997</v>
      </c>
      <c r="BH183" s="462">
        <f>IF(AND(AT183&lt;&gt;0,AM183="Y"),UI*W183,0)</f>
        <v>231.76607999999999</v>
      </c>
      <c r="BI183" s="462">
        <f>IF(AND(AT183&lt;&gt;0,N183&lt;&gt;"NR"),DHR*W183,0)</f>
        <v>144.73555199999998</v>
      </c>
      <c r="BJ183" s="462">
        <f>IF(AT183&lt;&gt;0,WC*W183,0)</f>
        <v>1272.3484799999999</v>
      </c>
      <c r="BK183" s="462">
        <f>IF(OR(AND(AT183&lt;&gt;0,AJ183&lt;&gt;"PF",AN183&lt;&gt;"NE",AG183&lt;&gt;"A"),AND(AL183="E",OR(AT183=1,AT183=3))),Sick*W183,0)</f>
        <v>0</v>
      </c>
      <c r="BL183" s="462">
        <f t="shared" si="39"/>
        <v>11255.790624000001</v>
      </c>
      <c r="BM183" s="462">
        <f t="shared" si="40"/>
        <v>0</v>
      </c>
      <c r="BN183" s="462">
        <f>IF(AND(AT183=1,AK183="E",AU183&gt;=0.75,AW183=1),HealthBY,IF(AND(AT183=1,AK183="E",AU183&gt;=0.75),HealthBY*P183,IF(AND(AT183=1,AK183="E",AU183&gt;=0.5,AW183=1),PTHealthBY,IF(AND(AT183=1,AK183="E",AU183&gt;=0.5),PTHealthBY*P183,0))))</f>
        <v>11650</v>
      </c>
      <c r="BO183" s="462">
        <f>IF(AND(AT183=3,AK183="E",AV183&gt;=0.75,AW183=1),HealthBY,IF(AND(AT183=3,AK183="E",AV183&gt;=0.75),HealthBY*P183,IF(AND(AT183=3,AK183="E",AV183&gt;=0.5,AW183=1),PTHealthBY,IF(AND(AT183=3,AK183="E",AV183&gt;=0.5),PTHealthBY*P183,0))))</f>
        <v>0</v>
      </c>
      <c r="BP183" s="462">
        <f>IF(AND(AT183&lt;&gt;0,(AX183+BA183)&gt;=MAXSSDIBY),SSDIBY*MAXSSDIBY*P183,IF(AT183&lt;&gt;0,SSDIBY*W183,0))</f>
        <v>2932.5503999999996</v>
      </c>
      <c r="BQ183" s="462">
        <f>IF(AT183&lt;&gt;0,SSHIBY*W183,0)</f>
        <v>685.83839999999998</v>
      </c>
      <c r="BR183" s="462">
        <f>IF(AND(AT183&lt;&gt;0,AN183&lt;&gt;"NE"),VLOOKUP(AN183,Retirement_Rates,4,FALSE)*W183,0)</f>
        <v>5647.52448</v>
      </c>
      <c r="BS183" s="462">
        <f>IF(AND(AT183&lt;&gt;0,AJ183&lt;&gt;"PF"),LifeBY*W183,0)</f>
        <v>341.02723199999997</v>
      </c>
      <c r="BT183" s="462">
        <f>IF(AND(AT183&lt;&gt;0,AM183="Y"),UIBY*W183,0)</f>
        <v>0</v>
      </c>
      <c r="BU183" s="462">
        <f>IF(AND(AT183&lt;&gt;0,N183&lt;&gt;"NR"),DHRBY*W183,0)</f>
        <v>144.73555199999998</v>
      </c>
      <c r="BV183" s="462">
        <f>IF(AT183&lt;&gt;0,WCBY*W183,0)</f>
        <v>1641.28224</v>
      </c>
      <c r="BW183" s="462">
        <f>IF(OR(AND(AT183&lt;&gt;0,AJ183&lt;&gt;"PF",AN183&lt;&gt;"NE",AG183&lt;&gt;"A"),AND(AL183="E",OR(AT183=1,AT183=3))),SickBY*W183,0)</f>
        <v>0</v>
      </c>
      <c r="BX183" s="462">
        <f t="shared" si="41"/>
        <v>11392.958304000002</v>
      </c>
      <c r="BY183" s="462">
        <f t="shared" si="42"/>
        <v>0</v>
      </c>
      <c r="BZ183" s="462">
        <f t="shared" si="43"/>
        <v>0</v>
      </c>
      <c r="CA183" s="462">
        <f t="shared" si="44"/>
        <v>0</v>
      </c>
      <c r="CB183" s="462">
        <f t="shared" si="45"/>
        <v>0</v>
      </c>
      <c r="CC183" s="462">
        <f>IF(AT183&lt;&gt;0,SSHICHG*Y183,0)</f>
        <v>0</v>
      </c>
      <c r="CD183" s="462">
        <f>IF(AND(AT183&lt;&gt;0,AN183&lt;&gt;"NE"),VLOOKUP(AN183,Retirement_Rates,5,FALSE)*Y183,0)</f>
        <v>0</v>
      </c>
      <c r="CE183" s="462">
        <f>IF(AND(AT183&lt;&gt;0,AJ183&lt;&gt;"PF"),LifeCHG*Y183,0)</f>
        <v>0</v>
      </c>
      <c r="CF183" s="462">
        <f>IF(AND(AT183&lt;&gt;0,AM183="Y"),UICHG*Y183,0)</f>
        <v>-231.76607999999999</v>
      </c>
      <c r="CG183" s="462">
        <f>IF(AND(AT183&lt;&gt;0,N183&lt;&gt;"NR"),DHRCHG*Y183,0)</f>
        <v>0</v>
      </c>
      <c r="CH183" s="462">
        <f>IF(AT183&lt;&gt;0,WCCHG*Y183,0)</f>
        <v>368.93376000000006</v>
      </c>
      <c r="CI183" s="462">
        <f>IF(OR(AND(AT183&lt;&gt;0,AJ183&lt;&gt;"PF",AN183&lt;&gt;"NE",AG183&lt;&gt;"A"),AND(AL183="E",OR(AT183=1,AT183=3))),SickCHG*Y183,0)</f>
        <v>0</v>
      </c>
      <c r="CJ183" s="462">
        <f t="shared" si="46"/>
        <v>137.16768000000008</v>
      </c>
      <c r="CK183" s="462" t="str">
        <f t="shared" si="47"/>
        <v/>
      </c>
      <c r="CL183" s="462" t="str">
        <f t="shared" si="48"/>
        <v/>
      </c>
      <c r="CM183" s="462" t="str">
        <f t="shared" si="49"/>
        <v/>
      </c>
      <c r="CN183" s="462" t="str">
        <f t="shared" si="50"/>
        <v>0243-00</v>
      </c>
    </row>
    <row r="184" spans="1:92" ht="15" thickBot="1" x14ac:dyDescent="0.35">
      <c r="A184" s="376" t="s">
        <v>161</v>
      </c>
      <c r="B184" s="376" t="s">
        <v>162</v>
      </c>
      <c r="C184" s="376" t="s">
        <v>509</v>
      </c>
      <c r="D184" s="376" t="s">
        <v>221</v>
      </c>
      <c r="E184" s="376" t="s">
        <v>273</v>
      </c>
      <c r="F184" s="377" t="s">
        <v>166</v>
      </c>
      <c r="G184" s="376" t="s">
        <v>432</v>
      </c>
      <c r="H184" s="378"/>
      <c r="I184" s="378"/>
      <c r="J184" s="376" t="s">
        <v>168</v>
      </c>
      <c r="K184" s="376" t="s">
        <v>222</v>
      </c>
      <c r="L184" s="376" t="s">
        <v>166</v>
      </c>
      <c r="M184" s="376" t="s">
        <v>171</v>
      </c>
      <c r="N184" s="376" t="s">
        <v>223</v>
      </c>
      <c r="O184" s="379">
        <v>0</v>
      </c>
      <c r="P184" s="460">
        <v>1</v>
      </c>
      <c r="Q184" s="460">
        <v>0</v>
      </c>
      <c r="R184" s="380">
        <v>0</v>
      </c>
      <c r="S184" s="460">
        <v>0</v>
      </c>
      <c r="T184" s="380">
        <v>37681.19</v>
      </c>
      <c r="U184" s="380">
        <v>1572</v>
      </c>
      <c r="V184" s="380">
        <v>4692.01</v>
      </c>
      <c r="W184" s="380">
        <v>65535.25</v>
      </c>
      <c r="X184" s="380">
        <v>9029.89</v>
      </c>
      <c r="Y184" s="380">
        <v>65535.25</v>
      </c>
      <c r="Z184" s="380">
        <v>9029.89</v>
      </c>
      <c r="AA184" s="378"/>
      <c r="AB184" s="376" t="s">
        <v>45</v>
      </c>
      <c r="AC184" s="376" t="s">
        <v>45</v>
      </c>
      <c r="AD184" s="378"/>
      <c r="AE184" s="378"/>
      <c r="AF184" s="378"/>
      <c r="AG184" s="378"/>
      <c r="AH184" s="379">
        <v>0</v>
      </c>
      <c r="AI184" s="379">
        <v>0</v>
      </c>
      <c r="AJ184" s="378"/>
      <c r="AK184" s="378"/>
      <c r="AL184" s="376" t="s">
        <v>181</v>
      </c>
      <c r="AM184" s="378"/>
      <c r="AN184" s="378"/>
      <c r="AO184" s="379">
        <v>0</v>
      </c>
      <c r="AP184" s="460">
        <v>0</v>
      </c>
      <c r="AQ184" s="460">
        <v>0</v>
      </c>
      <c r="AR184" s="459"/>
      <c r="AS184" s="462">
        <f t="shared" si="34"/>
        <v>0</v>
      </c>
      <c r="AT184">
        <f t="shared" si="35"/>
        <v>0</v>
      </c>
      <c r="AU184" s="462" t="str">
        <f>IF(AT184=0,"",IF(AND(AT184=1,M184="F",SUMIF(C2:C391,C184,AS2:AS391)&lt;=1),SUMIF(C2:C391,C184,AS2:AS391),IF(AND(AT184=1,M184="F",SUMIF(C2:C391,C184,AS2:AS391)&gt;1),1,"")))</f>
        <v/>
      </c>
      <c r="AV184" s="462" t="str">
        <f>IF(AT184=0,"",IF(AND(AT184=3,M184="F",SUMIF(C2:C391,C184,AS2:AS391)&lt;=1),SUMIF(C2:C391,C184,AS2:AS391),IF(AND(AT184=3,M184="F",SUMIF(C2:C391,C184,AS2:AS391)&gt;1),1,"")))</f>
        <v/>
      </c>
      <c r="AW184" s="462">
        <f>SUMIF(C2:C391,C184,O2:O391)</f>
        <v>0</v>
      </c>
      <c r="AX184" s="462">
        <f>IF(AND(M184="F",AS184&lt;&gt;0),SUMIF(C2:C391,C184,W2:W391),0)</f>
        <v>0</v>
      </c>
      <c r="AY184" s="462" t="str">
        <f t="shared" si="36"/>
        <v/>
      </c>
      <c r="AZ184" s="462" t="str">
        <f t="shared" si="37"/>
        <v/>
      </c>
      <c r="BA184" s="462">
        <f t="shared" si="38"/>
        <v>0</v>
      </c>
      <c r="BB184" s="462">
        <f>IF(AND(AT184=1,AK184="E",AU184&gt;=0.75,AW184=1),Health,IF(AND(AT184=1,AK184="E",AU184&gt;=0.75),Health*P184,IF(AND(AT184=1,AK184="E",AU184&gt;=0.5,AW184=1),PTHealth,IF(AND(AT184=1,AK184="E",AU184&gt;=0.5),PTHealth*P184,0))))</f>
        <v>0</v>
      </c>
      <c r="BC184" s="462">
        <f>IF(AND(AT184=3,AK184="E",AV184&gt;=0.75,AW184=1),Health,IF(AND(AT184=3,AK184="E",AV184&gt;=0.75),Health*P184,IF(AND(AT184=3,AK184="E",AV184&gt;=0.5,AW184=1),PTHealth,IF(AND(AT184=3,AK184="E",AV184&gt;=0.5),PTHealth*P184,0))))</f>
        <v>0</v>
      </c>
      <c r="BD184" s="462">
        <f>IF(AND(AT184&lt;&gt;0,AX184&gt;=MAXSSDI),SSDI*MAXSSDI*P184,IF(AT184&lt;&gt;0,SSDI*W184,0))</f>
        <v>0</v>
      </c>
      <c r="BE184" s="462">
        <f>IF(AT184&lt;&gt;0,SSHI*W184,0)</f>
        <v>0</v>
      </c>
      <c r="BF184" s="462">
        <f>IF(AND(AT184&lt;&gt;0,AN184&lt;&gt;"NE"),VLOOKUP(AN184,Retirement_Rates,3,FALSE)*W184,0)</f>
        <v>0</v>
      </c>
      <c r="BG184" s="462">
        <f>IF(AND(AT184&lt;&gt;0,AJ184&lt;&gt;"PF"),Life*W184,0)</f>
        <v>0</v>
      </c>
      <c r="BH184" s="462">
        <f>IF(AND(AT184&lt;&gt;0,AM184="Y"),UI*W184,0)</f>
        <v>0</v>
      </c>
      <c r="BI184" s="462">
        <f>IF(AND(AT184&lt;&gt;0,N184&lt;&gt;"NR"),DHR*W184,0)</f>
        <v>0</v>
      </c>
      <c r="BJ184" s="462">
        <f>IF(AT184&lt;&gt;0,WC*W184,0)</f>
        <v>0</v>
      </c>
      <c r="BK184" s="462">
        <f>IF(OR(AND(AT184&lt;&gt;0,AJ184&lt;&gt;"PF",AN184&lt;&gt;"NE",AG184&lt;&gt;"A"),AND(AL184="E",OR(AT184=1,AT184=3))),Sick*W184,0)</f>
        <v>0</v>
      </c>
      <c r="BL184" s="462">
        <f t="shared" si="39"/>
        <v>0</v>
      </c>
      <c r="BM184" s="462">
        <f t="shared" si="40"/>
        <v>0</v>
      </c>
      <c r="BN184" s="462">
        <f>IF(AND(AT184=1,AK184="E",AU184&gt;=0.75,AW184=1),HealthBY,IF(AND(AT184=1,AK184="E",AU184&gt;=0.75),HealthBY*P184,IF(AND(AT184=1,AK184="E",AU184&gt;=0.5,AW184=1),PTHealthBY,IF(AND(AT184=1,AK184="E",AU184&gt;=0.5),PTHealthBY*P184,0))))</f>
        <v>0</v>
      </c>
      <c r="BO184" s="462">
        <f>IF(AND(AT184=3,AK184="E",AV184&gt;=0.75,AW184=1),HealthBY,IF(AND(AT184=3,AK184="E",AV184&gt;=0.75),HealthBY*P184,IF(AND(AT184=3,AK184="E",AV184&gt;=0.5,AW184=1),PTHealthBY,IF(AND(AT184=3,AK184="E",AV184&gt;=0.5),PTHealthBY*P184,0))))</f>
        <v>0</v>
      </c>
      <c r="BP184" s="462">
        <f>IF(AND(AT184&lt;&gt;0,(AX184+BA184)&gt;=MAXSSDIBY),SSDIBY*MAXSSDIBY*P184,IF(AT184&lt;&gt;0,SSDIBY*W184,0))</f>
        <v>0</v>
      </c>
      <c r="BQ184" s="462">
        <f>IF(AT184&lt;&gt;0,SSHIBY*W184,0)</f>
        <v>0</v>
      </c>
      <c r="BR184" s="462">
        <f>IF(AND(AT184&lt;&gt;0,AN184&lt;&gt;"NE"),VLOOKUP(AN184,Retirement_Rates,4,FALSE)*W184,0)</f>
        <v>0</v>
      </c>
      <c r="BS184" s="462">
        <f>IF(AND(AT184&lt;&gt;0,AJ184&lt;&gt;"PF"),LifeBY*W184,0)</f>
        <v>0</v>
      </c>
      <c r="BT184" s="462">
        <f>IF(AND(AT184&lt;&gt;0,AM184="Y"),UIBY*W184,0)</f>
        <v>0</v>
      </c>
      <c r="BU184" s="462">
        <f>IF(AND(AT184&lt;&gt;0,N184&lt;&gt;"NR"),DHRBY*W184,0)</f>
        <v>0</v>
      </c>
      <c r="BV184" s="462">
        <f>IF(AT184&lt;&gt;0,WCBY*W184,0)</f>
        <v>0</v>
      </c>
      <c r="BW184" s="462">
        <f>IF(OR(AND(AT184&lt;&gt;0,AJ184&lt;&gt;"PF",AN184&lt;&gt;"NE",AG184&lt;&gt;"A"),AND(AL184="E",OR(AT184=1,AT184=3))),SickBY*W184,0)</f>
        <v>0</v>
      </c>
      <c r="BX184" s="462">
        <f t="shared" si="41"/>
        <v>0</v>
      </c>
      <c r="BY184" s="462">
        <f t="shared" si="42"/>
        <v>0</v>
      </c>
      <c r="BZ184" s="462">
        <f t="shared" si="43"/>
        <v>0</v>
      </c>
      <c r="CA184" s="462">
        <f t="shared" si="44"/>
        <v>0</v>
      </c>
      <c r="CB184" s="462">
        <f t="shared" si="45"/>
        <v>0</v>
      </c>
      <c r="CC184" s="462">
        <f>IF(AT184&lt;&gt;0,SSHICHG*Y184,0)</f>
        <v>0</v>
      </c>
      <c r="CD184" s="462">
        <f>IF(AND(AT184&lt;&gt;0,AN184&lt;&gt;"NE"),VLOOKUP(AN184,Retirement_Rates,5,FALSE)*Y184,0)</f>
        <v>0</v>
      </c>
      <c r="CE184" s="462">
        <f>IF(AND(AT184&lt;&gt;0,AJ184&lt;&gt;"PF"),LifeCHG*Y184,0)</f>
        <v>0</v>
      </c>
      <c r="CF184" s="462">
        <f>IF(AND(AT184&lt;&gt;0,AM184="Y"),UICHG*Y184,0)</f>
        <v>0</v>
      </c>
      <c r="CG184" s="462">
        <f>IF(AND(AT184&lt;&gt;0,N184&lt;&gt;"NR"),DHRCHG*Y184,0)</f>
        <v>0</v>
      </c>
      <c r="CH184" s="462">
        <f>IF(AT184&lt;&gt;0,WCCHG*Y184,0)</f>
        <v>0</v>
      </c>
      <c r="CI184" s="462">
        <f>IF(OR(AND(AT184&lt;&gt;0,AJ184&lt;&gt;"PF",AN184&lt;&gt;"NE",AG184&lt;&gt;"A"),AND(AL184="E",OR(AT184=1,AT184=3))),SickCHG*Y184,0)</f>
        <v>0</v>
      </c>
      <c r="CJ184" s="462">
        <f t="shared" si="46"/>
        <v>0</v>
      </c>
      <c r="CK184" s="462" t="str">
        <f t="shared" si="47"/>
        <v/>
      </c>
      <c r="CL184" s="462">
        <f t="shared" si="48"/>
        <v>39253.19</v>
      </c>
      <c r="CM184" s="462">
        <f t="shared" si="49"/>
        <v>4692.01</v>
      </c>
      <c r="CN184" s="462" t="str">
        <f t="shared" si="50"/>
        <v>0243-00</v>
      </c>
    </row>
    <row r="185" spans="1:92" ht="15" thickBot="1" x14ac:dyDescent="0.35">
      <c r="A185" s="376" t="s">
        <v>161</v>
      </c>
      <c r="B185" s="376" t="s">
        <v>162</v>
      </c>
      <c r="C185" s="376" t="s">
        <v>725</v>
      </c>
      <c r="D185" s="376" t="s">
        <v>185</v>
      </c>
      <c r="E185" s="376" t="s">
        <v>273</v>
      </c>
      <c r="F185" s="377" t="s">
        <v>166</v>
      </c>
      <c r="G185" s="376" t="s">
        <v>432</v>
      </c>
      <c r="H185" s="378"/>
      <c r="I185" s="378"/>
      <c r="J185" s="376" t="s">
        <v>168</v>
      </c>
      <c r="K185" s="376" t="s">
        <v>186</v>
      </c>
      <c r="L185" s="376" t="s">
        <v>178</v>
      </c>
      <c r="M185" s="376" t="s">
        <v>171</v>
      </c>
      <c r="N185" s="376" t="s">
        <v>172</v>
      </c>
      <c r="O185" s="379">
        <v>1</v>
      </c>
      <c r="P185" s="460">
        <v>1</v>
      </c>
      <c r="Q185" s="460">
        <v>1</v>
      </c>
      <c r="R185" s="380">
        <v>80</v>
      </c>
      <c r="S185" s="460">
        <v>1</v>
      </c>
      <c r="T185" s="380">
        <v>30639.81</v>
      </c>
      <c r="U185" s="380">
        <v>0</v>
      </c>
      <c r="V185" s="380">
        <v>18205.75</v>
      </c>
      <c r="W185" s="380">
        <v>32281.599999999999</v>
      </c>
      <c r="X185" s="380">
        <v>19332.02</v>
      </c>
      <c r="Y185" s="380">
        <v>32281.599999999999</v>
      </c>
      <c r="Z185" s="380">
        <v>19425.650000000001</v>
      </c>
      <c r="AA185" s="376" t="s">
        <v>726</v>
      </c>
      <c r="AB185" s="376" t="s">
        <v>727</v>
      </c>
      <c r="AC185" s="376" t="s">
        <v>728</v>
      </c>
      <c r="AD185" s="376" t="s">
        <v>211</v>
      </c>
      <c r="AE185" s="376" t="s">
        <v>186</v>
      </c>
      <c r="AF185" s="376" t="s">
        <v>190</v>
      </c>
      <c r="AG185" s="376" t="s">
        <v>178</v>
      </c>
      <c r="AH185" s="381">
        <v>15.52</v>
      </c>
      <c r="AI185" s="381">
        <v>7550.1</v>
      </c>
      <c r="AJ185" s="376" t="s">
        <v>179</v>
      </c>
      <c r="AK185" s="376" t="s">
        <v>180</v>
      </c>
      <c r="AL185" s="376" t="s">
        <v>181</v>
      </c>
      <c r="AM185" s="376" t="s">
        <v>182</v>
      </c>
      <c r="AN185" s="376" t="s">
        <v>68</v>
      </c>
      <c r="AO185" s="379">
        <v>80</v>
      </c>
      <c r="AP185" s="460">
        <v>1</v>
      </c>
      <c r="AQ185" s="460">
        <v>1</v>
      </c>
      <c r="AR185" s="458" t="s">
        <v>183</v>
      </c>
      <c r="AS185" s="462">
        <f t="shared" si="34"/>
        <v>1</v>
      </c>
      <c r="AT185">
        <f t="shared" si="35"/>
        <v>1</v>
      </c>
      <c r="AU185" s="462">
        <f>IF(AT185=0,"",IF(AND(AT185=1,M185="F",SUMIF(C2:C391,C185,AS2:AS391)&lt;=1),SUMIF(C2:C391,C185,AS2:AS391),IF(AND(AT185=1,M185="F",SUMIF(C2:C391,C185,AS2:AS391)&gt;1),1,"")))</f>
        <v>1</v>
      </c>
      <c r="AV185" s="462" t="str">
        <f>IF(AT185=0,"",IF(AND(AT185=3,M185="F",SUMIF(C2:C391,C185,AS2:AS391)&lt;=1),SUMIF(C2:C391,C185,AS2:AS391),IF(AND(AT185=3,M185="F",SUMIF(C2:C391,C185,AS2:AS391)&gt;1),1,"")))</f>
        <v/>
      </c>
      <c r="AW185" s="462">
        <f>SUMIF(C2:C391,C185,O2:O391)</f>
        <v>1</v>
      </c>
      <c r="AX185" s="462">
        <f>IF(AND(M185="F",AS185&lt;&gt;0),SUMIF(C2:C391,C185,W2:W391),0)</f>
        <v>32281.599999999999</v>
      </c>
      <c r="AY185" s="462">
        <f t="shared" si="36"/>
        <v>32281.599999999999</v>
      </c>
      <c r="AZ185" s="462" t="str">
        <f t="shared" si="37"/>
        <v/>
      </c>
      <c r="BA185" s="462">
        <f t="shared" si="38"/>
        <v>0</v>
      </c>
      <c r="BB185" s="462">
        <f>IF(AND(AT185=1,AK185="E",AU185&gt;=0.75,AW185=1),Health,IF(AND(AT185=1,AK185="E",AU185&gt;=0.75),Health*P185,IF(AND(AT185=1,AK185="E",AU185&gt;=0.5,AW185=1),PTHealth,IF(AND(AT185=1,AK185="E",AU185&gt;=0.5),PTHealth*P185,0))))</f>
        <v>11650</v>
      </c>
      <c r="BC185" s="462">
        <f>IF(AND(AT185=3,AK185="E",AV185&gt;=0.75,AW185=1),Health,IF(AND(AT185=3,AK185="E",AV185&gt;=0.75),Health*P185,IF(AND(AT185=3,AK185="E",AV185&gt;=0.5,AW185=1),PTHealth,IF(AND(AT185=3,AK185="E",AV185&gt;=0.5),PTHealth*P185,0))))</f>
        <v>0</v>
      </c>
      <c r="BD185" s="462">
        <f>IF(AND(AT185&lt;&gt;0,AX185&gt;=MAXSSDI),SSDI*MAXSSDI*P185,IF(AT185&lt;&gt;0,SSDI*W185,0))</f>
        <v>2001.4591999999998</v>
      </c>
      <c r="BE185" s="462">
        <f>IF(AT185&lt;&gt;0,SSHI*W185,0)</f>
        <v>468.08319999999998</v>
      </c>
      <c r="BF185" s="462">
        <f>IF(AND(AT185&lt;&gt;0,AN185&lt;&gt;"NE"),VLOOKUP(AN185,Retirement_Rates,3,FALSE)*W185,0)</f>
        <v>3854.4230400000001</v>
      </c>
      <c r="BG185" s="462">
        <f>IF(AND(AT185&lt;&gt;0,AJ185&lt;&gt;"PF"),Life*W185,0)</f>
        <v>232.750336</v>
      </c>
      <c r="BH185" s="462">
        <f>IF(AND(AT185&lt;&gt;0,AM185="Y"),UI*W185,0)</f>
        <v>158.17983999999998</v>
      </c>
      <c r="BI185" s="462">
        <f>IF(AND(AT185&lt;&gt;0,N185&lt;&gt;"NR"),DHR*W185,0)</f>
        <v>98.781695999999982</v>
      </c>
      <c r="BJ185" s="462">
        <f>IF(AT185&lt;&gt;0,WC*W185,0)</f>
        <v>868.37504000000001</v>
      </c>
      <c r="BK185" s="462">
        <f>IF(OR(AND(AT185&lt;&gt;0,AJ185&lt;&gt;"PF",AN185&lt;&gt;"NE",AG185&lt;&gt;"A"),AND(AL185="E",OR(AT185=1,AT185=3))),Sick*W185,0)</f>
        <v>0</v>
      </c>
      <c r="BL185" s="462">
        <f t="shared" si="39"/>
        <v>7682.0523519999997</v>
      </c>
      <c r="BM185" s="462">
        <f t="shared" si="40"/>
        <v>0</v>
      </c>
      <c r="BN185" s="462">
        <f>IF(AND(AT185=1,AK185="E",AU185&gt;=0.75,AW185=1),HealthBY,IF(AND(AT185=1,AK185="E",AU185&gt;=0.75),HealthBY*P185,IF(AND(AT185=1,AK185="E",AU185&gt;=0.5,AW185=1),PTHealthBY,IF(AND(AT185=1,AK185="E",AU185&gt;=0.5),PTHealthBY*P185,0))))</f>
        <v>11650</v>
      </c>
      <c r="BO185" s="462">
        <f>IF(AND(AT185=3,AK185="E",AV185&gt;=0.75,AW185=1),HealthBY,IF(AND(AT185=3,AK185="E",AV185&gt;=0.75),HealthBY*P185,IF(AND(AT185=3,AK185="E",AV185&gt;=0.5,AW185=1),PTHealthBY,IF(AND(AT185=3,AK185="E",AV185&gt;=0.5),PTHealthBY*P185,0))))</f>
        <v>0</v>
      </c>
      <c r="BP185" s="462">
        <f>IF(AND(AT185&lt;&gt;0,(AX185+BA185)&gt;=MAXSSDIBY),SSDIBY*MAXSSDIBY*P185,IF(AT185&lt;&gt;0,SSDIBY*W185,0))</f>
        <v>2001.4591999999998</v>
      </c>
      <c r="BQ185" s="462">
        <f>IF(AT185&lt;&gt;0,SSHIBY*W185,0)</f>
        <v>468.08319999999998</v>
      </c>
      <c r="BR185" s="462">
        <f>IF(AND(AT185&lt;&gt;0,AN185&lt;&gt;"NE"),VLOOKUP(AN185,Retirement_Rates,4,FALSE)*W185,0)</f>
        <v>3854.4230400000001</v>
      </c>
      <c r="BS185" s="462">
        <f>IF(AND(AT185&lt;&gt;0,AJ185&lt;&gt;"PF"),LifeBY*W185,0)</f>
        <v>232.750336</v>
      </c>
      <c r="BT185" s="462">
        <f>IF(AND(AT185&lt;&gt;0,AM185="Y"),UIBY*W185,0)</f>
        <v>0</v>
      </c>
      <c r="BU185" s="462">
        <f>IF(AND(AT185&lt;&gt;0,N185&lt;&gt;"NR"),DHRBY*W185,0)</f>
        <v>98.781695999999982</v>
      </c>
      <c r="BV185" s="462">
        <f>IF(AT185&lt;&gt;0,WCBY*W185,0)</f>
        <v>1120.1715200000001</v>
      </c>
      <c r="BW185" s="462">
        <f>IF(OR(AND(AT185&lt;&gt;0,AJ185&lt;&gt;"PF",AN185&lt;&gt;"NE",AG185&lt;&gt;"A"),AND(AL185="E",OR(AT185=1,AT185=3))),SickBY*W185,0)</f>
        <v>0</v>
      </c>
      <c r="BX185" s="462">
        <f t="shared" si="41"/>
        <v>7775.6689919999999</v>
      </c>
      <c r="BY185" s="462">
        <f t="shared" si="42"/>
        <v>0</v>
      </c>
      <c r="BZ185" s="462">
        <f t="shared" si="43"/>
        <v>0</v>
      </c>
      <c r="CA185" s="462">
        <f t="shared" si="44"/>
        <v>0</v>
      </c>
      <c r="CB185" s="462">
        <f t="shared" si="45"/>
        <v>0</v>
      </c>
      <c r="CC185" s="462">
        <f>IF(AT185&lt;&gt;0,SSHICHG*Y185,0)</f>
        <v>0</v>
      </c>
      <c r="CD185" s="462">
        <f>IF(AND(AT185&lt;&gt;0,AN185&lt;&gt;"NE"),VLOOKUP(AN185,Retirement_Rates,5,FALSE)*Y185,0)</f>
        <v>0</v>
      </c>
      <c r="CE185" s="462">
        <f>IF(AND(AT185&lt;&gt;0,AJ185&lt;&gt;"PF"),LifeCHG*Y185,0)</f>
        <v>0</v>
      </c>
      <c r="CF185" s="462">
        <f>IF(AND(AT185&lt;&gt;0,AM185="Y"),UICHG*Y185,0)</f>
        <v>-158.17983999999998</v>
      </c>
      <c r="CG185" s="462">
        <f>IF(AND(AT185&lt;&gt;0,N185&lt;&gt;"NR"),DHRCHG*Y185,0)</f>
        <v>0</v>
      </c>
      <c r="CH185" s="462">
        <f>IF(AT185&lt;&gt;0,WCCHG*Y185,0)</f>
        <v>251.79648000000003</v>
      </c>
      <c r="CI185" s="462">
        <f>IF(OR(AND(AT185&lt;&gt;0,AJ185&lt;&gt;"PF",AN185&lt;&gt;"NE",AG185&lt;&gt;"A"),AND(AL185="E",OR(AT185=1,AT185=3))),SickCHG*Y185,0)</f>
        <v>0</v>
      </c>
      <c r="CJ185" s="462">
        <f t="shared" si="46"/>
        <v>93.616640000000046</v>
      </c>
      <c r="CK185" s="462" t="str">
        <f t="shared" si="47"/>
        <v/>
      </c>
      <c r="CL185" s="462" t="str">
        <f t="shared" si="48"/>
        <v/>
      </c>
      <c r="CM185" s="462" t="str">
        <f t="shared" si="49"/>
        <v/>
      </c>
      <c r="CN185" s="462" t="str">
        <f t="shared" si="50"/>
        <v>0243-00</v>
      </c>
    </row>
    <row r="186" spans="1:92" ht="15" thickBot="1" x14ac:dyDescent="0.35">
      <c r="A186" s="376" t="s">
        <v>161</v>
      </c>
      <c r="B186" s="376" t="s">
        <v>162</v>
      </c>
      <c r="C186" s="376" t="s">
        <v>729</v>
      </c>
      <c r="D186" s="376" t="s">
        <v>221</v>
      </c>
      <c r="E186" s="376" t="s">
        <v>273</v>
      </c>
      <c r="F186" s="377" t="s">
        <v>166</v>
      </c>
      <c r="G186" s="376" t="s">
        <v>432</v>
      </c>
      <c r="H186" s="378"/>
      <c r="I186" s="378"/>
      <c r="J186" s="376" t="s">
        <v>168</v>
      </c>
      <c r="K186" s="376" t="s">
        <v>222</v>
      </c>
      <c r="L186" s="376" t="s">
        <v>166</v>
      </c>
      <c r="M186" s="376" t="s">
        <v>171</v>
      </c>
      <c r="N186" s="376" t="s">
        <v>223</v>
      </c>
      <c r="O186" s="379">
        <v>0</v>
      </c>
      <c r="P186" s="460">
        <v>1</v>
      </c>
      <c r="Q186" s="460">
        <v>0</v>
      </c>
      <c r="R186" s="380">
        <v>0</v>
      </c>
      <c r="S186" s="460">
        <v>0</v>
      </c>
      <c r="T186" s="380">
        <v>5689</v>
      </c>
      <c r="U186" s="380">
        <v>113</v>
      </c>
      <c r="V186" s="380">
        <v>977.96</v>
      </c>
      <c r="W186" s="380">
        <v>5802</v>
      </c>
      <c r="X186" s="380">
        <v>977.96</v>
      </c>
      <c r="Y186" s="380">
        <v>5802</v>
      </c>
      <c r="Z186" s="380">
        <v>977.96</v>
      </c>
      <c r="AA186" s="378"/>
      <c r="AB186" s="376" t="s">
        <v>45</v>
      </c>
      <c r="AC186" s="376" t="s">
        <v>45</v>
      </c>
      <c r="AD186" s="378"/>
      <c r="AE186" s="378"/>
      <c r="AF186" s="378"/>
      <c r="AG186" s="378"/>
      <c r="AH186" s="379">
        <v>0</v>
      </c>
      <c r="AI186" s="379">
        <v>0</v>
      </c>
      <c r="AJ186" s="378"/>
      <c r="AK186" s="378"/>
      <c r="AL186" s="376" t="s">
        <v>181</v>
      </c>
      <c r="AM186" s="378"/>
      <c r="AN186" s="378"/>
      <c r="AO186" s="379">
        <v>0</v>
      </c>
      <c r="AP186" s="460">
        <v>0</v>
      </c>
      <c r="AQ186" s="460">
        <v>0</v>
      </c>
      <c r="AR186" s="459"/>
      <c r="AS186" s="462">
        <f t="shared" si="34"/>
        <v>0</v>
      </c>
      <c r="AT186">
        <f t="shared" si="35"/>
        <v>0</v>
      </c>
      <c r="AU186" s="462" t="str">
        <f>IF(AT186=0,"",IF(AND(AT186=1,M186="F",SUMIF(C2:C391,C186,AS2:AS391)&lt;=1),SUMIF(C2:C391,C186,AS2:AS391),IF(AND(AT186=1,M186="F",SUMIF(C2:C391,C186,AS2:AS391)&gt;1),1,"")))</f>
        <v/>
      </c>
      <c r="AV186" s="462" t="str">
        <f>IF(AT186=0,"",IF(AND(AT186=3,M186="F",SUMIF(C2:C391,C186,AS2:AS391)&lt;=1),SUMIF(C2:C391,C186,AS2:AS391),IF(AND(AT186=3,M186="F",SUMIF(C2:C391,C186,AS2:AS391)&gt;1),1,"")))</f>
        <v/>
      </c>
      <c r="AW186" s="462">
        <f>SUMIF(C2:C391,C186,O2:O391)</f>
        <v>0</v>
      </c>
      <c r="AX186" s="462">
        <f>IF(AND(M186="F",AS186&lt;&gt;0),SUMIF(C2:C391,C186,W2:W391),0)</f>
        <v>0</v>
      </c>
      <c r="AY186" s="462" t="str">
        <f t="shared" si="36"/>
        <v/>
      </c>
      <c r="AZ186" s="462" t="str">
        <f t="shared" si="37"/>
        <v/>
      </c>
      <c r="BA186" s="462">
        <f t="shared" si="38"/>
        <v>0</v>
      </c>
      <c r="BB186" s="462">
        <f>IF(AND(AT186=1,AK186="E",AU186&gt;=0.75,AW186=1),Health,IF(AND(AT186=1,AK186="E",AU186&gt;=0.75),Health*P186,IF(AND(AT186=1,AK186="E",AU186&gt;=0.5,AW186=1),PTHealth,IF(AND(AT186=1,AK186="E",AU186&gt;=0.5),PTHealth*P186,0))))</f>
        <v>0</v>
      </c>
      <c r="BC186" s="462">
        <f>IF(AND(AT186=3,AK186="E",AV186&gt;=0.75,AW186=1),Health,IF(AND(AT186=3,AK186="E",AV186&gt;=0.75),Health*P186,IF(AND(AT186=3,AK186="E",AV186&gt;=0.5,AW186=1),PTHealth,IF(AND(AT186=3,AK186="E",AV186&gt;=0.5),PTHealth*P186,0))))</f>
        <v>0</v>
      </c>
      <c r="BD186" s="462">
        <f>IF(AND(AT186&lt;&gt;0,AX186&gt;=MAXSSDI),SSDI*MAXSSDI*P186,IF(AT186&lt;&gt;0,SSDI*W186,0))</f>
        <v>0</v>
      </c>
      <c r="BE186" s="462">
        <f>IF(AT186&lt;&gt;0,SSHI*W186,0)</f>
        <v>0</v>
      </c>
      <c r="BF186" s="462">
        <f>IF(AND(AT186&lt;&gt;0,AN186&lt;&gt;"NE"),VLOOKUP(AN186,Retirement_Rates,3,FALSE)*W186,0)</f>
        <v>0</v>
      </c>
      <c r="BG186" s="462">
        <f>IF(AND(AT186&lt;&gt;0,AJ186&lt;&gt;"PF"),Life*W186,0)</f>
        <v>0</v>
      </c>
      <c r="BH186" s="462">
        <f>IF(AND(AT186&lt;&gt;0,AM186="Y"),UI*W186,0)</f>
        <v>0</v>
      </c>
      <c r="BI186" s="462">
        <f>IF(AND(AT186&lt;&gt;0,N186&lt;&gt;"NR"),DHR*W186,0)</f>
        <v>0</v>
      </c>
      <c r="BJ186" s="462">
        <f>IF(AT186&lt;&gt;0,WC*W186,0)</f>
        <v>0</v>
      </c>
      <c r="BK186" s="462">
        <f>IF(OR(AND(AT186&lt;&gt;0,AJ186&lt;&gt;"PF",AN186&lt;&gt;"NE",AG186&lt;&gt;"A"),AND(AL186="E",OR(AT186=1,AT186=3))),Sick*W186,0)</f>
        <v>0</v>
      </c>
      <c r="BL186" s="462">
        <f t="shared" si="39"/>
        <v>0</v>
      </c>
      <c r="BM186" s="462">
        <f t="shared" si="40"/>
        <v>0</v>
      </c>
      <c r="BN186" s="462">
        <f>IF(AND(AT186=1,AK186="E",AU186&gt;=0.75,AW186=1),HealthBY,IF(AND(AT186=1,AK186="E",AU186&gt;=0.75),HealthBY*P186,IF(AND(AT186=1,AK186="E",AU186&gt;=0.5,AW186=1),PTHealthBY,IF(AND(AT186=1,AK186="E",AU186&gt;=0.5),PTHealthBY*P186,0))))</f>
        <v>0</v>
      </c>
      <c r="BO186" s="462">
        <f>IF(AND(AT186=3,AK186="E",AV186&gt;=0.75,AW186=1),HealthBY,IF(AND(AT186=3,AK186="E",AV186&gt;=0.75),HealthBY*P186,IF(AND(AT186=3,AK186="E",AV186&gt;=0.5,AW186=1),PTHealthBY,IF(AND(AT186=3,AK186="E",AV186&gt;=0.5),PTHealthBY*P186,0))))</f>
        <v>0</v>
      </c>
      <c r="BP186" s="462">
        <f>IF(AND(AT186&lt;&gt;0,(AX186+BA186)&gt;=MAXSSDIBY),SSDIBY*MAXSSDIBY*P186,IF(AT186&lt;&gt;0,SSDIBY*W186,0))</f>
        <v>0</v>
      </c>
      <c r="BQ186" s="462">
        <f>IF(AT186&lt;&gt;0,SSHIBY*W186,0)</f>
        <v>0</v>
      </c>
      <c r="BR186" s="462">
        <f>IF(AND(AT186&lt;&gt;0,AN186&lt;&gt;"NE"),VLOOKUP(AN186,Retirement_Rates,4,FALSE)*W186,0)</f>
        <v>0</v>
      </c>
      <c r="BS186" s="462">
        <f>IF(AND(AT186&lt;&gt;0,AJ186&lt;&gt;"PF"),LifeBY*W186,0)</f>
        <v>0</v>
      </c>
      <c r="BT186" s="462">
        <f>IF(AND(AT186&lt;&gt;0,AM186="Y"),UIBY*W186,0)</f>
        <v>0</v>
      </c>
      <c r="BU186" s="462">
        <f>IF(AND(AT186&lt;&gt;0,N186&lt;&gt;"NR"),DHRBY*W186,0)</f>
        <v>0</v>
      </c>
      <c r="BV186" s="462">
        <f>IF(AT186&lt;&gt;0,WCBY*W186,0)</f>
        <v>0</v>
      </c>
      <c r="BW186" s="462">
        <f>IF(OR(AND(AT186&lt;&gt;0,AJ186&lt;&gt;"PF",AN186&lt;&gt;"NE",AG186&lt;&gt;"A"),AND(AL186="E",OR(AT186=1,AT186=3))),SickBY*W186,0)</f>
        <v>0</v>
      </c>
      <c r="BX186" s="462">
        <f t="shared" si="41"/>
        <v>0</v>
      </c>
      <c r="BY186" s="462">
        <f t="shared" si="42"/>
        <v>0</v>
      </c>
      <c r="BZ186" s="462">
        <f t="shared" si="43"/>
        <v>0</v>
      </c>
      <c r="CA186" s="462">
        <f t="shared" si="44"/>
        <v>0</v>
      </c>
      <c r="CB186" s="462">
        <f t="shared" si="45"/>
        <v>0</v>
      </c>
      <c r="CC186" s="462">
        <f>IF(AT186&lt;&gt;0,SSHICHG*Y186,0)</f>
        <v>0</v>
      </c>
      <c r="CD186" s="462">
        <f>IF(AND(AT186&lt;&gt;0,AN186&lt;&gt;"NE"),VLOOKUP(AN186,Retirement_Rates,5,FALSE)*Y186,0)</f>
        <v>0</v>
      </c>
      <c r="CE186" s="462">
        <f>IF(AND(AT186&lt;&gt;0,AJ186&lt;&gt;"PF"),LifeCHG*Y186,0)</f>
        <v>0</v>
      </c>
      <c r="CF186" s="462">
        <f>IF(AND(AT186&lt;&gt;0,AM186="Y"),UICHG*Y186,0)</f>
        <v>0</v>
      </c>
      <c r="CG186" s="462">
        <f>IF(AND(AT186&lt;&gt;0,N186&lt;&gt;"NR"),DHRCHG*Y186,0)</f>
        <v>0</v>
      </c>
      <c r="CH186" s="462">
        <f>IF(AT186&lt;&gt;0,WCCHG*Y186,0)</f>
        <v>0</v>
      </c>
      <c r="CI186" s="462">
        <f>IF(OR(AND(AT186&lt;&gt;0,AJ186&lt;&gt;"PF",AN186&lt;&gt;"NE",AG186&lt;&gt;"A"),AND(AL186="E",OR(AT186=1,AT186=3))),SickCHG*Y186,0)</f>
        <v>0</v>
      </c>
      <c r="CJ186" s="462">
        <f t="shared" si="46"/>
        <v>0</v>
      </c>
      <c r="CK186" s="462" t="str">
        <f t="shared" si="47"/>
        <v/>
      </c>
      <c r="CL186" s="462">
        <f t="shared" si="48"/>
        <v>5802</v>
      </c>
      <c r="CM186" s="462">
        <f t="shared" si="49"/>
        <v>977.96</v>
      </c>
      <c r="CN186" s="462" t="str">
        <f t="shared" si="50"/>
        <v>0243-00</v>
      </c>
    </row>
    <row r="187" spans="1:92" ht="15" thickBot="1" x14ac:dyDescent="0.35">
      <c r="A187" s="376" t="s">
        <v>161</v>
      </c>
      <c r="B187" s="376" t="s">
        <v>162</v>
      </c>
      <c r="C187" s="376" t="s">
        <v>730</v>
      </c>
      <c r="D187" s="376" t="s">
        <v>221</v>
      </c>
      <c r="E187" s="376" t="s">
        <v>273</v>
      </c>
      <c r="F187" s="377" t="s">
        <v>166</v>
      </c>
      <c r="G187" s="376" t="s">
        <v>432</v>
      </c>
      <c r="H187" s="378"/>
      <c r="I187" s="378"/>
      <c r="J187" s="376" t="s">
        <v>168</v>
      </c>
      <c r="K187" s="376" t="s">
        <v>222</v>
      </c>
      <c r="L187" s="376" t="s">
        <v>166</v>
      </c>
      <c r="M187" s="376" t="s">
        <v>171</v>
      </c>
      <c r="N187" s="376" t="s">
        <v>223</v>
      </c>
      <c r="O187" s="379">
        <v>0</v>
      </c>
      <c r="P187" s="460">
        <v>1</v>
      </c>
      <c r="Q187" s="460">
        <v>0</v>
      </c>
      <c r="R187" s="380">
        <v>0</v>
      </c>
      <c r="S187" s="460">
        <v>0</v>
      </c>
      <c r="T187" s="380">
        <v>42583.75</v>
      </c>
      <c r="U187" s="380">
        <v>1419</v>
      </c>
      <c r="V187" s="380">
        <v>5423.66</v>
      </c>
      <c r="W187" s="380">
        <v>44002.75</v>
      </c>
      <c r="X187" s="380">
        <v>5423.66</v>
      </c>
      <c r="Y187" s="380">
        <v>44002.75</v>
      </c>
      <c r="Z187" s="380">
        <v>5423.66</v>
      </c>
      <c r="AA187" s="378"/>
      <c r="AB187" s="376" t="s">
        <v>45</v>
      </c>
      <c r="AC187" s="376" t="s">
        <v>45</v>
      </c>
      <c r="AD187" s="378"/>
      <c r="AE187" s="378"/>
      <c r="AF187" s="378"/>
      <c r="AG187" s="378"/>
      <c r="AH187" s="379">
        <v>0</v>
      </c>
      <c r="AI187" s="379">
        <v>0</v>
      </c>
      <c r="AJ187" s="378"/>
      <c r="AK187" s="378"/>
      <c r="AL187" s="376" t="s">
        <v>181</v>
      </c>
      <c r="AM187" s="378"/>
      <c r="AN187" s="378"/>
      <c r="AO187" s="379">
        <v>0</v>
      </c>
      <c r="AP187" s="460">
        <v>0</v>
      </c>
      <c r="AQ187" s="460">
        <v>0</v>
      </c>
      <c r="AR187" s="459"/>
      <c r="AS187" s="462">
        <f t="shared" si="34"/>
        <v>0</v>
      </c>
      <c r="AT187">
        <f t="shared" si="35"/>
        <v>0</v>
      </c>
      <c r="AU187" s="462" t="str">
        <f>IF(AT187=0,"",IF(AND(AT187=1,M187="F",SUMIF(C2:C391,C187,AS2:AS391)&lt;=1),SUMIF(C2:C391,C187,AS2:AS391),IF(AND(AT187=1,M187="F",SUMIF(C2:C391,C187,AS2:AS391)&gt;1),1,"")))</f>
        <v/>
      </c>
      <c r="AV187" s="462" t="str">
        <f>IF(AT187=0,"",IF(AND(AT187=3,M187="F",SUMIF(C2:C391,C187,AS2:AS391)&lt;=1),SUMIF(C2:C391,C187,AS2:AS391),IF(AND(AT187=3,M187="F",SUMIF(C2:C391,C187,AS2:AS391)&gt;1),1,"")))</f>
        <v/>
      </c>
      <c r="AW187" s="462">
        <f>SUMIF(C2:C391,C187,O2:O391)</f>
        <v>0</v>
      </c>
      <c r="AX187" s="462">
        <f>IF(AND(M187="F",AS187&lt;&gt;0),SUMIF(C2:C391,C187,W2:W391),0)</f>
        <v>0</v>
      </c>
      <c r="AY187" s="462" t="str">
        <f t="shared" si="36"/>
        <v/>
      </c>
      <c r="AZ187" s="462" t="str">
        <f t="shared" si="37"/>
        <v/>
      </c>
      <c r="BA187" s="462">
        <f t="shared" si="38"/>
        <v>0</v>
      </c>
      <c r="BB187" s="462">
        <f>IF(AND(AT187=1,AK187="E",AU187&gt;=0.75,AW187=1),Health,IF(AND(AT187=1,AK187="E",AU187&gt;=0.75),Health*P187,IF(AND(AT187=1,AK187="E",AU187&gt;=0.5,AW187=1),PTHealth,IF(AND(AT187=1,AK187="E",AU187&gt;=0.5),PTHealth*P187,0))))</f>
        <v>0</v>
      </c>
      <c r="BC187" s="462">
        <f>IF(AND(AT187=3,AK187="E",AV187&gt;=0.75,AW187=1),Health,IF(AND(AT187=3,AK187="E",AV187&gt;=0.75),Health*P187,IF(AND(AT187=3,AK187="E",AV187&gt;=0.5,AW187=1),PTHealth,IF(AND(AT187=3,AK187="E",AV187&gt;=0.5),PTHealth*P187,0))))</f>
        <v>0</v>
      </c>
      <c r="BD187" s="462">
        <f>IF(AND(AT187&lt;&gt;0,AX187&gt;=MAXSSDI),SSDI*MAXSSDI*P187,IF(AT187&lt;&gt;0,SSDI*W187,0))</f>
        <v>0</v>
      </c>
      <c r="BE187" s="462">
        <f>IF(AT187&lt;&gt;0,SSHI*W187,0)</f>
        <v>0</v>
      </c>
      <c r="BF187" s="462">
        <f>IF(AND(AT187&lt;&gt;0,AN187&lt;&gt;"NE"),VLOOKUP(AN187,Retirement_Rates,3,FALSE)*W187,0)</f>
        <v>0</v>
      </c>
      <c r="BG187" s="462">
        <f>IF(AND(AT187&lt;&gt;0,AJ187&lt;&gt;"PF"),Life*W187,0)</f>
        <v>0</v>
      </c>
      <c r="BH187" s="462">
        <f>IF(AND(AT187&lt;&gt;0,AM187="Y"),UI*W187,0)</f>
        <v>0</v>
      </c>
      <c r="BI187" s="462">
        <f>IF(AND(AT187&lt;&gt;0,N187&lt;&gt;"NR"),DHR*W187,0)</f>
        <v>0</v>
      </c>
      <c r="BJ187" s="462">
        <f>IF(AT187&lt;&gt;0,WC*W187,0)</f>
        <v>0</v>
      </c>
      <c r="BK187" s="462">
        <f>IF(OR(AND(AT187&lt;&gt;0,AJ187&lt;&gt;"PF",AN187&lt;&gt;"NE",AG187&lt;&gt;"A"),AND(AL187="E",OR(AT187=1,AT187=3))),Sick*W187,0)</f>
        <v>0</v>
      </c>
      <c r="BL187" s="462">
        <f t="shared" si="39"/>
        <v>0</v>
      </c>
      <c r="BM187" s="462">
        <f t="shared" si="40"/>
        <v>0</v>
      </c>
      <c r="BN187" s="462">
        <f>IF(AND(AT187=1,AK187="E",AU187&gt;=0.75,AW187=1),HealthBY,IF(AND(AT187=1,AK187="E",AU187&gt;=0.75),HealthBY*P187,IF(AND(AT187=1,AK187="E",AU187&gt;=0.5,AW187=1),PTHealthBY,IF(AND(AT187=1,AK187="E",AU187&gt;=0.5),PTHealthBY*P187,0))))</f>
        <v>0</v>
      </c>
      <c r="BO187" s="462">
        <f>IF(AND(AT187=3,AK187="E",AV187&gt;=0.75,AW187=1),HealthBY,IF(AND(AT187=3,AK187="E",AV187&gt;=0.75),HealthBY*P187,IF(AND(AT187=3,AK187="E",AV187&gt;=0.5,AW187=1),PTHealthBY,IF(AND(AT187=3,AK187="E",AV187&gt;=0.5),PTHealthBY*P187,0))))</f>
        <v>0</v>
      </c>
      <c r="BP187" s="462">
        <f>IF(AND(AT187&lt;&gt;0,(AX187+BA187)&gt;=MAXSSDIBY),SSDIBY*MAXSSDIBY*P187,IF(AT187&lt;&gt;0,SSDIBY*W187,0))</f>
        <v>0</v>
      </c>
      <c r="BQ187" s="462">
        <f>IF(AT187&lt;&gt;0,SSHIBY*W187,0)</f>
        <v>0</v>
      </c>
      <c r="BR187" s="462">
        <f>IF(AND(AT187&lt;&gt;0,AN187&lt;&gt;"NE"),VLOOKUP(AN187,Retirement_Rates,4,FALSE)*W187,0)</f>
        <v>0</v>
      </c>
      <c r="BS187" s="462">
        <f>IF(AND(AT187&lt;&gt;0,AJ187&lt;&gt;"PF"),LifeBY*W187,0)</f>
        <v>0</v>
      </c>
      <c r="BT187" s="462">
        <f>IF(AND(AT187&lt;&gt;0,AM187="Y"),UIBY*W187,0)</f>
        <v>0</v>
      </c>
      <c r="BU187" s="462">
        <f>IF(AND(AT187&lt;&gt;0,N187&lt;&gt;"NR"),DHRBY*W187,0)</f>
        <v>0</v>
      </c>
      <c r="BV187" s="462">
        <f>IF(AT187&lt;&gt;0,WCBY*W187,0)</f>
        <v>0</v>
      </c>
      <c r="BW187" s="462">
        <f>IF(OR(AND(AT187&lt;&gt;0,AJ187&lt;&gt;"PF",AN187&lt;&gt;"NE",AG187&lt;&gt;"A"),AND(AL187="E",OR(AT187=1,AT187=3))),SickBY*W187,0)</f>
        <v>0</v>
      </c>
      <c r="BX187" s="462">
        <f t="shared" si="41"/>
        <v>0</v>
      </c>
      <c r="BY187" s="462">
        <f t="shared" si="42"/>
        <v>0</v>
      </c>
      <c r="BZ187" s="462">
        <f t="shared" si="43"/>
        <v>0</v>
      </c>
      <c r="CA187" s="462">
        <f t="shared" si="44"/>
        <v>0</v>
      </c>
      <c r="CB187" s="462">
        <f t="shared" si="45"/>
        <v>0</v>
      </c>
      <c r="CC187" s="462">
        <f>IF(AT187&lt;&gt;0,SSHICHG*Y187,0)</f>
        <v>0</v>
      </c>
      <c r="CD187" s="462">
        <f>IF(AND(AT187&lt;&gt;0,AN187&lt;&gt;"NE"),VLOOKUP(AN187,Retirement_Rates,5,FALSE)*Y187,0)</f>
        <v>0</v>
      </c>
      <c r="CE187" s="462">
        <f>IF(AND(AT187&lt;&gt;0,AJ187&lt;&gt;"PF"),LifeCHG*Y187,0)</f>
        <v>0</v>
      </c>
      <c r="CF187" s="462">
        <f>IF(AND(AT187&lt;&gt;0,AM187="Y"),UICHG*Y187,0)</f>
        <v>0</v>
      </c>
      <c r="CG187" s="462">
        <f>IF(AND(AT187&lt;&gt;0,N187&lt;&gt;"NR"),DHRCHG*Y187,0)</f>
        <v>0</v>
      </c>
      <c r="CH187" s="462">
        <f>IF(AT187&lt;&gt;0,WCCHG*Y187,0)</f>
        <v>0</v>
      </c>
      <c r="CI187" s="462">
        <f>IF(OR(AND(AT187&lt;&gt;0,AJ187&lt;&gt;"PF",AN187&lt;&gt;"NE",AG187&lt;&gt;"A"),AND(AL187="E",OR(AT187=1,AT187=3))),SickCHG*Y187,0)</f>
        <v>0</v>
      </c>
      <c r="CJ187" s="462">
        <f t="shared" si="46"/>
        <v>0</v>
      </c>
      <c r="CK187" s="462" t="str">
        <f t="shared" si="47"/>
        <v/>
      </c>
      <c r="CL187" s="462">
        <f t="shared" si="48"/>
        <v>44002.75</v>
      </c>
      <c r="CM187" s="462">
        <f t="shared" si="49"/>
        <v>5423.66</v>
      </c>
      <c r="CN187" s="462" t="str">
        <f t="shared" si="50"/>
        <v>0243-00</v>
      </c>
    </row>
    <row r="188" spans="1:92" ht="15" thickBot="1" x14ac:dyDescent="0.35">
      <c r="A188" s="376" t="s">
        <v>161</v>
      </c>
      <c r="B188" s="376" t="s">
        <v>162</v>
      </c>
      <c r="C188" s="376" t="s">
        <v>731</v>
      </c>
      <c r="D188" s="376" t="s">
        <v>453</v>
      </c>
      <c r="E188" s="376" t="s">
        <v>273</v>
      </c>
      <c r="F188" s="377" t="s">
        <v>166</v>
      </c>
      <c r="G188" s="376" t="s">
        <v>432</v>
      </c>
      <c r="H188" s="378"/>
      <c r="I188" s="378"/>
      <c r="J188" s="376" t="s">
        <v>168</v>
      </c>
      <c r="K188" s="376" t="s">
        <v>454</v>
      </c>
      <c r="L188" s="376" t="s">
        <v>170</v>
      </c>
      <c r="M188" s="376" t="s">
        <v>171</v>
      </c>
      <c r="N188" s="376" t="s">
        <v>172</v>
      </c>
      <c r="O188" s="379">
        <v>1</v>
      </c>
      <c r="P188" s="460">
        <v>1</v>
      </c>
      <c r="Q188" s="460">
        <v>1</v>
      </c>
      <c r="R188" s="380">
        <v>80</v>
      </c>
      <c r="S188" s="460">
        <v>1</v>
      </c>
      <c r="T188" s="380">
        <v>41823.199999999997</v>
      </c>
      <c r="U188" s="380">
        <v>0</v>
      </c>
      <c r="V188" s="380">
        <v>18036.900000000001</v>
      </c>
      <c r="W188" s="380">
        <v>59924.800000000003</v>
      </c>
      <c r="X188" s="380">
        <v>25910.26</v>
      </c>
      <c r="Y188" s="380">
        <v>59924.800000000003</v>
      </c>
      <c r="Z188" s="380">
        <v>26084.05</v>
      </c>
      <c r="AA188" s="376" t="s">
        <v>732</v>
      </c>
      <c r="AB188" s="376" t="s">
        <v>733</v>
      </c>
      <c r="AC188" s="376" t="s">
        <v>734</v>
      </c>
      <c r="AD188" s="376" t="s">
        <v>240</v>
      </c>
      <c r="AE188" s="376" t="s">
        <v>454</v>
      </c>
      <c r="AF188" s="376" t="s">
        <v>177</v>
      </c>
      <c r="AG188" s="376" t="s">
        <v>178</v>
      </c>
      <c r="AH188" s="381">
        <v>28.81</v>
      </c>
      <c r="AI188" s="381">
        <v>1548.5</v>
      </c>
      <c r="AJ188" s="376" t="s">
        <v>179</v>
      </c>
      <c r="AK188" s="376" t="s">
        <v>180</v>
      </c>
      <c r="AL188" s="376" t="s">
        <v>181</v>
      </c>
      <c r="AM188" s="376" t="s">
        <v>182</v>
      </c>
      <c r="AN188" s="376" t="s">
        <v>68</v>
      </c>
      <c r="AO188" s="379">
        <v>80</v>
      </c>
      <c r="AP188" s="460">
        <v>1</v>
      </c>
      <c r="AQ188" s="460">
        <v>1</v>
      </c>
      <c r="AR188" s="458" t="s">
        <v>183</v>
      </c>
      <c r="AS188" s="462">
        <f t="shared" si="34"/>
        <v>1</v>
      </c>
      <c r="AT188">
        <f t="shared" si="35"/>
        <v>1</v>
      </c>
      <c r="AU188" s="462">
        <f>IF(AT188=0,"",IF(AND(AT188=1,M188="F",SUMIF(C2:C391,C188,AS2:AS391)&lt;=1),SUMIF(C2:C391,C188,AS2:AS391),IF(AND(AT188=1,M188="F",SUMIF(C2:C391,C188,AS2:AS391)&gt;1),1,"")))</f>
        <v>1</v>
      </c>
      <c r="AV188" s="462" t="str">
        <f>IF(AT188=0,"",IF(AND(AT188=3,M188="F",SUMIF(C2:C391,C188,AS2:AS391)&lt;=1),SUMIF(C2:C391,C188,AS2:AS391),IF(AND(AT188=3,M188="F",SUMIF(C2:C391,C188,AS2:AS391)&gt;1),1,"")))</f>
        <v/>
      </c>
      <c r="AW188" s="462">
        <f>SUMIF(C2:C391,C188,O2:O391)</f>
        <v>1</v>
      </c>
      <c r="AX188" s="462">
        <f>IF(AND(M188="F",AS188&lt;&gt;0),SUMIF(C2:C391,C188,W2:W391),0)</f>
        <v>59924.800000000003</v>
      </c>
      <c r="AY188" s="462">
        <f t="shared" si="36"/>
        <v>59924.800000000003</v>
      </c>
      <c r="AZ188" s="462" t="str">
        <f t="shared" si="37"/>
        <v/>
      </c>
      <c r="BA188" s="462">
        <f t="shared" si="38"/>
        <v>0</v>
      </c>
      <c r="BB188" s="462">
        <f>IF(AND(AT188=1,AK188="E",AU188&gt;=0.75,AW188=1),Health,IF(AND(AT188=1,AK188="E",AU188&gt;=0.75),Health*P188,IF(AND(AT188=1,AK188="E",AU188&gt;=0.5,AW188=1),PTHealth,IF(AND(AT188=1,AK188="E",AU188&gt;=0.5),PTHealth*P188,0))))</f>
        <v>11650</v>
      </c>
      <c r="BC188" s="462">
        <f>IF(AND(AT188=3,AK188="E",AV188&gt;=0.75,AW188=1),Health,IF(AND(AT188=3,AK188="E",AV188&gt;=0.75),Health*P188,IF(AND(AT188=3,AK188="E",AV188&gt;=0.5,AW188=1),PTHealth,IF(AND(AT188=3,AK188="E",AV188&gt;=0.5),PTHealth*P188,0))))</f>
        <v>0</v>
      </c>
      <c r="BD188" s="462">
        <f>IF(AND(AT188&lt;&gt;0,AX188&gt;=MAXSSDI),SSDI*MAXSSDI*P188,IF(AT188&lt;&gt;0,SSDI*W188,0))</f>
        <v>3715.3376000000003</v>
      </c>
      <c r="BE188" s="462">
        <f>IF(AT188&lt;&gt;0,SSHI*W188,0)</f>
        <v>868.90960000000007</v>
      </c>
      <c r="BF188" s="462">
        <f>IF(AND(AT188&lt;&gt;0,AN188&lt;&gt;"NE"),VLOOKUP(AN188,Retirement_Rates,3,FALSE)*W188,0)</f>
        <v>7155.0211200000003</v>
      </c>
      <c r="BG188" s="462">
        <f>IF(AND(AT188&lt;&gt;0,AJ188&lt;&gt;"PF"),Life*W188,0)</f>
        <v>432.05780800000002</v>
      </c>
      <c r="BH188" s="462">
        <f>IF(AND(AT188&lt;&gt;0,AM188="Y"),UI*W188,0)</f>
        <v>293.63152000000002</v>
      </c>
      <c r="BI188" s="462">
        <f>IF(AND(AT188&lt;&gt;0,N188&lt;&gt;"NR"),DHR*W188,0)</f>
        <v>183.369888</v>
      </c>
      <c r="BJ188" s="462">
        <f>IF(AT188&lt;&gt;0,WC*W188,0)</f>
        <v>1611.97712</v>
      </c>
      <c r="BK188" s="462">
        <f>IF(OR(AND(AT188&lt;&gt;0,AJ188&lt;&gt;"PF",AN188&lt;&gt;"NE",AG188&lt;&gt;"A"),AND(AL188="E",OR(AT188=1,AT188=3))),Sick*W188,0)</f>
        <v>0</v>
      </c>
      <c r="BL188" s="462">
        <f t="shared" si="39"/>
        <v>14260.304656</v>
      </c>
      <c r="BM188" s="462">
        <f t="shared" si="40"/>
        <v>0</v>
      </c>
      <c r="BN188" s="462">
        <f>IF(AND(AT188=1,AK188="E",AU188&gt;=0.75,AW188=1),HealthBY,IF(AND(AT188=1,AK188="E",AU188&gt;=0.75),HealthBY*P188,IF(AND(AT188=1,AK188="E",AU188&gt;=0.5,AW188=1),PTHealthBY,IF(AND(AT188=1,AK188="E",AU188&gt;=0.5),PTHealthBY*P188,0))))</f>
        <v>11650</v>
      </c>
      <c r="BO188" s="462">
        <f>IF(AND(AT188=3,AK188="E",AV188&gt;=0.75,AW188=1),HealthBY,IF(AND(AT188=3,AK188="E",AV188&gt;=0.75),HealthBY*P188,IF(AND(AT188=3,AK188="E",AV188&gt;=0.5,AW188=1),PTHealthBY,IF(AND(AT188=3,AK188="E",AV188&gt;=0.5),PTHealthBY*P188,0))))</f>
        <v>0</v>
      </c>
      <c r="BP188" s="462">
        <f>IF(AND(AT188&lt;&gt;0,(AX188+BA188)&gt;=MAXSSDIBY),SSDIBY*MAXSSDIBY*P188,IF(AT188&lt;&gt;0,SSDIBY*W188,0))</f>
        <v>3715.3376000000003</v>
      </c>
      <c r="BQ188" s="462">
        <f>IF(AT188&lt;&gt;0,SSHIBY*W188,0)</f>
        <v>868.90960000000007</v>
      </c>
      <c r="BR188" s="462">
        <f>IF(AND(AT188&lt;&gt;0,AN188&lt;&gt;"NE"),VLOOKUP(AN188,Retirement_Rates,4,FALSE)*W188,0)</f>
        <v>7155.0211200000003</v>
      </c>
      <c r="BS188" s="462">
        <f>IF(AND(AT188&lt;&gt;0,AJ188&lt;&gt;"PF"),LifeBY*W188,0)</f>
        <v>432.05780800000002</v>
      </c>
      <c r="BT188" s="462">
        <f>IF(AND(AT188&lt;&gt;0,AM188="Y"),UIBY*W188,0)</f>
        <v>0</v>
      </c>
      <c r="BU188" s="462">
        <f>IF(AND(AT188&lt;&gt;0,N188&lt;&gt;"NR"),DHRBY*W188,0)</f>
        <v>183.369888</v>
      </c>
      <c r="BV188" s="462">
        <f>IF(AT188&lt;&gt;0,WCBY*W188,0)</f>
        <v>2079.3905600000003</v>
      </c>
      <c r="BW188" s="462">
        <f>IF(OR(AND(AT188&lt;&gt;0,AJ188&lt;&gt;"PF",AN188&lt;&gt;"NE",AG188&lt;&gt;"A"),AND(AL188="E",OR(AT188=1,AT188=3))),SickBY*W188,0)</f>
        <v>0</v>
      </c>
      <c r="BX188" s="462">
        <f t="shared" si="41"/>
        <v>14434.086576</v>
      </c>
      <c r="BY188" s="462">
        <f t="shared" si="42"/>
        <v>0</v>
      </c>
      <c r="BZ188" s="462">
        <f t="shared" si="43"/>
        <v>0</v>
      </c>
      <c r="CA188" s="462">
        <f t="shared" si="44"/>
        <v>0</v>
      </c>
      <c r="CB188" s="462">
        <f t="shared" si="45"/>
        <v>0</v>
      </c>
      <c r="CC188" s="462">
        <f>IF(AT188&lt;&gt;0,SSHICHG*Y188,0)</f>
        <v>0</v>
      </c>
      <c r="CD188" s="462">
        <f>IF(AND(AT188&lt;&gt;0,AN188&lt;&gt;"NE"),VLOOKUP(AN188,Retirement_Rates,5,FALSE)*Y188,0)</f>
        <v>0</v>
      </c>
      <c r="CE188" s="462">
        <f>IF(AND(AT188&lt;&gt;0,AJ188&lt;&gt;"PF"),LifeCHG*Y188,0)</f>
        <v>0</v>
      </c>
      <c r="CF188" s="462">
        <f>IF(AND(AT188&lt;&gt;0,AM188="Y"),UICHG*Y188,0)</f>
        <v>-293.63152000000002</v>
      </c>
      <c r="CG188" s="462">
        <f>IF(AND(AT188&lt;&gt;0,N188&lt;&gt;"NR"),DHRCHG*Y188,0)</f>
        <v>0</v>
      </c>
      <c r="CH188" s="462">
        <f>IF(AT188&lt;&gt;0,WCCHG*Y188,0)</f>
        <v>467.41344000000009</v>
      </c>
      <c r="CI188" s="462">
        <f>IF(OR(AND(AT188&lt;&gt;0,AJ188&lt;&gt;"PF",AN188&lt;&gt;"NE",AG188&lt;&gt;"A"),AND(AL188="E",OR(AT188=1,AT188=3))),SickCHG*Y188,0)</f>
        <v>0</v>
      </c>
      <c r="CJ188" s="462">
        <f t="shared" si="46"/>
        <v>173.78192000000007</v>
      </c>
      <c r="CK188" s="462" t="str">
        <f t="shared" si="47"/>
        <v/>
      </c>
      <c r="CL188" s="462" t="str">
        <f t="shared" si="48"/>
        <v/>
      </c>
      <c r="CM188" s="462" t="str">
        <f t="shared" si="49"/>
        <v/>
      </c>
      <c r="CN188" s="462" t="str">
        <f t="shared" si="50"/>
        <v>0243-00</v>
      </c>
    </row>
    <row r="189" spans="1:92" ht="15" thickBot="1" x14ac:dyDescent="0.35">
      <c r="A189" s="376" t="s">
        <v>161</v>
      </c>
      <c r="B189" s="376" t="s">
        <v>162</v>
      </c>
      <c r="C189" s="376" t="s">
        <v>735</v>
      </c>
      <c r="D189" s="376" t="s">
        <v>438</v>
      </c>
      <c r="E189" s="376" t="s">
        <v>273</v>
      </c>
      <c r="F189" s="377" t="s">
        <v>166</v>
      </c>
      <c r="G189" s="376" t="s">
        <v>432</v>
      </c>
      <c r="H189" s="378"/>
      <c r="I189" s="378"/>
      <c r="J189" s="376" t="s">
        <v>168</v>
      </c>
      <c r="K189" s="376" t="s">
        <v>439</v>
      </c>
      <c r="L189" s="376" t="s">
        <v>231</v>
      </c>
      <c r="M189" s="376" t="s">
        <v>171</v>
      </c>
      <c r="N189" s="376" t="s">
        <v>172</v>
      </c>
      <c r="O189" s="379">
        <v>1</v>
      </c>
      <c r="P189" s="460">
        <v>1</v>
      </c>
      <c r="Q189" s="460">
        <v>1</v>
      </c>
      <c r="R189" s="380">
        <v>80</v>
      </c>
      <c r="S189" s="460">
        <v>1</v>
      </c>
      <c r="T189" s="380">
        <v>42060.39</v>
      </c>
      <c r="U189" s="380">
        <v>0</v>
      </c>
      <c r="V189" s="380">
        <v>21439.31</v>
      </c>
      <c r="W189" s="380">
        <v>42411.199999999997</v>
      </c>
      <c r="X189" s="380">
        <v>21742.560000000001</v>
      </c>
      <c r="Y189" s="380">
        <v>42411.199999999997</v>
      </c>
      <c r="Z189" s="380">
        <v>21865.55</v>
      </c>
      <c r="AA189" s="376" t="s">
        <v>736</v>
      </c>
      <c r="AB189" s="376" t="s">
        <v>573</v>
      </c>
      <c r="AC189" s="376" t="s">
        <v>663</v>
      </c>
      <c r="AD189" s="376" t="s">
        <v>316</v>
      </c>
      <c r="AE189" s="376" t="s">
        <v>439</v>
      </c>
      <c r="AF189" s="376" t="s">
        <v>236</v>
      </c>
      <c r="AG189" s="376" t="s">
        <v>178</v>
      </c>
      <c r="AH189" s="381">
        <v>20.39</v>
      </c>
      <c r="AI189" s="381">
        <v>19922.599999999999</v>
      </c>
      <c r="AJ189" s="376" t="s">
        <v>179</v>
      </c>
      <c r="AK189" s="376" t="s">
        <v>180</v>
      </c>
      <c r="AL189" s="376" t="s">
        <v>181</v>
      </c>
      <c r="AM189" s="376" t="s">
        <v>182</v>
      </c>
      <c r="AN189" s="376" t="s">
        <v>68</v>
      </c>
      <c r="AO189" s="379">
        <v>80</v>
      </c>
      <c r="AP189" s="460">
        <v>1</v>
      </c>
      <c r="AQ189" s="460">
        <v>1</v>
      </c>
      <c r="AR189" s="458" t="s">
        <v>183</v>
      </c>
      <c r="AS189" s="462">
        <f t="shared" si="34"/>
        <v>1</v>
      </c>
      <c r="AT189">
        <f t="shared" si="35"/>
        <v>1</v>
      </c>
      <c r="AU189" s="462">
        <f>IF(AT189=0,"",IF(AND(AT189=1,M189="F",SUMIF(C2:C391,C189,AS2:AS391)&lt;=1),SUMIF(C2:C391,C189,AS2:AS391),IF(AND(AT189=1,M189="F",SUMIF(C2:C391,C189,AS2:AS391)&gt;1),1,"")))</f>
        <v>1</v>
      </c>
      <c r="AV189" s="462" t="str">
        <f>IF(AT189=0,"",IF(AND(AT189=3,M189="F",SUMIF(C2:C391,C189,AS2:AS391)&lt;=1),SUMIF(C2:C391,C189,AS2:AS391),IF(AND(AT189=3,M189="F",SUMIF(C2:C391,C189,AS2:AS391)&gt;1),1,"")))</f>
        <v/>
      </c>
      <c r="AW189" s="462">
        <f>SUMIF(C2:C391,C189,O2:O391)</f>
        <v>1</v>
      </c>
      <c r="AX189" s="462">
        <f>IF(AND(M189="F",AS189&lt;&gt;0),SUMIF(C2:C391,C189,W2:W391),0)</f>
        <v>42411.199999999997</v>
      </c>
      <c r="AY189" s="462">
        <f t="shared" si="36"/>
        <v>42411.199999999997</v>
      </c>
      <c r="AZ189" s="462" t="str">
        <f t="shared" si="37"/>
        <v/>
      </c>
      <c r="BA189" s="462">
        <f t="shared" si="38"/>
        <v>0</v>
      </c>
      <c r="BB189" s="462">
        <f>IF(AND(AT189=1,AK189="E",AU189&gt;=0.75,AW189=1),Health,IF(AND(AT189=1,AK189="E",AU189&gt;=0.75),Health*P189,IF(AND(AT189=1,AK189="E",AU189&gt;=0.5,AW189=1),PTHealth,IF(AND(AT189=1,AK189="E",AU189&gt;=0.5),PTHealth*P189,0))))</f>
        <v>11650</v>
      </c>
      <c r="BC189" s="462">
        <f>IF(AND(AT189=3,AK189="E",AV189&gt;=0.75,AW189=1),Health,IF(AND(AT189=3,AK189="E",AV189&gt;=0.75),Health*P189,IF(AND(AT189=3,AK189="E",AV189&gt;=0.5,AW189=1),PTHealth,IF(AND(AT189=3,AK189="E",AV189&gt;=0.5),PTHealth*P189,0))))</f>
        <v>0</v>
      </c>
      <c r="BD189" s="462">
        <f>IF(AND(AT189&lt;&gt;0,AX189&gt;=MAXSSDI),SSDI*MAXSSDI*P189,IF(AT189&lt;&gt;0,SSDI*W189,0))</f>
        <v>2629.4943999999996</v>
      </c>
      <c r="BE189" s="462">
        <f>IF(AT189&lt;&gt;0,SSHI*W189,0)</f>
        <v>614.9624</v>
      </c>
      <c r="BF189" s="462">
        <f>IF(AND(AT189&lt;&gt;0,AN189&lt;&gt;"NE"),VLOOKUP(AN189,Retirement_Rates,3,FALSE)*W189,0)</f>
        <v>5063.8972800000001</v>
      </c>
      <c r="BG189" s="462">
        <f>IF(AND(AT189&lt;&gt;0,AJ189&lt;&gt;"PF"),Life*W189,0)</f>
        <v>305.78475199999997</v>
      </c>
      <c r="BH189" s="462">
        <f>IF(AND(AT189&lt;&gt;0,AM189="Y"),UI*W189,0)</f>
        <v>207.81487999999999</v>
      </c>
      <c r="BI189" s="462">
        <f>IF(AND(AT189&lt;&gt;0,N189&lt;&gt;"NR"),DHR*W189,0)</f>
        <v>129.77827199999999</v>
      </c>
      <c r="BJ189" s="462">
        <f>IF(AT189&lt;&gt;0,WC*W189,0)</f>
        <v>1140.8612799999999</v>
      </c>
      <c r="BK189" s="462">
        <f>IF(OR(AND(AT189&lt;&gt;0,AJ189&lt;&gt;"PF",AN189&lt;&gt;"NE",AG189&lt;&gt;"A"),AND(AL189="E",OR(AT189=1,AT189=3))),Sick*W189,0)</f>
        <v>0</v>
      </c>
      <c r="BL189" s="462">
        <f t="shared" si="39"/>
        <v>10092.593263999997</v>
      </c>
      <c r="BM189" s="462">
        <f t="shared" si="40"/>
        <v>0</v>
      </c>
      <c r="BN189" s="462">
        <f>IF(AND(AT189=1,AK189="E",AU189&gt;=0.75,AW189=1),HealthBY,IF(AND(AT189=1,AK189="E",AU189&gt;=0.75),HealthBY*P189,IF(AND(AT189=1,AK189="E",AU189&gt;=0.5,AW189=1),PTHealthBY,IF(AND(AT189=1,AK189="E",AU189&gt;=0.5),PTHealthBY*P189,0))))</f>
        <v>11650</v>
      </c>
      <c r="BO189" s="462">
        <f>IF(AND(AT189=3,AK189="E",AV189&gt;=0.75,AW189=1),HealthBY,IF(AND(AT189=3,AK189="E",AV189&gt;=0.75),HealthBY*P189,IF(AND(AT189=3,AK189="E",AV189&gt;=0.5,AW189=1),PTHealthBY,IF(AND(AT189=3,AK189="E",AV189&gt;=0.5),PTHealthBY*P189,0))))</f>
        <v>0</v>
      </c>
      <c r="BP189" s="462">
        <f>IF(AND(AT189&lt;&gt;0,(AX189+BA189)&gt;=MAXSSDIBY),SSDIBY*MAXSSDIBY*P189,IF(AT189&lt;&gt;0,SSDIBY*W189,0))</f>
        <v>2629.4943999999996</v>
      </c>
      <c r="BQ189" s="462">
        <f>IF(AT189&lt;&gt;0,SSHIBY*W189,0)</f>
        <v>614.9624</v>
      </c>
      <c r="BR189" s="462">
        <f>IF(AND(AT189&lt;&gt;0,AN189&lt;&gt;"NE"),VLOOKUP(AN189,Retirement_Rates,4,FALSE)*W189,0)</f>
        <v>5063.8972800000001</v>
      </c>
      <c r="BS189" s="462">
        <f>IF(AND(AT189&lt;&gt;0,AJ189&lt;&gt;"PF"),LifeBY*W189,0)</f>
        <v>305.78475199999997</v>
      </c>
      <c r="BT189" s="462">
        <f>IF(AND(AT189&lt;&gt;0,AM189="Y"),UIBY*W189,0)</f>
        <v>0</v>
      </c>
      <c r="BU189" s="462">
        <f>IF(AND(AT189&lt;&gt;0,N189&lt;&gt;"NR"),DHRBY*W189,0)</f>
        <v>129.77827199999999</v>
      </c>
      <c r="BV189" s="462">
        <f>IF(AT189&lt;&gt;0,WCBY*W189,0)</f>
        <v>1471.6686399999999</v>
      </c>
      <c r="BW189" s="462">
        <f>IF(OR(AND(AT189&lt;&gt;0,AJ189&lt;&gt;"PF",AN189&lt;&gt;"NE",AG189&lt;&gt;"A"),AND(AL189="E",OR(AT189=1,AT189=3))),SickBY*W189,0)</f>
        <v>0</v>
      </c>
      <c r="BX189" s="462">
        <f t="shared" si="41"/>
        <v>10215.585743999998</v>
      </c>
      <c r="BY189" s="462">
        <f t="shared" si="42"/>
        <v>0</v>
      </c>
      <c r="BZ189" s="462">
        <f t="shared" si="43"/>
        <v>0</v>
      </c>
      <c r="CA189" s="462">
        <f t="shared" si="44"/>
        <v>0</v>
      </c>
      <c r="CB189" s="462">
        <f t="shared" si="45"/>
        <v>0</v>
      </c>
      <c r="CC189" s="462">
        <f>IF(AT189&lt;&gt;0,SSHICHG*Y189,0)</f>
        <v>0</v>
      </c>
      <c r="CD189" s="462">
        <f>IF(AND(AT189&lt;&gt;0,AN189&lt;&gt;"NE"),VLOOKUP(AN189,Retirement_Rates,5,FALSE)*Y189,0)</f>
        <v>0</v>
      </c>
      <c r="CE189" s="462">
        <f>IF(AND(AT189&lt;&gt;0,AJ189&lt;&gt;"PF"),LifeCHG*Y189,0)</f>
        <v>0</v>
      </c>
      <c r="CF189" s="462">
        <f>IF(AND(AT189&lt;&gt;0,AM189="Y"),UICHG*Y189,0)</f>
        <v>-207.81487999999999</v>
      </c>
      <c r="CG189" s="462">
        <f>IF(AND(AT189&lt;&gt;0,N189&lt;&gt;"NR"),DHRCHG*Y189,0)</f>
        <v>0</v>
      </c>
      <c r="CH189" s="462">
        <f>IF(AT189&lt;&gt;0,WCCHG*Y189,0)</f>
        <v>330.80736000000002</v>
      </c>
      <c r="CI189" s="462">
        <f>IF(OR(AND(AT189&lt;&gt;0,AJ189&lt;&gt;"PF",AN189&lt;&gt;"NE",AG189&lt;&gt;"A"),AND(AL189="E",OR(AT189=1,AT189=3))),SickCHG*Y189,0)</f>
        <v>0</v>
      </c>
      <c r="CJ189" s="462">
        <f t="shared" si="46"/>
        <v>122.99248000000003</v>
      </c>
      <c r="CK189" s="462" t="str">
        <f t="shared" si="47"/>
        <v/>
      </c>
      <c r="CL189" s="462" t="str">
        <f t="shared" si="48"/>
        <v/>
      </c>
      <c r="CM189" s="462" t="str">
        <f t="shared" si="49"/>
        <v/>
      </c>
      <c r="CN189" s="462" t="str">
        <f t="shared" si="50"/>
        <v>0243-00</v>
      </c>
    </row>
    <row r="190" spans="1:92" ht="15" thickBot="1" x14ac:dyDescent="0.35">
      <c r="A190" s="376" t="s">
        <v>161</v>
      </c>
      <c r="B190" s="376" t="s">
        <v>162</v>
      </c>
      <c r="C190" s="376" t="s">
        <v>737</v>
      </c>
      <c r="D190" s="376" t="s">
        <v>221</v>
      </c>
      <c r="E190" s="376" t="s">
        <v>273</v>
      </c>
      <c r="F190" s="377" t="s">
        <v>166</v>
      </c>
      <c r="G190" s="376" t="s">
        <v>432</v>
      </c>
      <c r="H190" s="378"/>
      <c r="I190" s="378"/>
      <c r="J190" s="376" t="s">
        <v>168</v>
      </c>
      <c r="K190" s="376" t="s">
        <v>222</v>
      </c>
      <c r="L190" s="376" t="s">
        <v>166</v>
      </c>
      <c r="M190" s="376" t="s">
        <v>225</v>
      </c>
      <c r="N190" s="376" t="s">
        <v>223</v>
      </c>
      <c r="O190" s="379">
        <v>0</v>
      </c>
      <c r="P190" s="460">
        <v>1</v>
      </c>
      <c r="Q190" s="460">
        <v>0</v>
      </c>
      <c r="R190" s="380">
        <v>0</v>
      </c>
      <c r="S190" s="460">
        <v>0</v>
      </c>
      <c r="T190" s="380">
        <v>0</v>
      </c>
      <c r="U190" s="380">
        <v>0</v>
      </c>
      <c r="V190" s="380">
        <v>0</v>
      </c>
      <c r="W190" s="380">
        <v>0</v>
      </c>
      <c r="X190" s="380">
        <v>0</v>
      </c>
      <c r="Y190" s="380">
        <v>0</v>
      </c>
      <c r="Z190" s="380">
        <v>0</v>
      </c>
      <c r="AA190" s="378"/>
      <c r="AB190" s="376" t="s">
        <v>45</v>
      </c>
      <c r="AC190" s="376" t="s">
        <v>45</v>
      </c>
      <c r="AD190" s="378"/>
      <c r="AE190" s="378"/>
      <c r="AF190" s="378"/>
      <c r="AG190" s="378"/>
      <c r="AH190" s="379">
        <v>0</v>
      </c>
      <c r="AI190" s="379">
        <v>0</v>
      </c>
      <c r="AJ190" s="378"/>
      <c r="AK190" s="378"/>
      <c r="AL190" s="376" t="s">
        <v>181</v>
      </c>
      <c r="AM190" s="378"/>
      <c r="AN190" s="378"/>
      <c r="AO190" s="379">
        <v>0</v>
      </c>
      <c r="AP190" s="460">
        <v>0</v>
      </c>
      <c r="AQ190" s="460">
        <v>0</v>
      </c>
      <c r="AR190" s="459"/>
      <c r="AS190" s="462">
        <f t="shared" si="34"/>
        <v>0</v>
      </c>
      <c r="AT190">
        <f t="shared" si="35"/>
        <v>0</v>
      </c>
      <c r="AU190" s="462" t="str">
        <f>IF(AT190=0,"",IF(AND(AT190=1,M190="F",SUMIF(C2:C391,C190,AS2:AS391)&lt;=1),SUMIF(C2:C391,C190,AS2:AS391),IF(AND(AT190=1,M190="F",SUMIF(C2:C391,C190,AS2:AS391)&gt;1),1,"")))</f>
        <v/>
      </c>
      <c r="AV190" s="462" t="str">
        <f>IF(AT190=0,"",IF(AND(AT190=3,M190="F",SUMIF(C2:C391,C190,AS2:AS391)&lt;=1),SUMIF(C2:C391,C190,AS2:AS391),IF(AND(AT190=3,M190="F",SUMIF(C2:C391,C190,AS2:AS391)&gt;1),1,"")))</f>
        <v/>
      </c>
      <c r="AW190" s="462">
        <f>SUMIF(C2:C391,C190,O2:O391)</f>
        <v>0</v>
      </c>
      <c r="AX190" s="462">
        <f>IF(AND(M190="F",AS190&lt;&gt;0),SUMIF(C2:C391,C190,W2:W391),0)</f>
        <v>0</v>
      </c>
      <c r="AY190" s="462" t="str">
        <f t="shared" si="36"/>
        <v/>
      </c>
      <c r="AZ190" s="462" t="str">
        <f t="shared" si="37"/>
        <v/>
      </c>
      <c r="BA190" s="462">
        <f t="shared" si="38"/>
        <v>0</v>
      </c>
      <c r="BB190" s="462">
        <f>IF(AND(AT190=1,AK190="E",AU190&gt;=0.75,AW190=1),Health,IF(AND(AT190=1,AK190="E",AU190&gt;=0.75),Health*P190,IF(AND(AT190=1,AK190="E",AU190&gt;=0.5,AW190=1),PTHealth,IF(AND(AT190=1,AK190="E",AU190&gt;=0.5),PTHealth*P190,0))))</f>
        <v>0</v>
      </c>
      <c r="BC190" s="462">
        <f>IF(AND(AT190=3,AK190="E",AV190&gt;=0.75,AW190=1),Health,IF(AND(AT190=3,AK190="E",AV190&gt;=0.75),Health*P190,IF(AND(AT190=3,AK190="E",AV190&gt;=0.5,AW190=1),PTHealth,IF(AND(AT190=3,AK190="E",AV190&gt;=0.5),PTHealth*P190,0))))</f>
        <v>0</v>
      </c>
      <c r="BD190" s="462">
        <f>IF(AND(AT190&lt;&gt;0,AX190&gt;=MAXSSDI),SSDI*MAXSSDI*P190,IF(AT190&lt;&gt;0,SSDI*W190,0))</f>
        <v>0</v>
      </c>
      <c r="BE190" s="462">
        <f>IF(AT190&lt;&gt;0,SSHI*W190,0)</f>
        <v>0</v>
      </c>
      <c r="BF190" s="462">
        <f>IF(AND(AT190&lt;&gt;0,AN190&lt;&gt;"NE"),VLOOKUP(AN190,Retirement_Rates,3,FALSE)*W190,0)</f>
        <v>0</v>
      </c>
      <c r="BG190" s="462">
        <f>IF(AND(AT190&lt;&gt;0,AJ190&lt;&gt;"PF"),Life*W190,0)</f>
        <v>0</v>
      </c>
      <c r="BH190" s="462">
        <f>IF(AND(AT190&lt;&gt;0,AM190="Y"),UI*W190,0)</f>
        <v>0</v>
      </c>
      <c r="BI190" s="462">
        <f>IF(AND(AT190&lt;&gt;0,N190&lt;&gt;"NR"),DHR*W190,0)</f>
        <v>0</v>
      </c>
      <c r="BJ190" s="462">
        <f>IF(AT190&lt;&gt;0,WC*W190,0)</f>
        <v>0</v>
      </c>
      <c r="BK190" s="462">
        <f>IF(OR(AND(AT190&lt;&gt;0,AJ190&lt;&gt;"PF",AN190&lt;&gt;"NE",AG190&lt;&gt;"A"),AND(AL190="E",OR(AT190=1,AT190=3))),Sick*W190,0)</f>
        <v>0</v>
      </c>
      <c r="BL190" s="462">
        <f t="shared" si="39"/>
        <v>0</v>
      </c>
      <c r="BM190" s="462">
        <f t="shared" si="40"/>
        <v>0</v>
      </c>
      <c r="BN190" s="462">
        <f>IF(AND(AT190=1,AK190="E",AU190&gt;=0.75,AW190=1),HealthBY,IF(AND(AT190=1,AK190="E",AU190&gt;=0.75),HealthBY*P190,IF(AND(AT190=1,AK190="E",AU190&gt;=0.5,AW190=1),PTHealthBY,IF(AND(AT190=1,AK190="E",AU190&gt;=0.5),PTHealthBY*P190,0))))</f>
        <v>0</v>
      </c>
      <c r="BO190" s="462">
        <f>IF(AND(AT190=3,AK190="E",AV190&gt;=0.75,AW190=1),HealthBY,IF(AND(AT190=3,AK190="E",AV190&gt;=0.75),HealthBY*P190,IF(AND(AT190=3,AK190="E",AV190&gt;=0.5,AW190=1),PTHealthBY,IF(AND(AT190=3,AK190="E",AV190&gt;=0.5),PTHealthBY*P190,0))))</f>
        <v>0</v>
      </c>
      <c r="BP190" s="462">
        <f>IF(AND(AT190&lt;&gt;0,(AX190+BA190)&gt;=MAXSSDIBY),SSDIBY*MAXSSDIBY*P190,IF(AT190&lt;&gt;0,SSDIBY*W190,0))</f>
        <v>0</v>
      </c>
      <c r="BQ190" s="462">
        <f>IF(AT190&lt;&gt;0,SSHIBY*W190,0)</f>
        <v>0</v>
      </c>
      <c r="BR190" s="462">
        <f>IF(AND(AT190&lt;&gt;0,AN190&lt;&gt;"NE"),VLOOKUP(AN190,Retirement_Rates,4,FALSE)*W190,0)</f>
        <v>0</v>
      </c>
      <c r="BS190" s="462">
        <f>IF(AND(AT190&lt;&gt;0,AJ190&lt;&gt;"PF"),LifeBY*W190,0)</f>
        <v>0</v>
      </c>
      <c r="BT190" s="462">
        <f>IF(AND(AT190&lt;&gt;0,AM190="Y"),UIBY*W190,0)</f>
        <v>0</v>
      </c>
      <c r="BU190" s="462">
        <f>IF(AND(AT190&lt;&gt;0,N190&lt;&gt;"NR"),DHRBY*W190,0)</f>
        <v>0</v>
      </c>
      <c r="BV190" s="462">
        <f>IF(AT190&lt;&gt;0,WCBY*W190,0)</f>
        <v>0</v>
      </c>
      <c r="BW190" s="462">
        <f>IF(OR(AND(AT190&lt;&gt;0,AJ190&lt;&gt;"PF",AN190&lt;&gt;"NE",AG190&lt;&gt;"A"),AND(AL190="E",OR(AT190=1,AT190=3))),SickBY*W190,0)</f>
        <v>0</v>
      </c>
      <c r="BX190" s="462">
        <f t="shared" si="41"/>
        <v>0</v>
      </c>
      <c r="BY190" s="462">
        <f t="shared" si="42"/>
        <v>0</v>
      </c>
      <c r="BZ190" s="462">
        <f t="shared" si="43"/>
        <v>0</v>
      </c>
      <c r="CA190" s="462">
        <f t="shared" si="44"/>
        <v>0</v>
      </c>
      <c r="CB190" s="462">
        <f t="shared" si="45"/>
        <v>0</v>
      </c>
      <c r="CC190" s="462">
        <f>IF(AT190&lt;&gt;0,SSHICHG*Y190,0)</f>
        <v>0</v>
      </c>
      <c r="CD190" s="462">
        <f>IF(AND(AT190&lt;&gt;0,AN190&lt;&gt;"NE"),VLOOKUP(AN190,Retirement_Rates,5,FALSE)*Y190,0)</f>
        <v>0</v>
      </c>
      <c r="CE190" s="462">
        <f>IF(AND(AT190&lt;&gt;0,AJ190&lt;&gt;"PF"),LifeCHG*Y190,0)</f>
        <v>0</v>
      </c>
      <c r="CF190" s="462">
        <f>IF(AND(AT190&lt;&gt;0,AM190="Y"),UICHG*Y190,0)</f>
        <v>0</v>
      </c>
      <c r="CG190" s="462">
        <f>IF(AND(AT190&lt;&gt;0,N190&lt;&gt;"NR"),DHRCHG*Y190,0)</f>
        <v>0</v>
      </c>
      <c r="CH190" s="462">
        <f>IF(AT190&lt;&gt;0,WCCHG*Y190,0)</f>
        <v>0</v>
      </c>
      <c r="CI190" s="462">
        <f>IF(OR(AND(AT190&lt;&gt;0,AJ190&lt;&gt;"PF",AN190&lt;&gt;"NE",AG190&lt;&gt;"A"),AND(AL190="E",OR(AT190=1,AT190=3))),SickCHG*Y190,0)</f>
        <v>0</v>
      </c>
      <c r="CJ190" s="462">
        <f t="shared" si="46"/>
        <v>0</v>
      </c>
      <c r="CK190" s="462" t="str">
        <f t="shared" si="47"/>
        <v/>
      </c>
      <c r="CL190" s="462">
        <f t="shared" si="48"/>
        <v>0</v>
      </c>
      <c r="CM190" s="462">
        <f t="shared" si="49"/>
        <v>0</v>
      </c>
      <c r="CN190" s="462" t="str">
        <f t="shared" si="50"/>
        <v>0243-00</v>
      </c>
    </row>
    <row r="191" spans="1:92" ht="15" thickBot="1" x14ac:dyDescent="0.35">
      <c r="A191" s="376" t="s">
        <v>161</v>
      </c>
      <c r="B191" s="376" t="s">
        <v>162</v>
      </c>
      <c r="C191" s="376" t="s">
        <v>515</v>
      </c>
      <c r="D191" s="376" t="s">
        <v>221</v>
      </c>
      <c r="E191" s="376" t="s">
        <v>273</v>
      </c>
      <c r="F191" s="377" t="s">
        <v>166</v>
      </c>
      <c r="G191" s="376" t="s">
        <v>432</v>
      </c>
      <c r="H191" s="378"/>
      <c r="I191" s="378"/>
      <c r="J191" s="376" t="s">
        <v>168</v>
      </c>
      <c r="K191" s="376" t="s">
        <v>222</v>
      </c>
      <c r="L191" s="376" t="s">
        <v>166</v>
      </c>
      <c r="M191" s="376" t="s">
        <v>171</v>
      </c>
      <c r="N191" s="376" t="s">
        <v>223</v>
      </c>
      <c r="O191" s="379">
        <v>0</v>
      </c>
      <c r="P191" s="460">
        <v>1</v>
      </c>
      <c r="Q191" s="460">
        <v>0</v>
      </c>
      <c r="R191" s="380">
        <v>0</v>
      </c>
      <c r="S191" s="460">
        <v>0</v>
      </c>
      <c r="T191" s="380">
        <v>72290.55</v>
      </c>
      <c r="U191" s="380">
        <v>1504</v>
      </c>
      <c r="V191" s="380">
        <v>15101.75</v>
      </c>
      <c r="W191" s="380">
        <v>75138.55</v>
      </c>
      <c r="X191" s="380">
        <v>15237.81</v>
      </c>
      <c r="Y191" s="380">
        <v>75138.55</v>
      </c>
      <c r="Z191" s="380">
        <v>15237.81</v>
      </c>
      <c r="AA191" s="378"/>
      <c r="AB191" s="376" t="s">
        <v>45</v>
      </c>
      <c r="AC191" s="376" t="s">
        <v>45</v>
      </c>
      <c r="AD191" s="378"/>
      <c r="AE191" s="378"/>
      <c r="AF191" s="378"/>
      <c r="AG191" s="378"/>
      <c r="AH191" s="379">
        <v>0</v>
      </c>
      <c r="AI191" s="379">
        <v>0</v>
      </c>
      <c r="AJ191" s="378"/>
      <c r="AK191" s="378"/>
      <c r="AL191" s="376" t="s">
        <v>181</v>
      </c>
      <c r="AM191" s="378"/>
      <c r="AN191" s="378"/>
      <c r="AO191" s="379">
        <v>0</v>
      </c>
      <c r="AP191" s="460">
        <v>0</v>
      </c>
      <c r="AQ191" s="460">
        <v>0</v>
      </c>
      <c r="AR191" s="459"/>
      <c r="AS191" s="462">
        <f t="shared" si="34"/>
        <v>0</v>
      </c>
      <c r="AT191">
        <f t="shared" si="35"/>
        <v>0</v>
      </c>
      <c r="AU191" s="462" t="str">
        <f>IF(AT191=0,"",IF(AND(AT191=1,M191="F",SUMIF(C2:C391,C191,AS2:AS391)&lt;=1),SUMIF(C2:C391,C191,AS2:AS391),IF(AND(AT191=1,M191="F",SUMIF(C2:C391,C191,AS2:AS391)&gt;1),1,"")))</f>
        <v/>
      </c>
      <c r="AV191" s="462" t="str">
        <f>IF(AT191=0,"",IF(AND(AT191=3,M191="F",SUMIF(C2:C391,C191,AS2:AS391)&lt;=1),SUMIF(C2:C391,C191,AS2:AS391),IF(AND(AT191=3,M191="F",SUMIF(C2:C391,C191,AS2:AS391)&gt;1),1,"")))</f>
        <v/>
      </c>
      <c r="AW191" s="462">
        <f>SUMIF(C2:C391,C191,O2:O391)</f>
        <v>0</v>
      </c>
      <c r="AX191" s="462">
        <f>IF(AND(M191="F",AS191&lt;&gt;0),SUMIF(C2:C391,C191,W2:W391),0)</f>
        <v>0</v>
      </c>
      <c r="AY191" s="462" t="str">
        <f t="shared" si="36"/>
        <v/>
      </c>
      <c r="AZ191" s="462" t="str">
        <f t="shared" si="37"/>
        <v/>
      </c>
      <c r="BA191" s="462">
        <f t="shared" si="38"/>
        <v>0</v>
      </c>
      <c r="BB191" s="462">
        <f>IF(AND(AT191=1,AK191="E",AU191&gt;=0.75,AW191=1),Health,IF(AND(AT191=1,AK191="E",AU191&gt;=0.75),Health*P191,IF(AND(AT191=1,AK191="E",AU191&gt;=0.5,AW191=1),PTHealth,IF(AND(AT191=1,AK191="E",AU191&gt;=0.5),PTHealth*P191,0))))</f>
        <v>0</v>
      </c>
      <c r="BC191" s="462">
        <f>IF(AND(AT191=3,AK191="E",AV191&gt;=0.75,AW191=1),Health,IF(AND(AT191=3,AK191="E",AV191&gt;=0.75),Health*P191,IF(AND(AT191=3,AK191="E",AV191&gt;=0.5,AW191=1),PTHealth,IF(AND(AT191=3,AK191="E",AV191&gt;=0.5),PTHealth*P191,0))))</f>
        <v>0</v>
      </c>
      <c r="BD191" s="462">
        <f>IF(AND(AT191&lt;&gt;0,AX191&gt;=MAXSSDI),SSDI*MAXSSDI*P191,IF(AT191&lt;&gt;0,SSDI*W191,0))</f>
        <v>0</v>
      </c>
      <c r="BE191" s="462">
        <f>IF(AT191&lt;&gt;0,SSHI*W191,0)</f>
        <v>0</v>
      </c>
      <c r="BF191" s="462">
        <f>IF(AND(AT191&lt;&gt;0,AN191&lt;&gt;"NE"),VLOOKUP(AN191,Retirement_Rates,3,FALSE)*W191,0)</f>
        <v>0</v>
      </c>
      <c r="BG191" s="462">
        <f>IF(AND(AT191&lt;&gt;0,AJ191&lt;&gt;"PF"),Life*W191,0)</f>
        <v>0</v>
      </c>
      <c r="BH191" s="462">
        <f>IF(AND(AT191&lt;&gt;0,AM191="Y"),UI*W191,0)</f>
        <v>0</v>
      </c>
      <c r="BI191" s="462">
        <f>IF(AND(AT191&lt;&gt;0,N191&lt;&gt;"NR"),DHR*W191,0)</f>
        <v>0</v>
      </c>
      <c r="BJ191" s="462">
        <f>IF(AT191&lt;&gt;0,WC*W191,0)</f>
        <v>0</v>
      </c>
      <c r="BK191" s="462">
        <f>IF(OR(AND(AT191&lt;&gt;0,AJ191&lt;&gt;"PF",AN191&lt;&gt;"NE",AG191&lt;&gt;"A"),AND(AL191="E",OR(AT191=1,AT191=3))),Sick*W191,0)</f>
        <v>0</v>
      </c>
      <c r="BL191" s="462">
        <f t="shared" si="39"/>
        <v>0</v>
      </c>
      <c r="BM191" s="462">
        <f t="shared" si="40"/>
        <v>0</v>
      </c>
      <c r="BN191" s="462">
        <f>IF(AND(AT191=1,AK191="E",AU191&gt;=0.75,AW191=1),HealthBY,IF(AND(AT191=1,AK191="E",AU191&gt;=0.75),HealthBY*P191,IF(AND(AT191=1,AK191="E",AU191&gt;=0.5,AW191=1),PTHealthBY,IF(AND(AT191=1,AK191="E",AU191&gt;=0.5),PTHealthBY*P191,0))))</f>
        <v>0</v>
      </c>
      <c r="BO191" s="462">
        <f>IF(AND(AT191=3,AK191="E",AV191&gt;=0.75,AW191=1),HealthBY,IF(AND(AT191=3,AK191="E",AV191&gt;=0.75),HealthBY*P191,IF(AND(AT191=3,AK191="E",AV191&gt;=0.5,AW191=1),PTHealthBY,IF(AND(AT191=3,AK191="E",AV191&gt;=0.5),PTHealthBY*P191,0))))</f>
        <v>0</v>
      </c>
      <c r="BP191" s="462">
        <f>IF(AND(AT191&lt;&gt;0,(AX191+BA191)&gt;=MAXSSDIBY),SSDIBY*MAXSSDIBY*P191,IF(AT191&lt;&gt;0,SSDIBY*W191,0))</f>
        <v>0</v>
      </c>
      <c r="BQ191" s="462">
        <f>IF(AT191&lt;&gt;0,SSHIBY*W191,0)</f>
        <v>0</v>
      </c>
      <c r="BR191" s="462">
        <f>IF(AND(AT191&lt;&gt;0,AN191&lt;&gt;"NE"),VLOOKUP(AN191,Retirement_Rates,4,FALSE)*W191,0)</f>
        <v>0</v>
      </c>
      <c r="BS191" s="462">
        <f>IF(AND(AT191&lt;&gt;0,AJ191&lt;&gt;"PF"),LifeBY*W191,0)</f>
        <v>0</v>
      </c>
      <c r="BT191" s="462">
        <f>IF(AND(AT191&lt;&gt;0,AM191="Y"),UIBY*W191,0)</f>
        <v>0</v>
      </c>
      <c r="BU191" s="462">
        <f>IF(AND(AT191&lt;&gt;0,N191&lt;&gt;"NR"),DHRBY*W191,0)</f>
        <v>0</v>
      </c>
      <c r="BV191" s="462">
        <f>IF(AT191&lt;&gt;0,WCBY*W191,0)</f>
        <v>0</v>
      </c>
      <c r="BW191" s="462">
        <f>IF(OR(AND(AT191&lt;&gt;0,AJ191&lt;&gt;"PF",AN191&lt;&gt;"NE",AG191&lt;&gt;"A"),AND(AL191="E",OR(AT191=1,AT191=3))),SickBY*W191,0)</f>
        <v>0</v>
      </c>
      <c r="BX191" s="462">
        <f t="shared" si="41"/>
        <v>0</v>
      </c>
      <c r="BY191" s="462">
        <f t="shared" si="42"/>
        <v>0</v>
      </c>
      <c r="BZ191" s="462">
        <f t="shared" si="43"/>
        <v>0</v>
      </c>
      <c r="CA191" s="462">
        <f t="shared" si="44"/>
        <v>0</v>
      </c>
      <c r="CB191" s="462">
        <f t="shared" si="45"/>
        <v>0</v>
      </c>
      <c r="CC191" s="462">
        <f>IF(AT191&lt;&gt;0,SSHICHG*Y191,0)</f>
        <v>0</v>
      </c>
      <c r="CD191" s="462">
        <f>IF(AND(AT191&lt;&gt;0,AN191&lt;&gt;"NE"),VLOOKUP(AN191,Retirement_Rates,5,FALSE)*Y191,0)</f>
        <v>0</v>
      </c>
      <c r="CE191" s="462">
        <f>IF(AND(AT191&lt;&gt;0,AJ191&lt;&gt;"PF"),LifeCHG*Y191,0)</f>
        <v>0</v>
      </c>
      <c r="CF191" s="462">
        <f>IF(AND(AT191&lt;&gt;0,AM191="Y"),UICHG*Y191,0)</f>
        <v>0</v>
      </c>
      <c r="CG191" s="462">
        <f>IF(AND(AT191&lt;&gt;0,N191&lt;&gt;"NR"),DHRCHG*Y191,0)</f>
        <v>0</v>
      </c>
      <c r="CH191" s="462">
        <f>IF(AT191&lt;&gt;0,WCCHG*Y191,0)</f>
        <v>0</v>
      </c>
      <c r="CI191" s="462">
        <f>IF(OR(AND(AT191&lt;&gt;0,AJ191&lt;&gt;"PF",AN191&lt;&gt;"NE",AG191&lt;&gt;"A"),AND(AL191="E",OR(AT191=1,AT191=3))),SickCHG*Y191,0)</f>
        <v>0</v>
      </c>
      <c r="CJ191" s="462">
        <f t="shared" si="46"/>
        <v>0</v>
      </c>
      <c r="CK191" s="462" t="str">
        <f t="shared" si="47"/>
        <v/>
      </c>
      <c r="CL191" s="462">
        <f t="shared" si="48"/>
        <v>73794.55</v>
      </c>
      <c r="CM191" s="462">
        <f t="shared" si="49"/>
        <v>15101.75</v>
      </c>
      <c r="CN191" s="462" t="str">
        <f t="shared" si="50"/>
        <v>0243-00</v>
      </c>
    </row>
    <row r="192" spans="1:92" ht="15" thickBot="1" x14ac:dyDescent="0.35">
      <c r="A192" s="376" t="s">
        <v>161</v>
      </c>
      <c r="B192" s="376" t="s">
        <v>162</v>
      </c>
      <c r="C192" s="376" t="s">
        <v>738</v>
      </c>
      <c r="D192" s="376" t="s">
        <v>185</v>
      </c>
      <c r="E192" s="376" t="s">
        <v>273</v>
      </c>
      <c r="F192" s="377" t="s">
        <v>166</v>
      </c>
      <c r="G192" s="376" t="s">
        <v>432</v>
      </c>
      <c r="H192" s="378"/>
      <c r="I192" s="378"/>
      <c r="J192" s="376" t="s">
        <v>168</v>
      </c>
      <c r="K192" s="376" t="s">
        <v>186</v>
      </c>
      <c r="L192" s="376" t="s">
        <v>178</v>
      </c>
      <c r="M192" s="376" t="s">
        <v>225</v>
      </c>
      <c r="N192" s="376" t="s">
        <v>172</v>
      </c>
      <c r="O192" s="379">
        <v>0</v>
      </c>
      <c r="P192" s="460">
        <v>1</v>
      </c>
      <c r="Q192" s="460">
        <v>1</v>
      </c>
      <c r="R192" s="380">
        <v>80</v>
      </c>
      <c r="S192" s="460">
        <v>1</v>
      </c>
      <c r="T192" s="380">
        <v>23528.12</v>
      </c>
      <c r="U192" s="380">
        <v>1.66</v>
      </c>
      <c r="V192" s="380">
        <v>9989.7900000000009</v>
      </c>
      <c r="W192" s="380">
        <v>32094.400000000001</v>
      </c>
      <c r="X192" s="380">
        <v>14057.34</v>
      </c>
      <c r="Y192" s="380">
        <v>32094.400000000001</v>
      </c>
      <c r="Z192" s="380">
        <v>13896.87</v>
      </c>
      <c r="AA192" s="378"/>
      <c r="AB192" s="376" t="s">
        <v>45</v>
      </c>
      <c r="AC192" s="376" t="s">
        <v>45</v>
      </c>
      <c r="AD192" s="378"/>
      <c r="AE192" s="378"/>
      <c r="AF192" s="378"/>
      <c r="AG192" s="378"/>
      <c r="AH192" s="379">
        <v>0</v>
      </c>
      <c r="AI192" s="379">
        <v>0</v>
      </c>
      <c r="AJ192" s="378"/>
      <c r="AK192" s="378"/>
      <c r="AL192" s="376" t="s">
        <v>181</v>
      </c>
      <c r="AM192" s="378"/>
      <c r="AN192" s="378"/>
      <c r="AO192" s="379">
        <v>0</v>
      </c>
      <c r="AP192" s="460">
        <v>0</v>
      </c>
      <c r="AQ192" s="460">
        <v>0</v>
      </c>
      <c r="AR192" s="459"/>
      <c r="AS192" s="462">
        <f t="shared" si="34"/>
        <v>0</v>
      </c>
      <c r="AT192">
        <f t="shared" si="35"/>
        <v>0</v>
      </c>
      <c r="AU192" s="462" t="str">
        <f>IF(AT192=0,"",IF(AND(AT192=1,M192="F",SUMIF(C2:C391,C192,AS2:AS391)&lt;=1),SUMIF(C2:C391,C192,AS2:AS391),IF(AND(AT192=1,M192="F",SUMIF(C2:C391,C192,AS2:AS391)&gt;1),1,"")))</f>
        <v/>
      </c>
      <c r="AV192" s="462" t="str">
        <f>IF(AT192=0,"",IF(AND(AT192=3,M192="F",SUMIF(C2:C391,C192,AS2:AS391)&lt;=1),SUMIF(C2:C391,C192,AS2:AS391),IF(AND(AT192=3,M192="F",SUMIF(C2:C391,C192,AS2:AS391)&gt;1),1,"")))</f>
        <v/>
      </c>
      <c r="AW192" s="462">
        <f>SUMIF(C2:C391,C192,O2:O391)</f>
        <v>0</v>
      </c>
      <c r="AX192" s="462">
        <f>IF(AND(M192="F",AS192&lt;&gt;0),SUMIF(C2:C391,C192,W2:W391),0)</f>
        <v>0</v>
      </c>
      <c r="AY192" s="462" t="str">
        <f t="shared" si="36"/>
        <v/>
      </c>
      <c r="AZ192" s="462" t="str">
        <f t="shared" si="37"/>
        <v/>
      </c>
      <c r="BA192" s="462">
        <f t="shared" si="38"/>
        <v>0</v>
      </c>
      <c r="BB192" s="462">
        <f>IF(AND(AT192=1,AK192="E",AU192&gt;=0.75,AW192=1),Health,IF(AND(AT192=1,AK192="E",AU192&gt;=0.75),Health*P192,IF(AND(AT192=1,AK192="E",AU192&gt;=0.5,AW192=1),PTHealth,IF(AND(AT192=1,AK192="E",AU192&gt;=0.5),PTHealth*P192,0))))</f>
        <v>0</v>
      </c>
      <c r="BC192" s="462">
        <f>IF(AND(AT192=3,AK192="E",AV192&gt;=0.75,AW192=1),Health,IF(AND(AT192=3,AK192="E",AV192&gt;=0.75),Health*P192,IF(AND(AT192=3,AK192="E",AV192&gt;=0.5,AW192=1),PTHealth,IF(AND(AT192=3,AK192="E",AV192&gt;=0.5),PTHealth*P192,0))))</f>
        <v>0</v>
      </c>
      <c r="BD192" s="462">
        <f>IF(AND(AT192&lt;&gt;0,AX192&gt;=MAXSSDI),SSDI*MAXSSDI*P192,IF(AT192&lt;&gt;0,SSDI*W192,0))</f>
        <v>0</v>
      </c>
      <c r="BE192" s="462">
        <f>IF(AT192&lt;&gt;0,SSHI*W192,0)</f>
        <v>0</v>
      </c>
      <c r="BF192" s="462">
        <f>IF(AND(AT192&lt;&gt;0,AN192&lt;&gt;"NE"),VLOOKUP(AN192,Retirement_Rates,3,FALSE)*W192,0)</f>
        <v>0</v>
      </c>
      <c r="BG192" s="462">
        <f>IF(AND(AT192&lt;&gt;0,AJ192&lt;&gt;"PF"),Life*W192,0)</f>
        <v>0</v>
      </c>
      <c r="BH192" s="462">
        <f>IF(AND(AT192&lt;&gt;0,AM192="Y"),UI*W192,0)</f>
        <v>0</v>
      </c>
      <c r="BI192" s="462">
        <f>IF(AND(AT192&lt;&gt;0,N192&lt;&gt;"NR"),DHR*W192,0)</f>
        <v>0</v>
      </c>
      <c r="BJ192" s="462">
        <f>IF(AT192&lt;&gt;0,WC*W192,0)</f>
        <v>0</v>
      </c>
      <c r="BK192" s="462">
        <f>IF(OR(AND(AT192&lt;&gt;0,AJ192&lt;&gt;"PF",AN192&lt;&gt;"NE",AG192&lt;&gt;"A"),AND(AL192="E",OR(AT192=1,AT192=3))),Sick*W192,0)</f>
        <v>0</v>
      </c>
      <c r="BL192" s="462">
        <f t="shared" si="39"/>
        <v>0</v>
      </c>
      <c r="BM192" s="462">
        <f t="shared" si="40"/>
        <v>0</v>
      </c>
      <c r="BN192" s="462">
        <f>IF(AND(AT192=1,AK192="E",AU192&gt;=0.75,AW192=1),HealthBY,IF(AND(AT192=1,AK192="E",AU192&gt;=0.75),HealthBY*P192,IF(AND(AT192=1,AK192="E",AU192&gt;=0.5,AW192=1),PTHealthBY,IF(AND(AT192=1,AK192="E",AU192&gt;=0.5),PTHealthBY*P192,0))))</f>
        <v>0</v>
      </c>
      <c r="BO192" s="462">
        <f>IF(AND(AT192=3,AK192="E",AV192&gt;=0.75,AW192=1),HealthBY,IF(AND(AT192=3,AK192="E",AV192&gt;=0.75),HealthBY*P192,IF(AND(AT192=3,AK192="E",AV192&gt;=0.5,AW192=1),PTHealthBY,IF(AND(AT192=3,AK192="E",AV192&gt;=0.5),PTHealthBY*P192,0))))</f>
        <v>0</v>
      </c>
      <c r="BP192" s="462">
        <f>IF(AND(AT192&lt;&gt;0,(AX192+BA192)&gt;=MAXSSDIBY),SSDIBY*MAXSSDIBY*P192,IF(AT192&lt;&gt;0,SSDIBY*W192,0))</f>
        <v>0</v>
      </c>
      <c r="BQ192" s="462">
        <f>IF(AT192&lt;&gt;0,SSHIBY*W192,0)</f>
        <v>0</v>
      </c>
      <c r="BR192" s="462">
        <f>IF(AND(AT192&lt;&gt;0,AN192&lt;&gt;"NE"),VLOOKUP(AN192,Retirement_Rates,4,FALSE)*W192,0)</f>
        <v>0</v>
      </c>
      <c r="BS192" s="462">
        <f>IF(AND(AT192&lt;&gt;0,AJ192&lt;&gt;"PF"),LifeBY*W192,0)</f>
        <v>0</v>
      </c>
      <c r="BT192" s="462">
        <f>IF(AND(AT192&lt;&gt;0,AM192="Y"),UIBY*W192,0)</f>
        <v>0</v>
      </c>
      <c r="BU192" s="462">
        <f>IF(AND(AT192&lt;&gt;0,N192&lt;&gt;"NR"),DHRBY*W192,0)</f>
        <v>0</v>
      </c>
      <c r="BV192" s="462">
        <f>IF(AT192&lt;&gt;0,WCBY*W192,0)</f>
        <v>0</v>
      </c>
      <c r="BW192" s="462">
        <f>IF(OR(AND(AT192&lt;&gt;0,AJ192&lt;&gt;"PF",AN192&lt;&gt;"NE",AG192&lt;&gt;"A"),AND(AL192="E",OR(AT192=1,AT192=3))),SickBY*W192,0)</f>
        <v>0</v>
      </c>
      <c r="BX192" s="462">
        <f t="shared" si="41"/>
        <v>0</v>
      </c>
      <c r="BY192" s="462">
        <f t="shared" si="42"/>
        <v>0</v>
      </c>
      <c r="BZ192" s="462">
        <f t="shared" si="43"/>
        <v>0</v>
      </c>
      <c r="CA192" s="462">
        <f t="shared" si="44"/>
        <v>0</v>
      </c>
      <c r="CB192" s="462">
        <f t="shared" si="45"/>
        <v>0</v>
      </c>
      <c r="CC192" s="462">
        <f>IF(AT192&lt;&gt;0,SSHICHG*Y192,0)</f>
        <v>0</v>
      </c>
      <c r="CD192" s="462">
        <f>IF(AND(AT192&lt;&gt;0,AN192&lt;&gt;"NE"),VLOOKUP(AN192,Retirement_Rates,5,FALSE)*Y192,0)</f>
        <v>0</v>
      </c>
      <c r="CE192" s="462">
        <f>IF(AND(AT192&lt;&gt;0,AJ192&lt;&gt;"PF"),LifeCHG*Y192,0)</f>
        <v>0</v>
      </c>
      <c r="CF192" s="462">
        <f>IF(AND(AT192&lt;&gt;0,AM192="Y"),UICHG*Y192,0)</f>
        <v>0</v>
      </c>
      <c r="CG192" s="462">
        <f>IF(AND(AT192&lt;&gt;0,N192&lt;&gt;"NR"),DHRCHG*Y192,0)</f>
        <v>0</v>
      </c>
      <c r="CH192" s="462">
        <f>IF(AT192&lt;&gt;0,WCCHG*Y192,0)</f>
        <v>0</v>
      </c>
      <c r="CI192" s="462">
        <f>IF(OR(AND(AT192&lt;&gt;0,AJ192&lt;&gt;"PF",AN192&lt;&gt;"NE",AG192&lt;&gt;"A"),AND(AL192="E",OR(AT192=1,AT192=3))),SickCHG*Y192,0)</f>
        <v>0</v>
      </c>
      <c r="CJ192" s="462">
        <f t="shared" si="46"/>
        <v>0</v>
      </c>
      <c r="CK192" s="462" t="str">
        <f t="shared" si="47"/>
        <v/>
      </c>
      <c r="CL192" s="462" t="str">
        <f t="shared" si="48"/>
        <v/>
      </c>
      <c r="CM192" s="462" t="str">
        <f t="shared" si="49"/>
        <v/>
      </c>
      <c r="CN192" s="462" t="str">
        <f t="shared" si="50"/>
        <v>0243-00</v>
      </c>
    </row>
    <row r="193" spans="1:92" ht="15" thickBot="1" x14ac:dyDescent="0.35">
      <c r="A193" s="376" t="s">
        <v>161</v>
      </c>
      <c r="B193" s="376" t="s">
        <v>162</v>
      </c>
      <c r="C193" s="376" t="s">
        <v>739</v>
      </c>
      <c r="D193" s="376" t="s">
        <v>438</v>
      </c>
      <c r="E193" s="376" t="s">
        <v>273</v>
      </c>
      <c r="F193" s="377" t="s">
        <v>166</v>
      </c>
      <c r="G193" s="376" t="s">
        <v>432</v>
      </c>
      <c r="H193" s="378"/>
      <c r="I193" s="378"/>
      <c r="J193" s="376" t="s">
        <v>168</v>
      </c>
      <c r="K193" s="376" t="s">
        <v>439</v>
      </c>
      <c r="L193" s="376" t="s">
        <v>231</v>
      </c>
      <c r="M193" s="376" t="s">
        <v>171</v>
      </c>
      <c r="N193" s="376" t="s">
        <v>172</v>
      </c>
      <c r="O193" s="379">
        <v>1</v>
      </c>
      <c r="P193" s="460">
        <v>1</v>
      </c>
      <c r="Q193" s="460">
        <v>1</v>
      </c>
      <c r="R193" s="380">
        <v>80</v>
      </c>
      <c r="S193" s="460">
        <v>1</v>
      </c>
      <c r="T193" s="380">
        <v>42019.61</v>
      </c>
      <c r="U193" s="380">
        <v>0</v>
      </c>
      <c r="V193" s="380">
        <v>21117.16</v>
      </c>
      <c r="W193" s="380">
        <v>42411.199999999997</v>
      </c>
      <c r="X193" s="380">
        <v>21742.560000000001</v>
      </c>
      <c r="Y193" s="380">
        <v>42411.199999999997</v>
      </c>
      <c r="Z193" s="380">
        <v>21865.55</v>
      </c>
      <c r="AA193" s="376" t="s">
        <v>740</v>
      </c>
      <c r="AB193" s="376" t="s">
        <v>741</v>
      </c>
      <c r="AC193" s="376" t="s">
        <v>742</v>
      </c>
      <c r="AD193" s="376" t="s">
        <v>359</v>
      </c>
      <c r="AE193" s="376" t="s">
        <v>439</v>
      </c>
      <c r="AF193" s="376" t="s">
        <v>236</v>
      </c>
      <c r="AG193" s="376" t="s">
        <v>178</v>
      </c>
      <c r="AH193" s="381">
        <v>20.39</v>
      </c>
      <c r="AI193" s="381">
        <v>19084.3</v>
      </c>
      <c r="AJ193" s="376" t="s">
        <v>179</v>
      </c>
      <c r="AK193" s="376" t="s">
        <v>180</v>
      </c>
      <c r="AL193" s="376" t="s">
        <v>181</v>
      </c>
      <c r="AM193" s="376" t="s">
        <v>182</v>
      </c>
      <c r="AN193" s="376" t="s">
        <v>68</v>
      </c>
      <c r="AO193" s="379">
        <v>80</v>
      </c>
      <c r="AP193" s="460">
        <v>1</v>
      </c>
      <c r="AQ193" s="460">
        <v>1</v>
      </c>
      <c r="AR193" s="458" t="s">
        <v>183</v>
      </c>
      <c r="AS193" s="462">
        <f t="shared" si="34"/>
        <v>1</v>
      </c>
      <c r="AT193">
        <f t="shared" si="35"/>
        <v>1</v>
      </c>
      <c r="AU193" s="462">
        <f>IF(AT193=0,"",IF(AND(AT193=1,M193="F",SUMIF(C2:C391,C193,AS2:AS391)&lt;=1),SUMIF(C2:C391,C193,AS2:AS391),IF(AND(AT193=1,M193="F",SUMIF(C2:C391,C193,AS2:AS391)&gt;1),1,"")))</f>
        <v>1</v>
      </c>
      <c r="AV193" s="462" t="str">
        <f>IF(AT193=0,"",IF(AND(AT193=3,M193="F",SUMIF(C2:C391,C193,AS2:AS391)&lt;=1),SUMIF(C2:C391,C193,AS2:AS391),IF(AND(AT193=3,M193="F",SUMIF(C2:C391,C193,AS2:AS391)&gt;1),1,"")))</f>
        <v/>
      </c>
      <c r="AW193" s="462">
        <f>SUMIF(C2:C391,C193,O2:O391)</f>
        <v>1</v>
      </c>
      <c r="AX193" s="462">
        <f>IF(AND(M193="F",AS193&lt;&gt;0),SUMIF(C2:C391,C193,W2:W391),0)</f>
        <v>42411.199999999997</v>
      </c>
      <c r="AY193" s="462">
        <f t="shared" si="36"/>
        <v>42411.199999999997</v>
      </c>
      <c r="AZ193" s="462" t="str">
        <f t="shared" si="37"/>
        <v/>
      </c>
      <c r="BA193" s="462">
        <f t="shared" si="38"/>
        <v>0</v>
      </c>
      <c r="BB193" s="462">
        <f>IF(AND(AT193=1,AK193="E",AU193&gt;=0.75,AW193=1),Health,IF(AND(AT193=1,AK193="E",AU193&gt;=0.75),Health*P193,IF(AND(AT193=1,AK193="E",AU193&gt;=0.5,AW193=1),PTHealth,IF(AND(AT193=1,AK193="E",AU193&gt;=0.5),PTHealth*P193,0))))</f>
        <v>11650</v>
      </c>
      <c r="BC193" s="462">
        <f>IF(AND(AT193=3,AK193="E",AV193&gt;=0.75,AW193=1),Health,IF(AND(AT193=3,AK193="E",AV193&gt;=0.75),Health*P193,IF(AND(AT193=3,AK193="E",AV193&gt;=0.5,AW193=1),PTHealth,IF(AND(AT193=3,AK193="E",AV193&gt;=0.5),PTHealth*P193,0))))</f>
        <v>0</v>
      </c>
      <c r="BD193" s="462">
        <f>IF(AND(AT193&lt;&gt;0,AX193&gt;=MAXSSDI),SSDI*MAXSSDI*P193,IF(AT193&lt;&gt;0,SSDI*W193,0))</f>
        <v>2629.4943999999996</v>
      </c>
      <c r="BE193" s="462">
        <f>IF(AT193&lt;&gt;0,SSHI*W193,0)</f>
        <v>614.9624</v>
      </c>
      <c r="BF193" s="462">
        <f>IF(AND(AT193&lt;&gt;0,AN193&lt;&gt;"NE"),VLOOKUP(AN193,Retirement_Rates,3,FALSE)*W193,0)</f>
        <v>5063.8972800000001</v>
      </c>
      <c r="BG193" s="462">
        <f>IF(AND(AT193&lt;&gt;0,AJ193&lt;&gt;"PF"),Life*W193,0)</f>
        <v>305.78475199999997</v>
      </c>
      <c r="BH193" s="462">
        <f>IF(AND(AT193&lt;&gt;0,AM193="Y"),UI*W193,0)</f>
        <v>207.81487999999999</v>
      </c>
      <c r="BI193" s="462">
        <f>IF(AND(AT193&lt;&gt;0,N193&lt;&gt;"NR"),DHR*W193,0)</f>
        <v>129.77827199999999</v>
      </c>
      <c r="BJ193" s="462">
        <f>IF(AT193&lt;&gt;0,WC*W193,0)</f>
        <v>1140.8612799999999</v>
      </c>
      <c r="BK193" s="462">
        <f>IF(OR(AND(AT193&lt;&gt;0,AJ193&lt;&gt;"PF",AN193&lt;&gt;"NE",AG193&lt;&gt;"A"),AND(AL193="E",OR(AT193=1,AT193=3))),Sick*W193,0)</f>
        <v>0</v>
      </c>
      <c r="BL193" s="462">
        <f t="shared" si="39"/>
        <v>10092.593263999997</v>
      </c>
      <c r="BM193" s="462">
        <f t="shared" si="40"/>
        <v>0</v>
      </c>
      <c r="BN193" s="462">
        <f>IF(AND(AT193=1,AK193="E",AU193&gt;=0.75,AW193=1),HealthBY,IF(AND(AT193=1,AK193="E",AU193&gt;=0.75),HealthBY*P193,IF(AND(AT193=1,AK193="E",AU193&gt;=0.5,AW193=1),PTHealthBY,IF(AND(AT193=1,AK193="E",AU193&gt;=0.5),PTHealthBY*P193,0))))</f>
        <v>11650</v>
      </c>
      <c r="BO193" s="462">
        <f>IF(AND(AT193=3,AK193="E",AV193&gt;=0.75,AW193=1),HealthBY,IF(AND(AT193=3,AK193="E",AV193&gt;=0.75),HealthBY*P193,IF(AND(AT193=3,AK193="E",AV193&gt;=0.5,AW193=1),PTHealthBY,IF(AND(AT193=3,AK193="E",AV193&gt;=0.5),PTHealthBY*P193,0))))</f>
        <v>0</v>
      </c>
      <c r="BP193" s="462">
        <f>IF(AND(AT193&lt;&gt;0,(AX193+BA193)&gt;=MAXSSDIBY),SSDIBY*MAXSSDIBY*P193,IF(AT193&lt;&gt;0,SSDIBY*W193,0))</f>
        <v>2629.4943999999996</v>
      </c>
      <c r="BQ193" s="462">
        <f>IF(AT193&lt;&gt;0,SSHIBY*W193,0)</f>
        <v>614.9624</v>
      </c>
      <c r="BR193" s="462">
        <f>IF(AND(AT193&lt;&gt;0,AN193&lt;&gt;"NE"),VLOOKUP(AN193,Retirement_Rates,4,FALSE)*W193,0)</f>
        <v>5063.8972800000001</v>
      </c>
      <c r="BS193" s="462">
        <f>IF(AND(AT193&lt;&gt;0,AJ193&lt;&gt;"PF"),LifeBY*W193,0)</f>
        <v>305.78475199999997</v>
      </c>
      <c r="BT193" s="462">
        <f>IF(AND(AT193&lt;&gt;0,AM193="Y"),UIBY*W193,0)</f>
        <v>0</v>
      </c>
      <c r="BU193" s="462">
        <f>IF(AND(AT193&lt;&gt;0,N193&lt;&gt;"NR"),DHRBY*W193,0)</f>
        <v>129.77827199999999</v>
      </c>
      <c r="BV193" s="462">
        <f>IF(AT193&lt;&gt;0,WCBY*W193,0)</f>
        <v>1471.6686399999999</v>
      </c>
      <c r="BW193" s="462">
        <f>IF(OR(AND(AT193&lt;&gt;0,AJ193&lt;&gt;"PF",AN193&lt;&gt;"NE",AG193&lt;&gt;"A"),AND(AL193="E",OR(AT193=1,AT193=3))),SickBY*W193,0)</f>
        <v>0</v>
      </c>
      <c r="BX193" s="462">
        <f t="shared" si="41"/>
        <v>10215.585743999998</v>
      </c>
      <c r="BY193" s="462">
        <f t="shared" si="42"/>
        <v>0</v>
      </c>
      <c r="BZ193" s="462">
        <f t="shared" si="43"/>
        <v>0</v>
      </c>
      <c r="CA193" s="462">
        <f t="shared" si="44"/>
        <v>0</v>
      </c>
      <c r="CB193" s="462">
        <f t="shared" si="45"/>
        <v>0</v>
      </c>
      <c r="CC193" s="462">
        <f>IF(AT193&lt;&gt;0,SSHICHG*Y193,0)</f>
        <v>0</v>
      </c>
      <c r="CD193" s="462">
        <f>IF(AND(AT193&lt;&gt;0,AN193&lt;&gt;"NE"),VLOOKUP(AN193,Retirement_Rates,5,FALSE)*Y193,0)</f>
        <v>0</v>
      </c>
      <c r="CE193" s="462">
        <f>IF(AND(AT193&lt;&gt;0,AJ193&lt;&gt;"PF"),LifeCHG*Y193,0)</f>
        <v>0</v>
      </c>
      <c r="CF193" s="462">
        <f>IF(AND(AT193&lt;&gt;0,AM193="Y"),UICHG*Y193,0)</f>
        <v>-207.81487999999999</v>
      </c>
      <c r="CG193" s="462">
        <f>IF(AND(AT193&lt;&gt;0,N193&lt;&gt;"NR"),DHRCHG*Y193,0)</f>
        <v>0</v>
      </c>
      <c r="CH193" s="462">
        <f>IF(AT193&lt;&gt;0,WCCHG*Y193,0)</f>
        <v>330.80736000000002</v>
      </c>
      <c r="CI193" s="462">
        <f>IF(OR(AND(AT193&lt;&gt;0,AJ193&lt;&gt;"PF",AN193&lt;&gt;"NE",AG193&lt;&gt;"A"),AND(AL193="E",OR(AT193=1,AT193=3))),SickCHG*Y193,0)</f>
        <v>0</v>
      </c>
      <c r="CJ193" s="462">
        <f t="shared" si="46"/>
        <v>122.99248000000003</v>
      </c>
      <c r="CK193" s="462" t="str">
        <f t="shared" si="47"/>
        <v/>
      </c>
      <c r="CL193" s="462" t="str">
        <f t="shared" si="48"/>
        <v/>
      </c>
      <c r="CM193" s="462" t="str">
        <f t="shared" si="49"/>
        <v/>
      </c>
      <c r="CN193" s="462" t="str">
        <f t="shared" si="50"/>
        <v>0243-00</v>
      </c>
    </row>
    <row r="194" spans="1:92" ht="15" thickBot="1" x14ac:dyDescent="0.35">
      <c r="A194" s="376" t="s">
        <v>161</v>
      </c>
      <c r="B194" s="376" t="s">
        <v>162</v>
      </c>
      <c r="C194" s="376" t="s">
        <v>743</v>
      </c>
      <c r="D194" s="376" t="s">
        <v>453</v>
      </c>
      <c r="E194" s="376" t="s">
        <v>273</v>
      </c>
      <c r="F194" s="377" t="s">
        <v>166</v>
      </c>
      <c r="G194" s="376" t="s">
        <v>432</v>
      </c>
      <c r="H194" s="378"/>
      <c r="I194" s="378"/>
      <c r="J194" s="376" t="s">
        <v>168</v>
      </c>
      <c r="K194" s="376" t="s">
        <v>454</v>
      </c>
      <c r="L194" s="376" t="s">
        <v>170</v>
      </c>
      <c r="M194" s="376" t="s">
        <v>171</v>
      </c>
      <c r="N194" s="376" t="s">
        <v>172</v>
      </c>
      <c r="O194" s="379">
        <v>1</v>
      </c>
      <c r="P194" s="460">
        <v>1</v>
      </c>
      <c r="Q194" s="460">
        <v>1</v>
      </c>
      <c r="R194" s="380">
        <v>80</v>
      </c>
      <c r="S194" s="460">
        <v>1</v>
      </c>
      <c r="T194" s="380">
        <v>59778.11</v>
      </c>
      <c r="U194" s="380">
        <v>0</v>
      </c>
      <c r="V194" s="380">
        <v>24703.42</v>
      </c>
      <c r="W194" s="380">
        <v>60340.800000000003</v>
      </c>
      <c r="X194" s="380">
        <v>26009.26</v>
      </c>
      <c r="Y194" s="380">
        <v>60340.800000000003</v>
      </c>
      <c r="Z194" s="380">
        <v>26184.26</v>
      </c>
      <c r="AA194" s="376" t="s">
        <v>744</v>
      </c>
      <c r="AB194" s="376" t="s">
        <v>745</v>
      </c>
      <c r="AC194" s="376" t="s">
        <v>746</v>
      </c>
      <c r="AD194" s="376" t="s">
        <v>180</v>
      </c>
      <c r="AE194" s="376" t="s">
        <v>454</v>
      </c>
      <c r="AF194" s="376" t="s">
        <v>177</v>
      </c>
      <c r="AG194" s="376" t="s">
        <v>178</v>
      </c>
      <c r="AH194" s="381">
        <v>29.01</v>
      </c>
      <c r="AI194" s="381">
        <v>76506.5</v>
      </c>
      <c r="AJ194" s="376" t="s">
        <v>179</v>
      </c>
      <c r="AK194" s="376" t="s">
        <v>180</v>
      </c>
      <c r="AL194" s="376" t="s">
        <v>181</v>
      </c>
      <c r="AM194" s="376" t="s">
        <v>182</v>
      </c>
      <c r="AN194" s="376" t="s">
        <v>68</v>
      </c>
      <c r="AO194" s="379">
        <v>80</v>
      </c>
      <c r="AP194" s="460">
        <v>1</v>
      </c>
      <c r="AQ194" s="460">
        <v>1</v>
      </c>
      <c r="AR194" s="458" t="s">
        <v>183</v>
      </c>
      <c r="AS194" s="462">
        <f t="shared" si="34"/>
        <v>1</v>
      </c>
      <c r="AT194">
        <f t="shared" si="35"/>
        <v>1</v>
      </c>
      <c r="AU194" s="462">
        <f>IF(AT194=0,"",IF(AND(AT194=1,M194="F",SUMIF(C2:C391,C194,AS2:AS391)&lt;=1),SUMIF(C2:C391,C194,AS2:AS391),IF(AND(AT194=1,M194="F",SUMIF(C2:C391,C194,AS2:AS391)&gt;1),1,"")))</f>
        <v>1</v>
      </c>
      <c r="AV194" s="462" t="str">
        <f>IF(AT194=0,"",IF(AND(AT194=3,M194="F",SUMIF(C2:C391,C194,AS2:AS391)&lt;=1),SUMIF(C2:C391,C194,AS2:AS391),IF(AND(AT194=3,M194="F",SUMIF(C2:C391,C194,AS2:AS391)&gt;1),1,"")))</f>
        <v/>
      </c>
      <c r="AW194" s="462">
        <f>SUMIF(C2:C391,C194,O2:O391)</f>
        <v>1</v>
      </c>
      <c r="AX194" s="462">
        <f>IF(AND(M194="F",AS194&lt;&gt;0),SUMIF(C2:C391,C194,W2:W391),0)</f>
        <v>60340.800000000003</v>
      </c>
      <c r="AY194" s="462">
        <f t="shared" si="36"/>
        <v>60340.800000000003</v>
      </c>
      <c r="AZ194" s="462" t="str">
        <f t="shared" si="37"/>
        <v/>
      </c>
      <c r="BA194" s="462">
        <f t="shared" si="38"/>
        <v>0</v>
      </c>
      <c r="BB194" s="462">
        <f>IF(AND(AT194=1,AK194="E",AU194&gt;=0.75,AW194=1),Health,IF(AND(AT194=1,AK194="E",AU194&gt;=0.75),Health*P194,IF(AND(AT194=1,AK194="E",AU194&gt;=0.5,AW194=1),PTHealth,IF(AND(AT194=1,AK194="E",AU194&gt;=0.5),PTHealth*P194,0))))</f>
        <v>11650</v>
      </c>
      <c r="BC194" s="462">
        <f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462">
        <f>IF(AND(AT194&lt;&gt;0,AX194&gt;=MAXSSDI),SSDI*MAXSSDI*P194,IF(AT194&lt;&gt;0,SSDI*W194,0))</f>
        <v>3741.1296000000002</v>
      </c>
      <c r="BE194" s="462">
        <f>IF(AT194&lt;&gt;0,SSHI*W194,0)</f>
        <v>874.94160000000011</v>
      </c>
      <c r="BF194" s="462">
        <f>IF(AND(AT194&lt;&gt;0,AN194&lt;&gt;"NE"),VLOOKUP(AN194,Retirement_Rates,3,FALSE)*W194,0)</f>
        <v>7204.6915200000003</v>
      </c>
      <c r="BG194" s="462">
        <f>IF(AND(AT194&lt;&gt;0,AJ194&lt;&gt;"PF"),Life*W194,0)</f>
        <v>435.05716800000005</v>
      </c>
      <c r="BH194" s="462">
        <f>IF(AND(AT194&lt;&gt;0,AM194="Y"),UI*W194,0)</f>
        <v>295.66991999999999</v>
      </c>
      <c r="BI194" s="462">
        <f>IF(AND(AT194&lt;&gt;0,N194&lt;&gt;"NR"),DHR*W194,0)</f>
        <v>184.64284799999999</v>
      </c>
      <c r="BJ194" s="462">
        <f>IF(AT194&lt;&gt;0,WC*W194,0)</f>
        <v>1623.1675200000002</v>
      </c>
      <c r="BK194" s="462">
        <f>IF(OR(AND(AT194&lt;&gt;0,AJ194&lt;&gt;"PF",AN194&lt;&gt;"NE",AG194&lt;&gt;"A"),AND(AL194="E",OR(AT194=1,AT194=3))),Sick*W194,0)</f>
        <v>0</v>
      </c>
      <c r="BL194" s="462">
        <f t="shared" si="39"/>
        <v>14359.300176000001</v>
      </c>
      <c r="BM194" s="462">
        <f t="shared" si="40"/>
        <v>0</v>
      </c>
      <c r="BN194" s="462">
        <f>IF(AND(AT194=1,AK194="E",AU194&gt;=0.75,AW194=1),HealthBY,IF(AND(AT194=1,AK194="E",AU194&gt;=0.75),HealthBY*P194,IF(AND(AT194=1,AK194="E",AU194&gt;=0.5,AW194=1),PTHealthBY,IF(AND(AT194=1,AK194="E",AU194&gt;=0.5),PTHealthBY*P194,0))))</f>
        <v>11650</v>
      </c>
      <c r="BO194" s="462">
        <f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462">
        <f>IF(AND(AT194&lt;&gt;0,(AX194+BA194)&gt;=MAXSSDIBY),SSDIBY*MAXSSDIBY*P194,IF(AT194&lt;&gt;0,SSDIBY*W194,0))</f>
        <v>3741.1296000000002</v>
      </c>
      <c r="BQ194" s="462">
        <f>IF(AT194&lt;&gt;0,SSHIBY*W194,0)</f>
        <v>874.94160000000011</v>
      </c>
      <c r="BR194" s="462">
        <f>IF(AND(AT194&lt;&gt;0,AN194&lt;&gt;"NE"),VLOOKUP(AN194,Retirement_Rates,4,FALSE)*W194,0)</f>
        <v>7204.6915200000003</v>
      </c>
      <c r="BS194" s="462">
        <f>IF(AND(AT194&lt;&gt;0,AJ194&lt;&gt;"PF"),LifeBY*W194,0)</f>
        <v>435.05716800000005</v>
      </c>
      <c r="BT194" s="462">
        <f>IF(AND(AT194&lt;&gt;0,AM194="Y"),UIBY*W194,0)</f>
        <v>0</v>
      </c>
      <c r="BU194" s="462">
        <f>IF(AND(AT194&lt;&gt;0,N194&lt;&gt;"NR"),DHRBY*W194,0)</f>
        <v>184.64284799999999</v>
      </c>
      <c r="BV194" s="462">
        <f>IF(AT194&lt;&gt;0,WCBY*W194,0)</f>
        <v>2093.8257600000002</v>
      </c>
      <c r="BW194" s="462">
        <f>IF(OR(AND(AT194&lt;&gt;0,AJ194&lt;&gt;"PF",AN194&lt;&gt;"NE",AG194&lt;&gt;"A"),AND(AL194="E",OR(AT194=1,AT194=3))),SickBY*W194,0)</f>
        <v>0</v>
      </c>
      <c r="BX194" s="462">
        <f t="shared" si="41"/>
        <v>14534.288495999999</v>
      </c>
      <c r="BY194" s="462">
        <f t="shared" si="42"/>
        <v>0</v>
      </c>
      <c r="BZ194" s="462">
        <f t="shared" si="43"/>
        <v>0</v>
      </c>
      <c r="CA194" s="462">
        <f t="shared" si="44"/>
        <v>0</v>
      </c>
      <c r="CB194" s="462">
        <f t="shared" si="45"/>
        <v>0</v>
      </c>
      <c r="CC194" s="462">
        <f>IF(AT194&lt;&gt;0,SSHICHG*Y194,0)</f>
        <v>0</v>
      </c>
      <c r="CD194" s="462">
        <f>IF(AND(AT194&lt;&gt;0,AN194&lt;&gt;"NE"),VLOOKUP(AN194,Retirement_Rates,5,FALSE)*Y194,0)</f>
        <v>0</v>
      </c>
      <c r="CE194" s="462">
        <f>IF(AND(AT194&lt;&gt;0,AJ194&lt;&gt;"PF"),LifeCHG*Y194,0)</f>
        <v>0</v>
      </c>
      <c r="CF194" s="462">
        <f>IF(AND(AT194&lt;&gt;0,AM194="Y"),UICHG*Y194,0)</f>
        <v>-295.66991999999999</v>
      </c>
      <c r="CG194" s="462">
        <f>IF(AND(AT194&lt;&gt;0,N194&lt;&gt;"NR"),DHRCHG*Y194,0)</f>
        <v>0</v>
      </c>
      <c r="CH194" s="462">
        <f>IF(AT194&lt;&gt;0,WCCHG*Y194,0)</f>
        <v>470.65824000000009</v>
      </c>
      <c r="CI194" s="462">
        <f>IF(OR(AND(AT194&lt;&gt;0,AJ194&lt;&gt;"PF",AN194&lt;&gt;"NE",AG194&lt;&gt;"A"),AND(AL194="E",OR(AT194=1,AT194=3))),SickCHG*Y194,0)</f>
        <v>0</v>
      </c>
      <c r="CJ194" s="462">
        <f t="shared" si="46"/>
        <v>174.9883200000001</v>
      </c>
      <c r="CK194" s="462" t="str">
        <f t="shared" si="47"/>
        <v/>
      </c>
      <c r="CL194" s="462" t="str">
        <f t="shared" si="48"/>
        <v/>
      </c>
      <c r="CM194" s="462" t="str">
        <f t="shared" si="49"/>
        <v/>
      </c>
      <c r="CN194" s="462" t="str">
        <f t="shared" si="50"/>
        <v>0243-00</v>
      </c>
    </row>
    <row r="195" spans="1:92" ht="15" thickBot="1" x14ac:dyDescent="0.35">
      <c r="A195" s="376" t="s">
        <v>161</v>
      </c>
      <c r="B195" s="376" t="s">
        <v>162</v>
      </c>
      <c r="C195" s="376" t="s">
        <v>747</v>
      </c>
      <c r="D195" s="376" t="s">
        <v>221</v>
      </c>
      <c r="E195" s="376" t="s">
        <v>273</v>
      </c>
      <c r="F195" s="377" t="s">
        <v>166</v>
      </c>
      <c r="G195" s="376" t="s">
        <v>432</v>
      </c>
      <c r="H195" s="378"/>
      <c r="I195" s="378"/>
      <c r="J195" s="376" t="s">
        <v>168</v>
      </c>
      <c r="K195" s="376" t="s">
        <v>222</v>
      </c>
      <c r="L195" s="376" t="s">
        <v>166</v>
      </c>
      <c r="M195" s="376" t="s">
        <v>171</v>
      </c>
      <c r="N195" s="376" t="s">
        <v>223</v>
      </c>
      <c r="O195" s="379">
        <v>0</v>
      </c>
      <c r="P195" s="460">
        <v>1</v>
      </c>
      <c r="Q195" s="460">
        <v>0</v>
      </c>
      <c r="R195" s="380">
        <v>0</v>
      </c>
      <c r="S195" s="460">
        <v>0</v>
      </c>
      <c r="T195" s="380">
        <v>74950.8</v>
      </c>
      <c r="U195" s="380">
        <v>2121.2800000000002</v>
      </c>
      <c r="V195" s="380">
        <v>11597.79</v>
      </c>
      <c r="W195" s="380">
        <v>77072.08</v>
      </c>
      <c r="X195" s="380">
        <v>11597.79</v>
      </c>
      <c r="Y195" s="380">
        <v>77072.08</v>
      </c>
      <c r="Z195" s="380">
        <v>11597.79</v>
      </c>
      <c r="AA195" s="378"/>
      <c r="AB195" s="376" t="s">
        <v>45</v>
      </c>
      <c r="AC195" s="376" t="s">
        <v>45</v>
      </c>
      <c r="AD195" s="378"/>
      <c r="AE195" s="378"/>
      <c r="AF195" s="378"/>
      <c r="AG195" s="378"/>
      <c r="AH195" s="379">
        <v>0</v>
      </c>
      <c r="AI195" s="379">
        <v>0</v>
      </c>
      <c r="AJ195" s="378"/>
      <c r="AK195" s="378"/>
      <c r="AL195" s="376" t="s">
        <v>181</v>
      </c>
      <c r="AM195" s="378"/>
      <c r="AN195" s="378"/>
      <c r="AO195" s="379">
        <v>0</v>
      </c>
      <c r="AP195" s="460">
        <v>0</v>
      </c>
      <c r="AQ195" s="460">
        <v>0</v>
      </c>
      <c r="AR195" s="459"/>
      <c r="AS195" s="462">
        <f t="shared" ref="AS195:AS258" si="51">IF(((AO195/80)*AP195*P195)&gt;1,AQ195,((AO195/80)*AP195*P195))</f>
        <v>0</v>
      </c>
      <c r="AT195">
        <f t="shared" ref="AT195:AT258" si="52">IF(AND(M195="F",N195&lt;&gt;"NG",AS195&lt;&gt;0,AND(AR195&lt;&gt;6,AR195&lt;&gt;36,AR195&lt;&gt;56),AG195&lt;&gt;"A",OR(AG195="H",AJ195="FS")),1,IF(AND(M195="F",N195&lt;&gt;"NG",AS195&lt;&gt;0,AG195="A"),3,0))</f>
        <v>0</v>
      </c>
      <c r="AU195" s="462" t="str">
        <f>IF(AT195=0,"",IF(AND(AT195=1,M195="F",SUMIF(C2:C391,C195,AS2:AS391)&lt;=1),SUMIF(C2:C391,C195,AS2:AS391),IF(AND(AT195=1,M195="F",SUMIF(C2:C391,C195,AS2:AS391)&gt;1),1,"")))</f>
        <v/>
      </c>
      <c r="AV195" s="462" t="str">
        <f>IF(AT195=0,"",IF(AND(AT195=3,M195="F",SUMIF(C2:C391,C195,AS2:AS391)&lt;=1),SUMIF(C2:C391,C195,AS2:AS391),IF(AND(AT195=3,M195="F",SUMIF(C2:C391,C195,AS2:AS391)&gt;1),1,"")))</f>
        <v/>
      </c>
      <c r="AW195" s="462">
        <f>SUMIF(C2:C391,C195,O2:O391)</f>
        <v>0</v>
      </c>
      <c r="AX195" s="462">
        <f>IF(AND(M195="F",AS195&lt;&gt;0),SUMIF(C2:C391,C195,W2:W391),0)</f>
        <v>0</v>
      </c>
      <c r="AY195" s="462" t="str">
        <f t="shared" ref="AY195:AY258" si="53">IF(AT195=1,W195,"")</f>
        <v/>
      </c>
      <c r="AZ195" s="462" t="str">
        <f t="shared" ref="AZ195:AZ258" si="54">IF(AT195=3,W195,"")</f>
        <v/>
      </c>
      <c r="BA195" s="462">
        <f t="shared" ref="BA195:BA258" si="55">IF(AT195=1,Y195-W195,0)</f>
        <v>0</v>
      </c>
      <c r="BB195" s="462">
        <f>IF(AND(AT195=1,AK195="E",AU195&gt;=0.75,AW195=1),Health,IF(AND(AT195=1,AK195="E",AU195&gt;=0.75),Health*P195,IF(AND(AT195=1,AK195="E",AU195&gt;=0.5,AW195=1),PTHealth,IF(AND(AT195=1,AK195="E",AU195&gt;=0.5),PTHealth*P195,0))))</f>
        <v>0</v>
      </c>
      <c r="BC195" s="462">
        <f>IF(AND(AT195=3,AK195="E",AV195&gt;=0.75,AW195=1),Health,IF(AND(AT195=3,AK195="E",AV195&gt;=0.75),Health*P195,IF(AND(AT195=3,AK195="E",AV195&gt;=0.5,AW195=1),PTHealth,IF(AND(AT195=3,AK195="E",AV195&gt;=0.5),PTHealth*P195,0))))</f>
        <v>0</v>
      </c>
      <c r="BD195" s="462">
        <f>IF(AND(AT195&lt;&gt;0,AX195&gt;=MAXSSDI),SSDI*MAXSSDI*P195,IF(AT195&lt;&gt;0,SSDI*W195,0))</f>
        <v>0</v>
      </c>
      <c r="BE195" s="462">
        <f>IF(AT195&lt;&gt;0,SSHI*W195,0)</f>
        <v>0</v>
      </c>
      <c r="BF195" s="462">
        <f>IF(AND(AT195&lt;&gt;0,AN195&lt;&gt;"NE"),VLOOKUP(AN195,Retirement_Rates,3,FALSE)*W195,0)</f>
        <v>0</v>
      </c>
      <c r="BG195" s="462">
        <f>IF(AND(AT195&lt;&gt;0,AJ195&lt;&gt;"PF"),Life*W195,0)</f>
        <v>0</v>
      </c>
      <c r="BH195" s="462">
        <f>IF(AND(AT195&lt;&gt;0,AM195="Y"),UI*W195,0)</f>
        <v>0</v>
      </c>
      <c r="BI195" s="462">
        <f>IF(AND(AT195&lt;&gt;0,N195&lt;&gt;"NR"),DHR*W195,0)</f>
        <v>0</v>
      </c>
      <c r="BJ195" s="462">
        <f>IF(AT195&lt;&gt;0,WC*W195,0)</f>
        <v>0</v>
      </c>
      <c r="BK195" s="462">
        <f>IF(OR(AND(AT195&lt;&gt;0,AJ195&lt;&gt;"PF",AN195&lt;&gt;"NE",AG195&lt;&gt;"A"),AND(AL195="E",OR(AT195=1,AT195=3))),Sick*W195,0)</f>
        <v>0</v>
      </c>
      <c r="BL195" s="462">
        <f t="shared" ref="BL195:BL258" si="56">IF(AT195=1,SUM(BD195:BK195),0)</f>
        <v>0</v>
      </c>
      <c r="BM195" s="462">
        <f t="shared" ref="BM195:BM258" si="57">IF(AT195=3,SUM(BD195:BK195),0)</f>
        <v>0</v>
      </c>
      <c r="BN195" s="462">
        <f>IF(AND(AT195=1,AK195="E",AU195&gt;=0.75,AW195=1),HealthBY,IF(AND(AT195=1,AK195="E",AU195&gt;=0.75),HealthBY*P195,IF(AND(AT195=1,AK195="E",AU195&gt;=0.5,AW195=1),PTHealthBY,IF(AND(AT195=1,AK195="E",AU195&gt;=0.5),PTHealthBY*P195,0))))</f>
        <v>0</v>
      </c>
      <c r="BO195" s="462">
        <f>IF(AND(AT195=3,AK195="E",AV195&gt;=0.75,AW195=1),HealthBY,IF(AND(AT195=3,AK195="E",AV195&gt;=0.75),HealthBY*P195,IF(AND(AT195=3,AK195="E",AV195&gt;=0.5,AW195=1),PTHealthBY,IF(AND(AT195=3,AK195="E",AV195&gt;=0.5),PTHealthBY*P195,0))))</f>
        <v>0</v>
      </c>
      <c r="BP195" s="462">
        <f>IF(AND(AT195&lt;&gt;0,(AX195+BA195)&gt;=MAXSSDIBY),SSDIBY*MAXSSDIBY*P195,IF(AT195&lt;&gt;0,SSDIBY*W195,0))</f>
        <v>0</v>
      </c>
      <c r="BQ195" s="462">
        <f>IF(AT195&lt;&gt;0,SSHIBY*W195,0)</f>
        <v>0</v>
      </c>
      <c r="BR195" s="462">
        <f>IF(AND(AT195&lt;&gt;0,AN195&lt;&gt;"NE"),VLOOKUP(AN195,Retirement_Rates,4,FALSE)*W195,0)</f>
        <v>0</v>
      </c>
      <c r="BS195" s="462">
        <f>IF(AND(AT195&lt;&gt;0,AJ195&lt;&gt;"PF"),LifeBY*W195,0)</f>
        <v>0</v>
      </c>
      <c r="BT195" s="462">
        <f>IF(AND(AT195&lt;&gt;0,AM195="Y"),UIBY*W195,0)</f>
        <v>0</v>
      </c>
      <c r="BU195" s="462">
        <f>IF(AND(AT195&lt;&gt;0,N195&lt;&gt;"NR"),DHRBY*W195,0)</f>
        <v>0</v>
      </c>
      <c r="BV195" s="462">
        <f>IF(AT195&lt;&gt;0,WCBY*W195,0)</f>
        <v>0</v>
      </c>
      <c r="BW195" s="462">
        <f>IF(OR(AND(AT195&lt;&gt;0,AJ195&lt;&gt;"PF",AN195&lt;&gt;"NE",AG195&lt;&gt;"A"),AND(AL195="E",OR(AT195=1,AT195=3))),SickBY*W195,0)</f>
        <v>0</v>
      </c>
      <c r="BX195" s="462">
        <f t="shared" ref="BX195:BX258" si="58">IF(AT195=1,SUM(BP195:BW195),0)</f>
        <v>0</v>
      </c>
      <c r="BY195" s="462">
        <f t="shared" ref="BY195:BY258" si="59">IF(AT195=3,SUM(BP195:BW195),0)</f>
        <v>0</v>
      </c>
      <c r="BZ195" s="462">
        <f t="shared" ref="BZ195:BZ258" si="60">IF(AT195=1,BN195-BB195,0)</f>
        <v>0</v>
      </c>
      <c r="CA195" s="462">
        <f t="shared" ref="CA195:CA258" si="61">IF(AT195=3,BO195-BC195,0)</f>
        <v>0</v>
      </c>
      <c r="CB195" s="462">
        <f t="shared" ref="CB195:CB258" si="62">BP195-BD195</f>
        <v>0</v>
      </c>
      <c r="CC195" s="462">
        <f>IF(AT195&lt;&gt;0,SSHICHG*Y195,0)</f>
        <v>0</v>
      </c>
      <c r="CD195" s="462">
        <f>IF(AND(AT195&lt;&gt;0,AN195&lt;&gt;"NE"),VLOOKUP(AN195,Retirement_Rates,5,FALSE)*Y195,0)</f>
        <v>0</v>
      </c>
      <c r="CE195" s="462">
        <f>IF(AND(AT195&lt;&gt;0,AJ195&lt;&gt;"PF"),LifeCHG*Y195,0)</f>
        <v>0</v>
      </c>
      <c r="CF195" s="462">
        <f>IF(AND(AT195&lt;&gt;0,AM195="Y"),UICHG*Y195,0)</f>
        <v>0</v>
      </c>
      <c r="CG195" s="462">
        <f>IF(AND(AT195&lt;&gt;0,N195&lt;&gt;"NR"),DHRCHG*Y195,0)</f>
        <v>0</v>
      </c>
      <c r="CH195" s="462">
        <f>IF(AT195&lt;&gt;0,WCCHG*Y195,0)</f>
        <v>0</v>
      </c>
      <c r="CI195" s="462">
        <f>IF(OR(AND(AT195&lt;&gt;0,AJ195&lt;&gt;"PF",AN195&lt;&gt;"NE",AG195&lt;&gt;"A"),AND(AL195="E",OR(AT195=1,AT195=3))),SickCHG*Y195,0)</f>
        <v>0</v>
      </c>
      <c r="CJ195" s="462">
        <f t="shared" ref="CJ195:CJ258" si="63">IF(AT195=1,SUM(CB195:CI195),0)</f>
        <v>0</v>
      </c>
      <c r="CK195" s="462" t="str">
        <f t="shared" ref="CK195:CK258" si="64">IF(AT195=3,SUM(CB195:CI195),"")</f>
        <v/>
      </c>
      <c r="CL195" s="462">
        <f t="shared" ref="CL195:CL258" si="65">IF(OR(N195="NG",AG195="D"),(T195+U195),"")</f>
        <v>77072.08</v>
      </c>
      <c r="CM195" s="462">
        <f t="shared" ref="CM195:CM258" si="66">IF(OR(N195="NG",AG195="D"),V195,"")</f>
        <v>11597.79</v>
      </c>
      <c r="CN195" s="462" t="str">
        <f t="shared" ref="CN195:CN258" si="67">E195 &amp; "-" &amp; F195</f>
        <v>0243-00</v>
      </c>
    </row>
    <row r="196" spans="1:92" ht="15" thickBot="1" x14ac:dyDescent="0.35">
      <c r="A196" s="376" t="s">
        <v>161</v>
      </c>
      <c r="B196" s="376" t="s">
        <v>162</v>
      </c>
      <c r="C196" s="376" t="s">
        <v>748</v>
      </c>
      <c r="D196" s="376" t="s">
        <v>621</v>
      </c>
      <c r="E196" s="376" t="s">
        <v>273</v>
      </c>
      <c r="F196" s="377" t="s">
        <v>166</v>
      </c>
      <c r="G196" s="376" t="s">
        <v>432</v>
      </c>
      <c r="H196" s="378"/>
      <c r="I196" s="378"/>
      <c r="J196" s="376" t="s">
        <v>168</v>
      </c>
      <c r="K196" s="376" t="s">
        <v>622</v>
      </c>
      <c r="L196" s="376" t="s">
        <v>215</v>
      </c>
      <c r="M196" s="376" t="s">
        <v>171</v>
      </c>
      <c r="N196" s="376" t="s">
        <v>172</v>
      </c>
      <c r="O196" s="379">
        <v>1</v>
      </c>
      <c r="P196" s="460">
        <v>1</v>
      </c>
      <c r="Q196" s="460">
        <v>1</v>
      </c>
      <c r="R196" s="380">
        <v>80</v>
      </c>
      <c r="S196" s="460">
        <v>1</v>
      </c>
      <c r="T196" s="380">
        <v>0</v>
      </c>
      <c r="U196" s="380">
        <v>0</v>
      </c>
      <c r="V196" s="380">
        <v>0</v>
      </c>
      <c r="W196" s="380">
        <v>71947.199999999997</v>
      </c>
      <c r="X196" s="380">
        <v>28771.23</v>
      </c>
      <c r="Y196" s="380">
        <v>71947.199999999997</v>
      </c>
      <c r="Z196" s="380">
        <v>28979.88</v>
      </c>
      <c r="AA196" s="376" t="s">
        <v>749</v>
      </c>
      <c r="AB196" s="376" t="s">
        <v>750</v>
      </c>
      <c r="AC196" s="376" t="s">
        <v>751</v>
      </c>
      <c r="AD196" s="376" t="s">
        <v>724</v>
      </c>
      <c r="AE196" s="376" t="s">
        <v>622</v>
      </c>
      <c r="AF196" s="376" t="s">
        <v>219</v>
      </c>
      <c r="AG196" s="376" t="s">
        <v>178</v>
      </c>
      <c r="AH196" s="381">
        <v>34.590000000000003</v>
      </c>
      <c r="AI196" s="379">
        <v>65706</v>
      </c>
      <c r="AJ196" s="376" t="s">
        <v>179</v>
      </c>
      <c r="AK196" s="376" t="s">
        <v>180</v>
      </c>
      <c r="AL196" s="376" t="s">
        <v>181</v>
      </c>
      <c r="AM196" s="376" t="s">
        <v>182</v>
      </c>
      <c r="AN196" s="376" t="s">
        <v>68</v>
      </c>
      <c r="AO196" s="379">
        <v>80</v>
      </c>
      <c r="AP196" s="460">
        <v>1</v>
      </c>
      <c r="AQ196" s="460">
        <v>1</v>
      </c>
      <c r="AR196" s="458" t="s">
        <v>183</v>
      </c>
      <c r="AS196" s="462">
        <f t="shared" si="51"/>
        <v>1</v>
      </c>
      <c r="AT196">
        <f t="shared" si="52"/>
        <v>1</v>
      </c>
      <c r="AU196" s="462">
        <f>IF(AT196=0,"",IF(AND(AT196=1,M196="F",SUMIF(C2:C391,C196,AS2:AS391)&lt;=1),SUMIF(C2:C391,C196,AS2:AS391),IF(AND(AT196=1,M196="F",SUMIF(C2:C391,C196,AS2:AS391)&gt;1),1,"")))</f>
        <v>1</v>
      </c>
      <c r="AV196" s="462" t="str">
        <f>IF(AT196=0,"",IF(AND(AT196=3,M196="F",SUMIF(C2:C391,C196,AS2:AS391)&lt;=1),SUMIF(C2:C391,C196,AS2:AS391),IF(AND(AT196=3,M196="F",SUMIF(C2:C391,C196,AS2:AS391)&gt;1),1,"")))</f>
        <v/>
      </c>
      <c r="AW196" s="462">
        <f>SUMIF(C2:C391,C196,O2:O391)</f>
        <v>1</v>
      </c>
      <c r="AX196" s="462">
        <f>IF(AND(M196="F",AS196&lt;&gt;0),SUMIF(C2:C391,C196,W2:W391),0)</f>
        <v>71947.199999999997</v>
      </c>
      <c r="AY196" s="462">
        <f t="shared" si="53"/>
        <v>71947.199999999997</v>
      </c>
      <c r="AZ196" s="462" t="str">
        <f t="shared" si="54"/>
        <v/>
      </c>
      <c r="BA196" s="462">
        <f t="shared" si="55"/>
        <v>0</v>
      </c>
      <c r="BB196" s="462">
        <f>IF(AND(AT196=1,AK196="E",AU196&gt;=0.75,AW196=1),Health,IF(AND(AT196=1,AK196="E",AU196&gt;=0.75),Health*P196,IF(AND(AT196=1,AK196="E",AU196&gt;=0.5,AW196=1),PTHealth,IF(AND(AT196=1,AK196="E",AU196&gt;=0.5),PTHealth*P196,0))))</f>
        <v>11650</v>
      </c>
      <c r="BC196" s="462">
        <f>IF(AND(AT196=3,AK196="E",AV196&gt;=0.75,AW196=1),Health,IF(AND(AT196=3,AK196="E",AV196&gt;=0.75),Health*P196,IF(AND(AT196=3,AK196="E",AV196&gt;=0.5,AW196=1),PTHealth,IF(AND(AT196=3,AK196="E",AV196&gt;=0.5),PTHealth*P196,0))))</f>
        <v>0</v>
      </c>
      <c r="BD196" s="462">
        <f>IF(AND(AT196&lt;&gt;0,AX196&gt;=MAXSSDI),SSDI*MAXSSDI*P196,IF(AT196&lt;&gt;0,SSDI*W196,0))</f>
        <v>4460.7263999999996</v>
      </c>
      <c r="BE196" s="462">
        <f>IF(AT196&lt;&gt;0,SSHI*W196,0)</f>
        <v>1043.2344000000001</v>
      </c>
      <c r="BF196" s="462">
        <f>IF(AND(AT196&lt;&gt;0,AN196&lt;&gt;"NE"),VLOOKUP(AN196,Retirement_Rates,3,FALSE)*W196,0)</f>
        <v>8590.49568</v>
      </c>
      <c r="BG196" s="462">
        <f>IF(AND(AT196&lt;&gt;0,AJ196&lt;&gt;"PF"),Life*W196,0)</f>
        <v>518.73931200000004</v>
      </c>
      <c r="BH196" s="462">
        <f>IF(AND(AT196&lt;&gt;0,AM196="Y"),UI*W196,0)</f>
        <v>352.54127999999997</v>
      </c>
      <c r="BI196" s="462">
        <f>IF(AND(AT196&lt;&gt;0,N196&lt;&gt;"NR"),DHR*W196,0)</f>
        <v>220.15843199999998</v>
      </c>
      <c r="BJ196" s="462">
        <f>IF(AT196&lt;&gt;0,WC*W196,0)</f>
        <v>1935.37968</v>
      </c>
      <c r="BK196" s="462">
        <f>IF(OR(AND(AT196&lt;&gt;0,AJ196&lt;&gt;"PF",AN196&lt;&gt;"NE",AG196&lt;&gt;"A"),AND(AL196="E",OR(AT196=1,AT196=3))),Sick*W196,0)</f>
        <v>0</v>
      </c>
      <c r="BL196" s="462">
        <f t="shared" si="56"/>
        <v>17121.275183999998</v>
      </c>
      <c r="BM196" s="462">
        <f t="shared" si="57"/>
        <v>0</v>
      </c>
      <c r="BN196" s="462">
        <f>IF(AND(AT196=1,AK196="E",AU196&gt;=0.75,AW196=1),HealthBY,IF(AND(AT196=1,AK196="E",AU196&gt;=0.75),HealthBY*P196,IF(AND(AT196=1,AK196="E",AU196&gt;=0.5,AW196=1),PTHealthBY,IF(AND(AT196=1,AK196="E",AU196&gt;=0.5),PTHealthBY*P196,0))))</f>
        <v>11650</v>
      </c>
      <c r="BO196" s="462">
        <f>IF(AND(AT196=3,AK196="E",AV196&gt;=0.75,AW196=1),HealthBY,IF(AND(AT196=3,AK196="E",AV196&gt;=0.75),HealthBY*P196,IF(AND(AT196=3,AK196="E",AV196&gt;=0.5,AW196=1),PTHealthBY,IF(AND(AT196=3,AK196="E",AV196&gt;=0.5),PTHealthBY*P196,0))))</f>
        <v>0</v>
      </c>
      <c r="BP196" s="462">
        <f>IF(AND(AT196&lt;&gt;0,(AX196+BA196)&gt;=MAXSSDIBY),SSDIBY*MAXSSDIBY*P196,IF(AT196&lt;&gt;0,SSDIBY*W196,0))</f>
        <v>4460.7263999999996</v>
      </c>
      <c r="BQ196" s="462">
        <f>IF(AT196&lt;&gt;0,SSHIBY*W196,0)</f>
        <v>1043.2344000000001</v>
      </c>
      <c r="BR196" s="462">
        <f>IF(AND(AT196&lt;&gt;0,AN196&lt;&gt;"NE"),VLOOKUP(AN196,Retirement_Rates,4,FALSE)*W196,0)</f>
        <v>8590.49568</v>
      </c>
      <c r="BS196" s="462">
        <f>IF(AND(AT196&lt;&gt;0,AJ196&lt;&gt;"PF"),LifeBY*W196,0)</f>
        <v>518.73931200000004</v>
      </c>
      <c r="BT196" s="462">
        <f>IF(AND(AT196&lt;&gt;0,AM196="Y"),UIBY*W196,0)</f>
        <v>0</v>
      </c>
      <c r="BU196" s="462">
        <f>IF(AND(AT196&lt;&gt;0,N196&lt;&gt;"NR"),DHRBY*W196,0)</f>
        <v>220.15843199999998</v>
      </c>
      <c r="BV196" s="462">
        <f>IF(AT196&lt;&gt;0,WCBY*W196,0)</f>
        <v>2496.5678400000002</v>
      </c>
      <c r="BW196" s="462">
        <f>IF(OR(AND(AT196&lt;&gt;0,AJ196&lt;&gt;"PF",AN196&lt;&gt;"NE",AG196&lt;&gt;"A"),AND(AL196="E",OR(AT196=1,AT196=3))),SickBY*W196,0)</f>
        <v>0</v>
      </c>
      <c r="BX196" s="462">
        <f t="shared" si="58"/>
        <v>17329.922064000002</v>
      </c>
      <c r="BY196" s="462">
        <f t="shared" si="59"/>
        <v>0</v>
      </c>
      <c r="BZ196" s="462">
        <f t="shared" si="60"/>
        <v>0</v>
      </c>
      <c r="CA196" s="462">
        <f t="shared" si="61"/>
        <v>0</v>
      </c>
      <c r="CB196" s="462">
        <f t="shared" si="62"/>
        <v>0</v>
      </c>
      <c r="CC196" s="462">
        <f>IF(AT196&lt;&gt;0,SSHICHG*Y196,0)</f>
        <v>0</v>
      </c>
      <c r="CD196" s="462">
        <f>IF(AND(AT196&lt;&gt;0,AN196&lt;&gt;"NE"),VLOOKUP(AN196,Retirement_Rates,5,FALSE)*Y196,0)</f>
        <v>0</v>
      </c>
      <c r="CE196" s="462">
        <f>IF(AND(AT196&lt;&gt;0,AJ196&lt;&gt;"PF"),LifeCHG*Y196,0)</f>
        <v>0</v>
      </c>
      <c r="CF196" s="462">
        <f>IF(AND(AT196&lt;&gt;0,AM196="Y"),UICHG*Y196,0)</f>
        <v>-352.54127999999997</v>
      </c>
      <c r="CG196" s="462">
        <f>IF(AND(AT196&lt;&gt;0,N196&lt;&gt;"NR"),DHRCHG*Y196,0)</f>
        <v>0</v>
      </c>
      <c r="CH196" s="462">
        <f>IF(AT196&lt;&gt;0,WCCHG*Y196,0)</f>
        <v>561.18816000000004</v>
      </c>
      <c r="CI196" s="462">
        <f>IF(OR(AND(AT196&lt;&gt;0,AJ196&lt;&gt;"PF",AN196&lt;&gt;"NE",AG196&lt;&gt;"A"),AND(AL196="E",OR(AT196=1,AT196=3))),SickCHG*Y196,0)</f>
        <v>0</v>
      </c>
      <c r="CJ196" s="462">
        <f t="shared" si="63"/>
        <v>208.64688000000007</v>
      </c>
      <c r="CK196" s="462" t="str">
        <f t="shared" si="64"/>
        <v/>
      </c>
      <c r="CL196" s="462" t="str">
        <f t="shared" si="65"/>
        <v/>
      </c>
      <c r="CM196" s="462" t="str">
        <f t="shared" si="66"/>
        <v/>
      </c>
      <c r="CN196" s="462" t="str">
        <f t="shared" si="67"/>
        <v>0243-00</v>
      </c>
    </row>
    <row r="197" spans="1:92" ht="15" thickBot="1" x14ac:dyDescent="0.35">
      <c r="A197" s="376" t="s">
        <v>161</v>
      </c>
      <c r="B197" s="376" t="s">
        <v>162</v>
      </c>
      <c r="C197" s="376" t="s">
        <v>752</v>
      </c>
      <c r="D197" s="376" t="s">
        <v>431</v>
      </c>
      <c r="E197" s="376" t="s">
        <v>273</v>
      </c>
      <c r="F197" s="377" t="s">
        <v>166</v>
      </c>
      <c r="G197" s="376" t="s">
        <v>432</v>
      </c>
      <c r="H197" s="378"/>
      <c r="I197" s="378"/>
      <c r="J197" s="376" t="s">
        <v>168</v>
      </c>
      <c r="K197" s="376" t="s">
        <v>433</v>
      </c>
      <c r="L197" s="376" t="s">
        <v>195</v>
      </c>
      <c r="M197" s="376" t="s">
        <v>171</v>
      </c>
      <c r="N197" s="376" t="s">
        <v>172</v>
      </c>
      <c r="O197" s="379">
        <v>1</v>
      </c>
      <c r="P197" s="460">
        <v>1</v>
      </c>
      <c r="Q197" s="460">
        <v>1</v>
      </c>
      <c r="R197" s="380">
        <v>80</v>
      </c>
      <c r="S197" s="460">
        <v>1</v>
      </c>
      <c r="T197" s="380">
        <v>52987.68</v>
      </c>
      <c r="U197" s="380">
        <v>0</v>
      </c>
      <c r="V197" s="380">
        <v>23441.43</v>
      </c>
      <c r="W197" s="380">
        <v>52790.400000000001</v>
      </c>
      <c r="X197" s="380">
        <v>24212.5</v>
      </c>
      <c r="Y197" s="380">
        <v>52790.400000000001</v>
      </c>
      <c r="Z197" s="380">
        <v>24365.59</v>
      </c>
      <c r="AA197" s="376" t="s">
        <v>753</v>
      </c>
      <c r="AB197" s="376" t="s">
        <v>754</v>
      </c>
      <c r="AC197" s="376" t="s">
        <v>755</v>
      </c>
      <c r="AD197" s="376" t="s">
        <v>195</v>
      </c>
      <c r="AE197" s="376" t="s">
        <v>433</v>
      </c>
      <c r="AF197" s="376" t="s">
        <v>199</v>
      </c>
      <c r="AG197" s="376" t="s">
        <v>178</v>
      </c>
      <c r="AH197" s="381">
        <v>25.38</v>
      </c>
      <c r="AI197" s="381">
        <v>69020.899999999994</v>
      </c>
      <c r="AJ197" s="376" t="s">
        <v>179</v>
      </c>
      <c r="AK197" s="376" t="s">
        <v>180</v>
      </c>
      <c r="AL197" s="376" t="s">
        <v>181</v>
      </c>
      <c r="AM197" s="376" t="s">
        <v>182</v>
      </c>
      <c r="AN197" s="376" t="s">
        <v>68</v>
      </c>
      <c r="AO197" s="379">
        <v>80</v>
      </c>
      <c r="AP197" s="460">
        <v>1</v>
      </c>
      <c r="AQ197" s="460">
        <v>1</v>
      </c>
      <c r="AR197" s="458" t="s">
        <v>183</v>
      </c>
      <c r="AS197" s="462">
        <f t="shared" si="51"/>
        <v>1</v>
      </c>
      <c r="AT197">
        <f t="shared" si="52"/>
        <v>1</v>
      </c>
      <c r="AU197" s="462">
        <f>IF(AT197=0,"",IF(AND(AT197=1,M197="F",SUMIF(C2:C391,C197,AS2:AS391)&lt;=1),SUMIF(C2:C391,C197,AS2:AS391),IF(AND(AT197=1,M197="F",SUMIF(C2:C391,C197,AS2:AS391)&gt;1),1,"")))</f>
        <v>1</v>
      </c>
      <c r="AV197" s="462" t="str">
        <f>IF(AT197=0,"",IF(AND(AT197=3,M197="F",SUMIF(C2:C391,C197,AS2:AS391)&lt;=1),SUMIF(C2:C391,C197,AS2:AS391),IF(AND(AT197=3,M197="F",SUMIF(C2:C391,C197,AS2:AS391)&gt;1),1,"")))</f>
        <v/>
      </c>
      <c r="AW197" s="462">
        <f>SUMIF(C2:C391,C197,O2:O391)</f>
        <v>1</v>
      </c>
      <c r="AX197" s="462">
        <f>IF(AND(M197="F",AS197&lt;&gt;0),SUMIF(C2:C391,C197,W2:W391),0)</f>
        <v>52790.400000000001</v>
      </c>
      <c r="AY197" s="462">
        <f t="shared" si="53"/>
        <v>52790.400000000001</v>
      </c>
      <c r="AZ197" s="462" t="str">
        <f t="shared" si="54"/>
        <v/>
      </c>
      <c r="BA197" s="462">
        <f t="shared" si="55"/>
        <v>0</v>
      </c>
      <c r="BB197" s="462">
        <f>IF(AND(AT197=1,AK197="E",AU197&gt;=0.75,AW197=1),Health,IF(AND(AT197=1,AK197="E",AU197&gt;=0.75),Health*P197,IF(AND(AT197=1,AK197="E",AU197&gt;=0.5,AW197=1),PTHealth,IF(AND(AT197=1,AK197="E",AU197&gt;=0.5),PTHealth*P197,0))))</f>
        <v>11650</v>
      </c>
      <c r="BC197" s="462">
        <f>IF(AND(AT197=3,AK197="E",AV197&gt;=0.75,AW197=1),Health,IF(AND(AT197=3,AK197="E",AV197&gt;=0.75),Health*P197,IF(AND(AT197=3,AK197="E",AV197&gt;=0.5,AW197=1),PTHealth,IF(AND(AT197=3,AK197="E",AV197&gt;=0.5),PTHealth*P197,0))))</f>
        <v>0</v>
      </c>
      <c r="BD197" s="462">
        <f>IF(AND(AT197&lt;&gt;0,AX197&gt;=MAXSSDI),SSDI*MAXSSDI*P197,IF(AT197&lt;&gt;0,SSDI*W197,0))</f>
        <v>3273.0048000000002</v>
      </c>
      <c r="BE197" s="462">
        <f>IF(AT197&lt;&gt;0,SSHI*W197,0)</f>
        <v>765.46080000000006</v>
      </c>
      <c r="BF197" s="462">
        <f>IF(AND(AT197&lt;&gt;0,AN197&lt;&gt;"NE"),VLOOKUP(AN197,Retirement_Rates,3,FALSE)*W197,0)</f>
        <v>6303.1737600000006</v>
      </c>
      <c r="BG197" s="462">
        <f>IF(AND(AT197&lt;&gt;0,AJ197&lt;&gt;"PF"),Life*W197,0)</f>
        <v>380.61878400000001</v>
      </c>
      <c r="BH197" s="462">
        <f>IF(AND(AT197&lt;&gt;0,AM197="Y"),UI*W197,0)</f>
        <v>258.67295999999999</v>
      </c>
      <c r="BI197" s="462">
        <f>IF(AND(AT197&lt;&gt;0,N197&lt;&gt;"NR"),DHR*W197,0)</f>
        <v>161.538624</v>
      </c>
      <c r="BJ197" s="462">
        <f>IF(AT197&lt;&gt;0,WC*W197,0)</f>
        <v>1420.06176</v>
      </c>
      <c r="BK197" s="462">
        <f>IF(OR(AND(AT197&lt;&gt;0,AJ197&lt;&gt;"PF",AN197&lt;&gt;"NE",AG197&lt;&gt;"A"),AND(AL197="E",OR(AT197=1,AT197=3))),Sick*W197,0)</f>
        <v>0</v>
      </c>
      <c r="BL197" s="462">
        <f t="shared" si="56"/>
        <v>12562.531488000002</v>
      </c>
      <c r="BM197" s="462">
        <f t="shared" si="57"/>
        <v>0</v>
      </c>
      <c r="BN197" s="462">
        <f>IF(AND(AT197=1,AK197="E",AU197&gt;=0.75,AW197=1),HealthBY,IF(AND(AT197=1,AK197="E",AU197&gt;=0.75),HealthBY*P197,IF(AND(AT197=1,AK197="E",AU197&gt;=0.5,AW197=1),PTHealthBY,IF(AND(AT197=1,AK197="E",AU197&gt;=0.5),PTHealthBY*P197,0))))</f>
        <v>11650</v>
      </c>
      <c r="BO197" s="462">
        <f>IF(AND(AT197=3,AK197="E",AV197&gt;=0.75,AW197=1),HealthBY,IF(AND(AT197=3,AK197="E",AV197&gt;=0.75),HealthBY*P197,IF(AND(AT197=3,AK197="E",AV197&gt;=0.5,AW197=1),PTHealthBY,IF(AND(AT197=3,AK197="E",AV197&gt;=0.5),PTHealthBY*P197,0))))</f>
        <v>0</v>
      </c>
      <c r="BP197" s="462">
        <f>IF(AND(AT197&lt;&gt;0,(AX197+BA197)&gt;=MAXSSDIBY),SSDIBY*MAXSSDIBY*P197,IF(AT197&lt;&gt;0,SSDIBY*W197,0))</f>
        <v>3273.0048000000002</v>
      </c>
      <c r="BQ197" s="462">
        <f>IF(AT197&lt;&gt;0,SSHIBY*W197,0)</f>
        <v>765.46080000000006</v>
      </c>
      <c r="BR197" s="462">
        <f>IF(AND(AT197&lt;&gt;0,AN197&lt;&gt;"NE"),VLOOKUP(AN197,Retirement_Rates,4,FALSE)*W197,0)</f>
        <v>6303.1737600000006</v>
      </c>
      <c r="BS197" s="462">
        <f>IF(AND(AT197&lt;&gt;0,AJ197&lt;&gt;"PF"),LifeBY*W197,0)</f>
        <v>380.61878400000001</v>
      </c>
      <c r="BT197" s="462">
        <f>IF(AND(AT197&lt;&gt;0,AM197="Y"),UIBY*W197,0)</f>
        <v>0</v>
      </c>
      <c r="BU197" s="462">
        <f>IF(AND(AT197&lt;&gt;0,N197&lt;&gt;"NR"),DHRBY*W197,0)</f>
        <v>161.538624</v>
      </c>
      <c r="BV197" s="462">
        <f>IF(AT197&lt;&gt;0,WCBY*W197,0)</f>
        <v>1831.8268800000001</v>
      </c>
      <c r="BW197" s="462">
        <f>IF(OR(AND(AT197&lt;&gt;0,AJ197&lt;&gt;"PF",AN197&lt;&gt;"NE",AG197&lt;&gt;"A"),AND(AL197="E",OR(AT197=1,AT197=3))),SickBY*W197,0)</f>
        <v>0</v>
      </c>
      <c r="BX197" s="462">
        <f t="shared" si="58"/>
        <v>12715.623648000003</v>
      </c>
      <c r="BY197" s="462">
        <f t="shared" si="59"/>
        <v>0</v>
      </c>
      <c r="BZ197" s="462">
        <f t="shared" si="60"/>
        <v>0</v>
      </c>
      <c r="CA197" s="462">
        <f t="shared" si="61"/>
        <v>0</v>
      </c>
      <c r="CB197" s="462">
        <f t="shared" si="62"/>
        <v>0</v>
      </c>
      <c r="CC197" s="462">
        <f>IF(AT197&lt;&gt;0,SSHICHG*Y197,0)</f>
        <v>0</v>
      </c>
      <c r="CD197" s="462">
        <f>IF(AND(AT197&lt;&gt;0,AN197&lt;&gt;"NE"),VLOOKUP(AN197,Retirement_Rates,5,FALSE)*Y197,0)</f>
        <v>0</v>
      </c>
      <c r="CE197" s="462">
        <f>IF(AND(AT197&lt;&gt;0,AJ197&lt;&gt;"PF"),LifeCHG*Y197,0)</f>
        <v>0</v>
      </c>
      <c r="CF197" s="462">
        <f>IF(AND(AT197&lt;&gt;0,AM197="Y"),UICHG*Y197,0)</f>
        <v>-258.67295999999999</v>
      </c>
      <c r="CG197" s="462">
        <f>IF(AND(AT197&lt;&gt;0,N197&lt;&gt;"NR"),DHRCHG*Y197,0)</f>
        <v>0</v>
      </c>
      <c r="CH197" s="462">
        <f>IF(AT197&lt;&gt;0,WCCHG*Y197,0)</f>
        <v>411.76512000000008</v>
      </c>
      <c r="CI197" s="462">
        <f>IF(OR(AND(AT197&lt;&gt;0,AJ197&lt;&gt;"PF",AN197&lt;&gt;"NE",AG197&lt;&gt;"A"),AND(AL197="E",OR(AT197=1,AT197=3))),SickCHG*Y197,0)</f>
        <v>0</v>
      </c>
      <c r="CJ197" s="462">
        <f t="shared" si="63"/>
        <v>153.09216000000009</v>
      </c>
      <c r="CK197" s="462" t="str">
        <f t="shared" si="64"/>
        <v/>
      </c>
      <c r="CL197" s="462" t="str">
        <f t="shared" si="65"/>
        <v/>
      </c>
      <c r="CM197" s="462" t="str">
        <f t="shared" si="66"/>
        <v/>
      </c>
      <c r="CN197" s="462" t="str">
        <f t="shared" si="67"/>
        <v>0243-00</v>
      </c>
    </row>
    <row r="198" spans="1:92" ht="15" thickBot="1" x14ac:dyDescent="0.35">
      <c r="A198" s="376" t="s">
        <v>161</v>
      </c>
      <c r="B198" s="376" t="s">
        <v>162</v>
      </c>
      <c r="C198" s="376" t="s">
        <v>756</v>
      </c>
      <c r="D198" s="376" t="s">
        <v>185</v>
      </c>
      <c r="E198" s="376" t="s">
        <v>273</v>
      </c>
      <c r="F198" s="377" t="s">
        <v>166</v>
      </c>
      <c r="G198" s="376" t="s">
        <v>432</v>
      </c>
      <c r="H198" s="378"/>
      <c r="I198" s="378"/>
      <c r="J198" s="376" t="s">
        <v>168</v>
      </c>
      <c r="K198" s="376" t="s">
        <v>186</v>
      </c>
      <c r="L198" s="376" t="s">
        <v>178</v>
      </c>
      <c r="M198" s="376" t="s">
        <v>171</v>
      </c>
      <c r="N198" s="376" t="s">
        <v>172</v>
      </c>
      <c r="O198" s="379">
        <v>1</v>
      </c>
      <c r="P198" s="460">
        <v>1</v>
      </c>
      <c r="Q198" s="460">
        <v>1</v>
      </c>
      <c r="R198" s="380">
        <v>80</v>
      </c>
      <c r="S198" s="460">
        <v>1</v>
      </c>
      <c r="T198" s="380">
        <v>28452.68</v>
      </c>
      <c r="U198" s="380">
        <v>0</v>
      </c>
      <c r="V198" s="380">
        <v>18628.240000000002</v>
      </c>
      <c r="W198" s="380">
        <v>31928</v>
      </c>
      <c r="X198" s="380">
        <v>19247.87</v>
      </c>
      <c r="Y198" s="380">
        <v>31928</v>
      </c>
      <c r="Z198" s="380">
        <v>19340.47</v>
      </c>
      <c r="AA198" s="376" t="s">
        <v>757</v>
      </c>
      <c r="AB198" s="376" t="s">
        <v>758</v>
      </c>
      <c r="AC198" s="376" t="s">
        <v>759</v>
      </c>
      <c r="AD198" s="376" t="s">
        <v>215</v>
      </c>
      <c r="AE198" s="376" t="s">
        <v>186</v>
      </c>
      <c r="AF198" s="376" t="s">
        <v>190</v>
      </c>
      <c r="AG198" s="376" t="s">
        <v>178</v>
      </c>
      <c r="AH198" s="381">
        <v>15.35</v>
      </c>
      <c r="AI198" s="381">
        <v>9851.7000000000007</v>
      </c>
      <c r="AJ198" s="376" t="s">
        <v>179</v>
      </c>
      <c r="AK198" s="376" t="s">
        <v>180</v>
      </c>
      <c r="AL198" s="376" t="s">
        <v>181</v>
      </c>
      <c r="AM198" s="376" t="s">
        <v>182</v>
      </c>
      <c r="AN198" s="376" t="s">
        <v>68</v>
      </c>
      <c r="AO198" s="379">
        <v>80</v>
      </c>
      <c r="AP198" s="460">
        <v>1</v>
      </c>
      <c r="AQ198" s="460">
        <v>1</v>
      </c>
      <c r="AR198" s="458" t="s">
        <v>183</v>
      </c>
      <c r="AS198" s="462">
        <f t="shared" si="51"/>
        <v>1</v>
      </c>
      <c r="AT198">
        <f t="shared" si="52"/>
        <v>1</v>
      </c>
      <c r="AU198" s="462">
        <f>IF(AT198=0,"",IF(AND(AT198=1,M198="F",SUMIF(C2:C391,C198,AS2:AS391)&lt;=1),SUMIF(C2:C391,C198,AS2:AS391),IF(AND(AT198=1,M198="F",SUMIF(C2:C391,C198,AS2:AS391)&gt;1),1,"")))</f>
        <v>1</v>
      </c>
      <c r="AV198" s="462" t="str">
        <f>IF(AT198=0,"",IF(AND(AT198=3,M198="F",SUMIF(C2:C391,C198,AS2:AS391)&lt;=1),SUMIF(C2:C391,C198,AS2:AS391),IF(AND(AT198=3,M198="F",SUMIF(C2:C391,C198,AS2:AS391)&gt;1),1,"")))</f>
        <v/>
      </c>
      <c r="AW198" s="462">
        <f>SUMIF(C2:C391,C198,O2:O391)</f>
        <v>1</v>
      </c>
      <c r="AX198" s="462">
        <f>IF(AND(M198="F",AS198&lt;&gt;0),SUMIF(C2:C391,C198,W2:W391),0)</f>
        <v>31928</v>
      </c>
      <c r="AY198" s="462">
        <f t="shared" si="53"/>
        <v>31928</v>
      </c>
      <c r="AZ198" s="462" t="str">
        <f t="shared" si="54"/>
        <v/>
      </c>
      <c r="BA198" s="462">
        <f t="shared" si="55"/>
        <v>0</v>
      </c>
      <c r="BB198" s="462">
        <f>IF(AND(AT198=1,AK198="E",AU198&gt;=0.75,AW198=1),Health,IF(AND(AT198=1,AK198="E",AU198&gt;=0.75),Health*P198,IF(AND(AT198=1,AK198="E",AU198&gt;=0.5,AW198=1),PTHealth,IF(AND(AT198=1,AK198="E",AU198&gt;=0.5),PTHealth*P198,0))))</f>
        <v>11650</v>
      </c>
      <c r="BC198" s="462">
        <f>IF(AND(AT198=3,AK198="E",AV198&gt;=0.75,AW198=1),Health,IF(AND(AT198=3,AK198="E",AV198&gt;=0.75),Health*P198,IF(AND(AT198=3,AK198="E",AV198&gt;=0.5,AW198=1),PTHealth,IF(AND(AT198=3,AK198="E",AV198&gt;=0.5),PTHealth*P198,0))))</f>
        <v>0</v>
      </c>
      <c r="BD198" s="462">
        <f>IF(AND(AT198&lt;&gt;0,AX198&gt;=MAXSSDI),SSDI*MAXSSDI*P198,IF(AT198&lt;&gt;0,SSDI*W198,0))</f>
        <v>1979.5360000000001</v>
      </c>
      <c r="BE198" s="462">
        <f>IF(AT198&lt;&gt;0,SSHI*W198,0)</f>
        <v>462.95600000000002</v>
      </c>
      <c r="BF198" s="462">
        <f>IF(AND(AT198&lt;&gt;0,AN198&lt;&gt;"NE"),VLOOKUP(AN198,Retirement_Rates,3,FALSE)*W198,0)</f>
        <v>3812.2032000000004</v>
      </c>
      <c r="BG198" s="462">
        <f>IF(AND(AT198&lt;&gt;0,AJ198&lt;&gt;"PF"),Life*W198,0)</f>
        <v>230.20088000000001</v>
      </c>
      <c r="BH198" s="462">
        <f>IF(AND(AT198&lt;&gt;0,AM198="Y"),UI*W198,0)</f>
        <v>156.44719999999998</v>
      </c>
      <c r="BI198" s="462">
        <f>IF(AND(AT198&lt;&gt;0,N198&lt;&gt;"NR"),DHR*W198,0)</f>
        <v>97.699679999999987</v>
      </c>
      <c r="BJ198" s="462">
        <f>IF(AT198&lt;&gt;0,WC*W198,0)</f>
        <v>858.86320000000001</v>
      </c>
      <c r="BK198" s="462">
        <f>IF(OR(AND(AT198&lt;&gt;0,AJ198&lt;&gt;"PF",AN198&lt;&gt;"NE",AG198&lt;&gt;"A"),AND(AL198="E",OR(AT198=1,AT198=3))),Sick*W198,0)</f>
        <v>0</v>
      </c>
      <c r="BL198" s="462">
        <f t="shared" si="56"/>
        <v>7597.9061599999995</v>
      </c>
      <c r="BM198" s="462">
        <f t="shared" si="57"/>
        <v>0</v>
      </c>
      <c r="BN198" s="462">
        <f>IF(AND(AT198=1,AK198="E",AU198&gt;=0.75,AW198=1),HealthBY,IF(AND(AT198=1,AK198="E",AU198&gt;=0.75),HealthBY*P198,IF(AND(AT198=1,AK198="E",AU198&gt;=0.5,AW198=1),PTHealthBY,IF(AND(AT198=1,AK198="E",AU198&gt;=0.5),PTHealthBY*P198,0))))</f>
        <v>11650</v>
      </c>
      <c r="BO198" s="462">
        <f>IF(AND(AT198=3,AK198="E",AV198&gt;=0.75,AW198=1),HealthBY,IF(AND(AT198=3,AK198="E",AV198&gt;=0.75),HealthBY*P198,IF(AND(AT198=3,AK198="E",AV198&gt;=0.5,AW198=1),PTHealthBY,IF(AND(AT198=3,AK198="E",AV198&gt;=0.5),PTHealthBY*P198,0))))</f>
        <v>0</v>
      </c>
      <c r="BP198" s="462">
        <f>IF(AND(AT198&lt;&gt;0,(AX198+BA198)&gt;=MAXSSDIBY),SSDIBY*MAXSSDIBY*P198,IF(AT198&lt;&gt;0,SSDIBY*W198,0))</f>
        <v>1979.5360000000001</v>
      </c>
      <c r="BQ198" s="462">
        <f>IF(AT198&lt;&gt;0,SSHIBY*W198,0)</f>
        <v>462.95600000000002</v>
      </c>
      <c r="BR198" s="462">
        <f>IF(AND(AT198&lt;&gt;0,AN198&lt;&gt;"NE"),VLOOKUP(AN198,Retirement_Rates,4,FALSE)*W198,0)</f>
        <v>3812.2032000000004</v>
      </c>
      <c r="BS198" s="462">
        <f>IF(AND(AT198&lt;&gt;0,AJ198&lt;&gt;"PF"),LifeBY*W198,0)</f>
        <v>230.20088000000001</v>
      </c>
      <c r="BT198" s="462">
        <f>IF(AND(AT198&lt;&gt;0,AM198="Y"),UIBY*W198,0)</f>
        <v>0</v>
      </c>
      <c r="BU198" s="462">
        <f>IF(AND(AT198&lt;&gt;0,N198&lt;&gt;"NR"),DHRBY*W198,0)</f>
        <v>97.699679999999987</v>
      </c>
      <c r="BV198" s="462">
        <f>IF(AT198&lt;&gt;0,WCBY*W198,0)</f>
        <v>1107.9016000000001</v>
      </c>
      <c r="BW198" s="462">
        <f>IF(OR(AND(AT198&lt;&gt;0,AJ198&lt;&gt;"PF",AN198&lt;&gt;"NE",AG198&lt;&gt;"A"),AND(AL198="E",OR(AT198=1,AT198=3))),SickBY*W198,0)</f>
        <v>0</v>
      </c>
      <c r="BX198" s="462">
        <f t="shared" si="58"/>
        <v>7690.4973600000003</v>
      </c>
      <c r="BY198" s="462">
        <f t="shared" si="59"/>
        <v>0</v>
      </c>
      <c r="BZ198" s="462">
        <f t="shared" si="60"/>
        <v>0</v>
      </c>
      <c r="CA198" s="462">
        <f t="shared" si="61"/>
        <v>0</v>
      </c>
      <c r="CB198" s="462">
        <f t="shared" si="62"/>
        <v>0</v>
      </c>
      <c r="CC198" s="462">
        <f>IF(AT198&lt;&gt;0,SSHICHG*Y198,0)</f>
        <v>0</v>
      </c>
      <c r="CD198" s="462">
        <f>IF(AND(AT198&lt;&gt;0,AN198&lt;&gt;"NE"),VLOOKUP(AN198,Retirement_Rates,5,FALSE)*Y198,0)</f>
        <v>0</v>
      </c>
      <c r="CE198" s="462">
        <f>IF(AND(AT198&lt;&gt;0,AJ198&lt;&gt;"PF"),LifeCHG*Y198,0)</f>
        <v>0</v>
      </c>
      <c r="CF198" s="462">
        <f>IF(AND(AT198&lt;&gt;0,AM198="Y"),UICHG*Y198,0)</f>
        <v>-156.44719999999998</v>
      </c>
      <c r="CG198" s="462">
        <f>IF(AND(AT198&lt;&gt;0,N198&lt;&gt;"NR"),DHRCHG*Y198,0)</f>
        <v>0</v>
      </c>
      <c r="CH198" s="462">
        <f>IF(AT198&lt;&gt;0,WCCHG*Y198,0)</f>
        <v>249.03840000000005</v>
      </c>
      <c r="CI198" s="462">
        <f>IF(OR(AND(AT198&lt;&gt;0,AJ198&lt;&gt;"PF",AN198&lt;&gt;"NE",AG198&lt;&gt;"A"),AND(AL198="E",OR(AT198=1,AT198=3))),SickCHG*Y198,0)</f>
        <v>0</v>
      </c>
      <c r="CJ198" s="462">
        <f t="shared" si="63"/>
        <v>92.591200000000072</v>
      </c>
      <c r="CK198" s="462" t="str">
        <f t="shared" si="64"/>
        <v/>
      </c>
      <c r="CL198" s="462" t="str">
        <f t="shared" si="65"/>
        <v/>
      </c>
      <c r="CM198" s="462" t="str">
        <f t="shared" si="66"/>
        <v/>
      </c>
      <c r="CN198" s="462" t="str">
        <f t="shared" si="67"/>
        <v>0243-00</v>
      </c>
    </row>
    <row r="199" spans="1:92" ht="15" thickBot="1" x14ac:dyDescent="0.35">
      <c r="A199" s="376" t="s">
        <v>161</v>
      </c>
      <c r="B199" s="376" t="s">
        <v>162</v>
      </c>
      <c r="C199" s="376" t="s">
        <v>760</v>
      </c>
      <c r="D199" s="376" t="s">
        <v>405</v>
      </c>
      <c r="E199" s="376" t="s">
        <v>273</v>
      </c>
      <c r="F199" s="377" t="s">
        <v>166</v>
      </c>
      <c r="G199" s="376" t="s">
        <v>432</v>
      </c>
      <c r="H199" s="378"/>
      <c r="I199" s="378"/>
      <c r="J199" s="376" t="s">
        <v>168</v>
      </c>
      <c r="K199" s="376" t="s">
        <v>406</v>
      </c>
      <c r="L199" s="376" t="s">
        <v>316</v>
      </c>
      <c r="M199" s="376" t="s">
        <v>171</v>
      </c>
      <c r="N199" s="376" t="s">
        <v>172</v>
      </c>
      <c r="O199" s="379">
        <v>1</v>
      </c>
      <c r="P199" s="460">
        <v>1</v>
      </c>
      <c r="Q199" s="460">
        <v>1</v>
      </c>
      <c r="R199" s="380">
        <v>80</v>
      </c>
      <c r="S199" s="460">
        <v>1</v>
      </c>
      <c r="T199" s="380">
        <v>19678.080000000002</v>
      </c>
      <c r="U199" s="380">
        <v>0</v>
      </c>
      <c r="V199" s="380">
        <v>14101.41</v>
      </c>
      <c r="W199" s="380">
        <v>27040</v>
      </c>
      <c r="X199" s="380">
        <v>18084.68</v>
      </c>
      <c r="Y199" s="380">
        <v>27040</v>
      </c>
      <c r="Z199" s="380">
        <v>18163.099999999999</v>
      </c>
      <c r="AA199" s="376" t="s">
        <v>761</v>
      </c>
      <c r="AB199" s="376" t="s">
        <v>762</v>
      </c>
      <c r="AC199" s="376" t="s">
        <v>763</v>
      </c>
      <c r="AD199" s="376" t="s">
        <v>176</v>
      </c>
      <c r="AE199" s="376" t="s">
        <v>406</v>
      </c>
      <c r="AF199" s="376" t="s">
        <v>320</v>
      </c>
      <c r="AG199" s="376" t="s">
        <v>178</v>
      </c>
      <c r="AH199" s="379">
        <v>13</v>
      </c>
      <c r="AI199" s="381">
        <v>4196.7</v>
      </c>
      <c r="AJ199" s="376" t="s">
        <v>179</v>
      </c>
      <c r="AK199" s="376" t="s">
        <v>180</v>
      </c>
      <c r="AL199" s="376" t="s">
        <v>181</v>
      </c>
      <c r="AM199" s="376" t="s">
        <v>182</v>
      </c>
      <c r="AN199" s="376" t="s">
        <v>68</v>
      </c>
      <c r="AO199" s="379">
        <v>80</v>
      </c>
      <c r="AP199" s="460">
        <v>1</v>
      </c>
      <c r="AQ199" s="460">
        <v>1</v>
      </c>
      <c r="AR199" s="458" t="s">
        <v>183</v>
      </c>
      <c r="AS199" s="462">
        <f t="shared" si="51"/>
        <v>1</v>
      </c>
      <c r="AT199">
        <f t="shared" si="52"/>
        <v>1</v>
      </c>
      <c r="AU199" s="462">
        <f>IF(AT199=0,"",IF(AND(AT199=1,M199="F",SUMIF(C2:C391,C199,AS2:AS391)&lt;=1),SUMIF(C2:C391,C199,AS2:AS391),IF(AND(AT199=1,M199="F",SUMIF(C2:C391,C199,AS2:AS391)&gt;1),1,"")))</f>
        <v>1</v>
      </c>
      <c r="AV199" s="462" t="str">
        <f>IF(AT199=0,"",IF(AND(AT199=3,M199="F",SUMIF(C2:C391,C199,AS2:AS391)&lt;=1),SUMIF(C2:C391,C199,AS2:AS391),IF(AND(AT199=3,M199="F",SUMIF(C2:C391,C199,AS2:AS391)&gt;1),1,"")))</f>
        <v/>
      </c>
      <c r="AW199" s="462">
        <f>SUMIF(C2:C391,C199,O2:O391)</f>
        <v>1</v>
      </c>
      <c r="AX199" s="462">
        <f>IF(AND(M199="F",AS199&lt;&gt;0),SUMIF(C2:C391,C199,W2:W391),0)</f>
        <v>27040</v>
      </c>
      <c r="AY199" s="462">
        <f t="shared" si="53"/>
        <v>27040</v>
      </c>
      <c r="AZ199" s="462" t="str">
        <f t="shared" si="54"/>
        <v/>
      </c>
      <c r="BA199" s="462">
        <f t="shared" si="55"/>
        <v>0</v>
      </c>
      <c r="BB199" s="462">
        <f>IF(AND(AT199=1,AK199="E",AU199&gt;=0.75,AW199=1),Health,IF(AND(AT199=1,AK199="E",AU199&gt;=0.75),Health*P199,IF(AND(AT199=1,AK199="E",AU199&gt;=0.5,AW199=1),PTHealth,IF(AND(AT199=1,AK199="E",AU199&gt;=0.5),PTHealth*P199,0))))</f>
        <v>11650</v>
      </c>
      <c r="BC199" s="462">
        <f>IF(AND(AT199=3,AK199="E",AV199&gt;=0.75,AW199=1),Health,IF(AND(AT199=3,AK199="E",AV199&gt;=0.75),Health*P199,IF(AND(AT199=3,AK199="E",AV199&gt;=0.5,AW199=1),PTHealth,IF(AND(AT199=3,AK199="E",AV199&gt;=0.5),PTHealth*P199,0))))</f>
        <v>0</v>
      </c>
      <c r="BD199" s="462">
        <f>IF(AND(AT199&lt;&gt;0,AX199&gt;=MAXSSDI),SSDI*MAXSSDI*P199,IF(AT199&lt;&gt;0,SSDI*W199,0))</f>
        <v>1676.48</v>
      </c>
      <c r="BE199" s="462">
        <f>IF(AT199&lt;&gt;0,SSHI*W199,0)</f>
        <v>392.08000000000004</v>
      </c>
      <c r="BF199" s="462">
        <f>IF(AND(AT199&lt;&gt;0,AN199&lt;&gt;"NE"),VLOOKUP(AN199,Retirement_Rates,3,FALSE)*W199,0)</f>
        <v>3228.576</v>
      </c>
      <c r="BG199" s="462">
        <f>IF(AND(AT199&lt;&gt;0,AJ199&lt;&gt;"PF"),Life*W199,0)</f>
        <v>194.95840000000001</v>
      </c>
      <c r="BH199" s="462">
        <f>IF(AND(AT199&lt;&gt;0,AM199="Y"),UI*W199,0)</f>
        <v>132.49600000000001</v>
      </c>
      <c r="BI199" s="462">
        <f>IF(AND(AT199&lt;&gt;0,N199&lt;&gt;"NR"),DHR*W199,0)</f>
        <v>82.742399999999989</v>
      </c>
      <c r="BJ199" s="462">
        <f>IF(AT199&lt;&gt;0,WC*W199,0)</f>
        <v>727.37599999999998</v>
      </c>
      <c r="BK199" s="462">
        <f>IF(OR(AND(AT199&lt;&gt;0,AJ199&lt;&gt;"PF",AN199&lt;&gt;"NE",AG199&lt;&gt;"A"),AND(AL199="E",OR(AT199=1,AT199=3))),Sick*W199,0)</f>
        <v>0</v>
      </c>
      <c r="BL199" s="462">
        <f t="shared" si="56"/>
        <v>6434.7088000000012</v>
      </c>
      <c r="BM199" s="462">
        <f t="shared" si="57"/>
        <v>0</v>
      </c>
      <c r="BN199" s="462">
        <f>IF(AND(AT199=1,AK199="E",AU199&gt;=0.75,AW199=1),HealthBY,IF(AND(AT199=1,AK199="E",AU199&gt;=0.75),HealthBY*P199,IF(AND(AT199=1,AK199="E",AU199&gt;=0.5,AW199=1),PTHealthBY,IF(AND(AT199=1,AK199="E",AU199&gt;=0.5),PTHealthBY*P199,0))))</f>
        <v>11650</v>
      </c>
      <c r="BO199" s="462">
        <f>IF(AND(AT199=3,AK199="E",AV199&gt;=0.75,AW199=1),HealthBY,IF(AND(AT199=3,AK199="E",AV199&gt;=0.75),HealthBY*P199,IF(AND(AT199=3,AK199="E",AV199&gt;=0.5,AW199=1),PTHealthBY,IF(AND(AT199=3,AK199="E",AV199&gt;=0.5),PTHealthBY*P199,0))))</f>
        <v>0</v>
      </c>
      <c r="BP199" s="462">
        <f>IF(AND(AT199&lt;&gt;0,(AX199+BA199)&gt;=MAXSSDIBY),SSDIBY*MAXSSDIBY*P199,IF(AT199&lt;&gt;0,SSDIBY*W199,0))</f>
        <v>1676.48</v>
      </c>
      <c r="BQ199" s="462">
        <f>IF(AT199&lt;&gt;0,SSHIBY*W199,0)</f>
        <v>392.08000000000004</v>
      </c>
      <c r="BR199" s="462">
        <f>IF(AND(AT199&lt;&gt;0,AN199&lt;&gt;"NE"),VLOOKUP(AN199,Retirement_Rates,4,FALSE)*W199,0)</f>
        <v>3228.576</v>
      </c>
      <c r="BS199" s="462">
        <f>IF(AND(AT199&lt;&gt;0,AJ199&lt;&gt;"PF"),LifeBY*W199,0)</f>
        <v>194.95840000000001</v>
      </c>
      <c r="BT199" s="462">
        <f>IF(AND(AT199&lt;&gt;0,AM199="Y"),UIBY*W199,0)</f>
        <v>0</v>
      </c>
      <c r="BU199" s="462">
        <f>IF(AND(AT199&lt;&gt;0,N199&lt;&gt;"NR"),DHRBY*W199,0)</f>
        <v>82.742399999999989</v>
      </c>
      <c r="BV199" s="462">
        <f>IF(AT199&lt;&gt;0,WCBY*W199,0)</f>
        <v>938.28800000000001</v>
      </c>
      <c r="BW199" s="462">
        <f>IF(OR(AND(AT199&lt;&gt;0,AJ199&lt;&gt;"PF",AN199&lt;&gt;"NE",AG199&lt;&gt;"A"),AND(AL199="E",OR(AT199=1,AT199=3))),SickBY*W199,0)</f>
        <v>0</v>
      </c>
      <c r="BX199" s="462">
        <f t="shared" si="58"/>
        <v>6513.1248000000014</v>
      </c>
      <c r="BY199" s="462">
        <f t="shared" si="59"/>
        <v>0</v>
      </c>
      <c r="BZ199" s="462">
        <f t="shared" si="60"/>
        <v>0</v>
      </c>
      <c r="CA199" s="462">
        <f t="shared" si="61"/>
        <v>0</v>
      </c>
      <c r="CB199" s="462">
        <f t="shared" si="62"/>
        <v>0</v>
      </c>
      <c r="CC199" s="462">
        <f>IF(AT199&lt;&gt;0,SSHICHG*Y199,0)</f>
        <v>0</v>
      </c>
      <c r="CD199" s="462">
        <f>IF(AND(AT199&lt;&gt;0,AN199&lt;&gt;"NE"),VLOOKUP(AN199,Retirement_Rates,5,FALSE)*Y199,0)</f>
        <v>0</v>
      </c>
      <c r="CE199" s="462">
        <f>IF(AND(AT199&lt;&gt;0,AJ199&lt;&gt;"PF"),LifeCHG*Y199,0)</f>
        <v>0</v>
      </c>
      <c r="CF199" s="462">
        <f>IF(AND(AT199&lt;&gt;0,AM199="Y"),UICHG*Y199,0)</f>
        <v>-132.49600000000001</v>
      </c>
      <c r="CG199" s="462">
        <f>IF(AND(AT199&lt;&gt;0,N199&lt;&gt;"NR"),DHRCHG*Y199,0)</f>
        <v>0</v>
      </c>
      <c r="CH199" s="462">
        <f>IF(AT199&lt;&gt;0,WCCHG*Y199,0)</f>
        <v>210.91200000000003</v>
      </c>
      <c r="CI199" s="462">
        <f>IF(OR(AND(AT199&lt;&gt;0,AJ199&lt;&gt;"PF",AN199&lt;&gt;"NE",AG199&lt;&gt;"A"),AND(AL199="E",OR(AT199=1,AT199=3))),SickCHG*Y199,0)</f>
        <v>0</v>
      </c>
      <c r="CJ199" s="462">
        <f t="shared" si="63"/>
        <v>78.416000000000025</v>
      </c>
      <c r="CK199" s="462" t="str">
        <f t="shared" si="64"/>
        <v/>
      </c>
      <c r="CL199" s="462" t="str">
        <f t="shared" si="65"/>
        <v/>
      </c>
      <c r="CM199" s="462" t="str">
        <f t="shared" si="66"/>
        <v/>
      </c>
      <c r="CN199" s="462" t="str">
        <f t="shared" si="67"/>
        <v>0243-00</v>
      </c>
    </row>
    <row r="200" spans="1:92" ht="15" thickBot="1" x14ac:dyDescent="0.35">
      <c r="A200" s="376" t="s">
        <v>161</v>
      </c>
      <c r="B200" s="376" t="s">
        <v>162</v>
      </c>
      <c r="C200" s="376" t="s">
        <v>764</v>
      </c>
      <c r="D200" s="376" t="s">
        <v>431</v>
      </c>
      <c r="E200" s="376" t="s">
        <v>273</v>
      </c>
      <c r="F200" s="377" t="s">
        <v>166</v>
      </c>
      <c r="G200" s="376" t="s">
        <v>432</v>
      </c>
      <c r="H200" s="378"/>
      <c r="I200" s="378"/>
      <c r="J200" s="376" t="s">
        <v>193</v>
      </c>
      <c r="K200" s="376" t="s">
        <v>433</v>
      </c>
      <c r="L200" s="376" t="s">
        <v>195</v>
      </c>
      <c r="M200" s="376" t="s">
        <v>225</v>
      </c>
      <c r="N200" s="376" t="s">
        <v>172</v>
      </c>
      <c r="O200" s="379">
        <v>0</v>
      </c>
      <c r="P200" s="460">
        <v>0.6</v>
      </c>
      <c r="Q200" s="460">
        <v>0.6</v>
      </c>
      <c r="R200" s="380">
        <v>80</v>
      </c>
      <c r="S200" s="460">
        <v>0.6</v>
      </c>
      <c r="T200" s="380">
        <v>20141.169999999998</v>
      </c>
      <c r="U200" s="380">
        <v>0</v>
      </c>
      <c r="V200" s="380">
        <v>8470.7199999999993</v>
      </c>
      <c r="W200" s="380">
        <v>32086.080000000002</v>
      </c>
      <c r="X200" s="380">
        <v>14053.69</v>
      </c>
      <c r="Y200" s="380">
        <v>32086.080000000002</v>
      </c>
      <c r="Z200" s="380">
        <v>13893.27</v>
      </c>
      <c r="AA200" s="378"/>
      <c r="AB200" s="376" t="s">
        <v>45</v>
      </c>
      <c r="AC200" s="376" t="s">
        <v>45</v>
      </c>
      <c r="AD200" s="378"/>
      <c r="AE200" s="378"/>
      <c r="AF200" s="378"/>
      <c r="AG200" s="378"/>
      <c r="AH200" s="379">
        <v>0</v>
      </c>
      <c r="AI200" s="379">
        <v>0</v>
      </c>
      <c r="AJ200" s="378"/>
      <c r="AK200" s="378"/>
      <c r="AL200" s="376" t="s">
        <v>181</v>
      </c>
      <c r="AM200" s="378"/>
      <c r="AN200" s="378"/>
      <c r="AO200" s="379">
        <v>0</v>
      </c>
      <c r="AP200" s="460">
        <v>0</v>
      </c>
      <c r="AQ200" s="460">
        <v>0</v>
      </c>
      <c r="AR200" s="459"/>
      <c r="AS200" s="462">
        <f t="shared" si="51"/>
        <v>0</v>
      </c>
      <c r="AT200">
        <f t="shared" si="52"/>
        <v>0</v>
      </c>
      <c r="AU200" s="462" t="str">
        <f>IF(AT200=0,"",IF(AND(AT200=1,M200="F",SUMIF(C2:C391,C200,AS2:AS391)&lt;=1),SUMIF(C2:C391,C200,AS2:AS391),IF(AND(AT200=1,M200="F",SUMIF(C2:C391,C200,AS2:AS391)&gt;1),1,"")))</f>
        <v/>
      </c>
      <c r="AV200" s="462" t="str">
        <f>IF(AT200=0,"",IF(AND(AT200=3,M200="F",SUMIF(C2:C391,C200,AS2:AS391)&lt;=1),SUMIF(C2:C391,C200,AS2:AS391),IF(AND(AT200=3,M200="F",SUMIF(C2:C391,C200,AS2:AS391)&gt;1),1,"")))</f>
        <v/>
      </c>
      <c r="AW200" s="462">
        <f>SUMIF(C2:C391,C200,O2:O391)</f>
        <v>0</v>
      </c>
      <c r="AX200" s="462">
        <f>IF(AND(M200="F",AS200&lt;&gt;0),SUMIF(C2:C391,C200,W2:W391),0)</f>
        <v>0</v>
      </c>
      <c r="AY200" s="462" t="str">
        <f t="shared" si="53"/>
        <v/>
      </c>
      <c r="AZ200" s="462" t="str">
        <f t="shared" si="54"/>
        <v/>
      </c>
      <c r="BA200" s="462">
        <f t="shared" si="55"/>
        <v>0</v>
      </c>
      <c r="BB200" s="462">
        <f>IF(AND(AT200=1,AK200="E",AU200&gt;=0.75,AW200=1),Health,IF(AND(AT200=1,AK200="E",AU200&gt;=0.75),Health*P200,IF(AND(AT200=1,AK200="E",AU200&gt;=0.5,AW200=1),PTHealth,IF(AND(AT200=1,AK200="E",AU200&gt;=0.5),PTHealth*P200,0))))</f>
        <v>0</v>
      </c>
      <c r="BC200" s="462">
        <f>IF(AND(AT200=3,AK200="E",AV200&gt;=0.75,AW200=1),Health,IF(AND(AT200=3,AK200="E",AV200&gt;=0.75),Health*P200,IF(AND(AT200=3,AK200="E",AV200&gt;=0.5,AW200=1),PTHealth,IF(AND(AT200=3,AK200="E",AV200&gt;=0.5),PTHealth*P200,0))))</f>
        <v>0</v>
      </c>
      <c r="BD200" s="462">
        <f>IF(AND(AT200&lt;&gt;0,AX200&gt;=MAXSSDI),SSDI*MAXSSDI*P200,IF(AT200&lt;&gt;0,SSDI*W200,0))</f>
        <v>0</v>
      </c>
      <c r="BE200" s="462">
        <f>IF(AT200&lt;&gt;0,SSHI*W200,0)</f>
        <v>0</v>
      </c>
      <c r="BF200" s="462">
        <f>IF(AND(AT200&lt;&gt;0,AN200&lt;&gt;"NE"),VLOOKUP(AN200,Retirement_Rates,3,FALSE)*W200,0)</f>
        <v>0</v>
      </c>
      <c r="BG200" s="462">
        <f>IF(AND(AT200&lt;&gt;0,AJ200&lt;&gt;"PF"),Life*W200,0)</f>
        <v>0</v>
      </c>
      <c r="BH200" s="462">
        <f>IF(AND(AT200&lt;&gt;0,AM200="Y"),UI*W200,0)</f>
        <v>0</v>
      </c>
      <c r="BI200" s="462">
        <f>IF(AND(AT200&lt;&gt;0,N200&lt;&gt;"NR"),DHR*W200,0)</f>
        <v>0</v>
      </c>
      <c r="BJ200" s="462">
        <f>IF(AT200&lt;&gt;0,WC*W200,0)</f>
        <v>0</v>
      </c>
      <c r="BK200" s="462">
        <f>IF(OR(AND(AT200&lt;&gt;0,AJ200&lt;&gt;"PF",AN200&lt;&gt;"NE",AG200&lt;&gt;"A"),AND(AL200="E",OR(AT200=1,AT200=3))),Sick*W200,0)</f>
        <v>0</v>
      </c>
      <c r="BL200" s="462">
        <f t="shared" si="56"/>
        <v>0</v>
      </c>
      <c r="BM200" s="462">
        <f t="shared" si="57"/>
        <v>0</v>
      </c>
      <c r="BN200" s="462">
        <f>IF(AND(AT200=1,AK200="E",AU200&gt;=0.75,AW200=1),HealthBY,IF(AND(AT200=1,AK200="E",AU200&gt;=0.75),HealthBY*P200,IF(AND(AT200=1,AK200="E",AU200&gt;=0.5,AW200=1),PTHealthBY,IF(AND(AT200=1,AK200="E",AU200&gt;=0.5),PTHealthBY*P200,0))))</f>
        <v>0</v>
      </c>
      <c r="BO200" s="462">
        <f>IF(AND(AT200=3,AK200="E",AV200&gt;=0.75,AW200=1),HealthBY,IF(AND(AT200=3,AK200="E",AV200&gt;=0.75),HealthBY*P200,IF(AND(AT200=3,AK200="E",AV200&gt;=0.5,AW200=1),PTHealthBY,IF(AND(AT200=3,AK200="E",AV200&gt;=0.5),PTHealthBY*P200,0))))</f>
        <v>0</v>
      </c>
      <c r="BP200" s="462">
        <f>IF(AND(AT200&lt;&gt;0,(AX200+BA200)&gt;=MAXSSDIBY),SSDIBY*MAXSSDIBY*P200,IF(AT200&lt;&gt;0,SSDIBY*W200,0))</f>
        <v>0</v>
      </c>
      <c r="BQ200" s="462">
        <f>IF(AT200&lt;&gt;0,SSHIBY*W200,0)</f>
        <v>0</v>
      </c>
      <c r="BR200" s="462">
        <f>IF(AND(AT200&lt;&gt;0,AN200&lt;&gt;"NE"),VLOOKUP(AN200,Retirement_Rates,4,FALSE)*W200,0)</f>
        <v>0</v>
      </c>
      <c r="BS200" s="462">
        <f>IF(AND(AT200&lt;&gt;0,AJ200&lt;&gt;"PF"),LifeBY*W200,0)</f>
        <v>0</v>
      </c>
      <c r="BT200" s="462">
        <f>IF(AND(AT200&lt;&gt;0,AM200="Y"),UIBY*W200,0)</f>
        <v>0</v>
      </c>
      <c r="BU200" s="462">
        <f>IF(AND(AT200&lt;&gt;0,N200&lt;&gt;"NR"),DHRBY*W200,0)</f>
        <v>0</v>
      </c>
      <c r="BV200" s="462">
        <f>IF(AT200&lt;&gt;0,WCBY*W200,0)</f>
        <v>0</v>
      </c>
      <c r="BW200" s="462">
        <f>IF(OR(AND(AT200&lt;&gt;0,AJ200&lt;&gt;"PF",AN200&lt;&gt;"NE",AG200&lt;&gt;"A"),AND(AL200="E",OR(AT200=1,AT200=3))),SickBY*W200,0)</f>
        <v>0</v>
      </c>
      <c r="BX200" s="462">
        <f t="shared" si="58"/>
        <v>0</v>
      </c>
      <c r="BY200" s="462">
        <f t="shared" si="59"/>
        <v>0</v>
      </c>
      <c r="BZ200" s="462">
        <f t="shared" si="60"/>
        <v>0</v>
      </c>
      <c r="CA200" s="462">
        <f t="shared" si="61"/>
        <v>0</v>
      </c>
      <c r="CB200" s="462">
        <f t="shared" si="62"/>
        <v>0</v>
      </c>
      <c r="CC200" s="462">
        <f>IF(AT200&lt;&gt;0,SSHICHG*Y200,0)</f>
        <v>0</v>
      </c>
      <c r="CD200" s="462">
        <f>IF(AND(AT200&lt;&gt;0,AN200&lt;&gt;"NE"),VLOOKUP(AN200,Retirement_Rates,5,FALSE)*Y200,0)</f>
        <v>0</v>
      </c>
      <c r="CE200" s="462">
        <f>IF(AND(AT200&lt;&gt;0,AJ200&lt;&gt;"PF"),LifeCHG*Y200,0)</f>
        <v>0</v>
      </c>
      <c r="CF200" s="462">
        <f>IF(AND(AT200&lt;&gt;0,AM200="Y"),UICHG*Y200,0)</f>
        <v>0</v>
      </c>
      <c r="CG200" s="462">
        <f>IF(AND(AT200&lt;&gt;0,N200&lt;&gt;"NR"),DHRCHG*Y200,0)</f>
        <v>0</v>
      </c>
      <c r="CH200" s="462">
        <f>IF(AT200&lt;&gt;0,WCCHG*Y200,0)</f>
        <v>0</v>
      </c>
      <c r="CI200" s="462">
        <f>IF(OR(AND(AT200&lt;&gt;0,AJ200&lt;&gt;"PF",AN200&lt;&gt;"NE",AG200&lt;&gt;"A"),AND(AL200="E",OR(AT200=1,AT200=3))),SickCHG*Y200,0)</f>
        <v>0</v>
      </c>
      <c r="CJ200" s="462">
        <f t="shared" si="63"/>
        <v>0</v>
      </c>
      <c r="CK200" s="462" t="str">
        <f t="shared" si="64"/>
        <v/>
      </c>
      <c r="CL200" s="462" t="str">
        <f t="shared" si="65"/>
        <v/>
      </c>
      <c r="CM200" s="462" t="str">
        <f t="shared" si="66"/>
        <v/>
      </c>
      <c r="CN200" s="462" t="str">
        <f t="shared" si="67"/>
        <v>0243-00</v>
      </c>
    </row>
    <row r="201" spans="1:92" ht="15" thickBot="1" x14ac:dyDescent="0.35">
      <c r="A201" s="376" t="s">
        <v>161</v>
      </c>
      <c r="B201" s="376" t="s">
        <v>162</v>
      </c>
      <c r="C201" s="376" t="s">
        <v>765</v>
      </c>
      <c r="D201" s="376" t="s">
        <v>221</v>
      </c>
      <c r="E201" s="376" t="s">
        <v>273</v>
      </c>
      <c r="F201" s="377" t="s">
        <v>166</v>
      </c>
      <c r="G201" s="376" t="s">
        <v>432</v>
      </c>
      <c r="H201" s="378"/>
      <c r="I201" s="378"/>
      <c r="J201" s="376" t="s">
        <v>168</v>
      </c>
      <c r="K201" s="376" t="s">
        <v>222</v>
      </c>
      <c r="L201" s="376" t="s">
        <v>166</v>
      </c>
      <c r="M201" s="376" t="s">
        <v>171</v>
      </c>
      <c r="N201" s="376" t="s">
        <v>223</v>
      </c>
      <c r="O201" s="379">
        <v>0</v>
      </c>
      <c r="P201" s="460">
        <v>0</v>
      </c>
      <c r="Q201" s="460">
        <v>0</v>
      </c>
      <c r="R201" s="380">
        <v>0</v>
      </c>
      <c r="S201" s="460">
        <v>0</v>
      </c>
      <c r="T201" s="380">
        <v>51349.2</v>
      </c>
      <c r="U201" s="380">
        <v>1107.25</v>
      </c>
      <c r="V201" s="380">
        <v>15418.83</v>
      </c>
      <c r="W201" s="380">
        <v>0</v>
      </c>
      <c r="X201" s="380">
        <v>0</v>
      </c>
      <c r="Y201" s="380">
        <v>0</v>
      </c>
      <c r="Z201" s="380">
        <v>0</v>
      </c>
      <c r="AA201" s="378"/>
      <c r="AB201" s="376" t="s">
        <v>45</v>
      </c>
      <c r="AC201" s="376" t="s">
        <v>45</v>
      </c>
      <c r="AD201" s="378"/>
      <c r="AE201" s="378"/>
      <c r="AF201" s="378"/>
      <c r="AG201" s="378"/>
      <c r="AH201" s="379">
        <v>0</v>
      </c>
      <c r="AI201" s="379">
        <v>0</v>
      </c>
      <c r="AJ201" s="378"/>
      <c r="AK201" s="378"/>
      <c r="AL201" s="376" t="s">
        <v>181</v>
      </c>
      <c r="AM201" s="378"/>
      <c r="AN201" s="378"/>
      <c r="AO201" s="379">
        <v>0</v>
      </c>
      <c r="AP201" s="460">
        <v>0</v>
      </c>
      <c r="AQ201" s="460">
        <v>0</v>
      </c>
      <c r="AR201" s="459"/>
      <c r="AS201" s="462">
        <f t="shared" si="51"/>
        <v>0</v>
      </c>
      <c r="AT201">
        <f t="shared" si="52"/>
        <v>0</v>
      </c>
      <c r="AU201" s="462" t="str">
        <f>IF(AT201=0,"",IF(AND(AT201=1,M201="F",SUMIF(C2:C391,C201,AS2:AS391)&lt;=1),SUMIF(C2:C391,C201,AS2:AS391),IF(AND(AT201=1,M201="F",SUMIF(C2:C391,C201,AS2:AS391)&gt;1),1,"")))</f>
        <v/>
      </c>
      <c r="AV201" s="462" t="str">
        <f>IF(AT201=0,"",IF(AND(AT201=3,M201="F",SUMIF(C2:C391,C201,AS2:AS391)&lt;=1),SUMIF(C2:C391,C201,AS2:AS391),IF(AND(AT201=3,M201="F",SUMIF(C2:C391,C201,AS2:AS391)&gt;1),1,"")))</f>
        <v/>
      </c>
      <c r="AW201" s="462">
        <f>SUMIF(C2:C391,C201,O2:O391)</f>
        <v>0</v>
      </c>
      <c r="AX201" s="462">
        <f>IF(AND(M201="F",AS201&lt;&gt;0),SUMIF(C2:C391,C201,W2:W391),0)</f>
        <v>0</v>
      </c>
      <c r="AY201" s="462" t="str">
        <f t="shared" si="53"/>
        <v/>
      </c>
      <c r="AZ201" s="462" t="str">
        <f t="shared" si="54"/>
        <v/>
      </c>
      <c r="BA201" s="462">
        <f t="shared" si="55"/>
        <v>0</v>
      </c>
      <c r="BB201" s="462">
        <f>IF(AND(AT201=1,AK201="E",AU201&gt;=0.75,AW201=1),Health,IF(AND(AT201=1,AK201="E",AU201&gt;=0.75),Health*P201,IF(AND(AT201=1,AK201="E",AU201&gt;=0.5,AW201=1),PTHealth,IF(AND(AT201=1,AK201="E",AU201&gt;=0.5),PTHealth*P201,0))))</f>
        <v>0</v>
      </c>
      <c r="BC201" s="462">
        <f>IF(AND(AT201=3,AK201="E",AV201&gt;=0.75,AW201=1),Health,IF(AND(AT201=3,AK201="E",AV201&gt;=0.75),Health*P201,IF(AND(AT201=3,AK201="E",AV201&gt;=0.5,AW201=1),PTHealth,IF(AND(AT201=3,AK201="E",AV201&gt;=0.5),PTHealth*P201,0))))</f>
        <v>0</v>
      </c>
      <c r="BD201" s="462">
        <f>IF(AND(AT201&lt;&gt;0,AX201&gt;=MAXSSDI),SSDI*MAXSSDI*P201,IF(AT201&lt;&gt;0,SSDI*W201,0))</f>
        <v>0</v>
      </c>
      <c r="BE201" s="462">
        <f>IF(AT201&lt;&gt;0,SSHI*W201,0)</f>
        <v>0</v>
      </c>
      <c r="BF201" s="462">
        <f>IF(AND(AT201&lt;&gt;0,AN201&lt;&gt;"NE"),VLOOKUP(AN201,Retirement_Rates,3,FALSE)*W201,0)</f>
        <v>0</v>
      </c>
      <c r="BG201" s="462">
        <f>IF(AND(AT201&lt;&gt;0,AJ201&lt;&gt;"PF"),Life*W201,0)</f>
        <v>0</v>
      </c>
      <c r="BH201" s="462">
        <f>IF(AND(AT201&lt;&gt;0,AM201="Y"),UI*W201,0)</f>
        <v>0</v>
      </c>
      <c r="BI201" s="462">
        <f>IF(AND(AT201&lt;&gt;0,N201&lt;&gt;"NR"),DHR*W201,0)</f>
        <v>0</v>
      </c>
      <c r="BJ201" s="462">
        <f>IF(AT201&lt;&gt;0,WC*W201,0)</f>
        <v>0</v>
      </c>
      <c r="BK201" s="462">
        <f>IF(OR(AND(AT201&lt;&gt;0,AJ201&lt;&gt;"PF",AN201&lt;&gt;"NE",AG201&lt;&gt;"A"),AND(AL201="E",OR(AT201=1,AT201=3))),Sick*W201,0)</f>
        <v>0</v>
      </c>
      <c r="BL201" s="462">
        <f t="shared" si="56"/>
        <v>0</v>
      </c>
      <c r="BM201" s="462">
        <f t="shared" si="57"/>
        <v>0</v>
      </c>
      <c r="BN201" s="462">
        <f>IF(AND(AT201=1,AK201="E",AU201&gt;=0.75,AW201=1),HealthBY,IF(AND(AT201=1,AK201="E",AU201&gt;=0.75),HealthBY*P201,IF(AND(AT201=1,AK201="E",AU201&gt;=0.5,AW201=1),PTHealthBY,IF(AND(AT201=1,AK201="E",AU201&gt;=0.5),PTHealthBY*P201,0))))</f>
        <v>0</v>
      </c>
      <c r="BO201" s="462">
        <f>IF(AND(AT201=3,AK201="E",AV201&gt;=0.75,AW201=1),HealthBY,IF(AND(AT201=3,AK201="E",AV201&gt;=0.75),HealthBY*P201,IF(AND(AT201=3,AK201="E",AV201&gt;=0.5,AW201=1),PTHealthBY,IF(AND(AT201=3,AK201="E",AV201&gt;=0.5),PTHealthBY*P201,0))))</f>
        <v>0</v>
      </c>
      <c r="BP201" s="462">
        <f>IF(AND(AT201&lt;&gt;0,(AX201+BA201)&gt;=MAXSSDIBY),SSDIBY*MAXSSDIBY*P201,IF(AT201&lt;&gt;0,SSDIBY*W201,0))</f>
        <v>0</v>
      </c>
      <c r="BQ201" s="462">
        <f>IF(AT201&lt;&gt;0,SSHIBY*W201,0)</f>
        <v>0</v>
      </c>
      <c r="BR201" s="462">
        <f>IF(AND(AT201&lt;&gt;0,AN201&lt;&gt;"NE"),VLOOKUP(AN201,Retirement_Rates,4,FALSE)*W201,0)</f>
        <v>0</v>
      </c>
      <c r="BS201" s="462">
        <f>IF(AND(AT201&lt;&gt;0,AJ201&lt;&gt;"PF"),LifeBY*W201,0)</f>
        <v>0</v>
      </c>
      <c r="BT201" s="462">
        <f>IF(AND(AT201&lt;&gt;0,AM201="Y"),UIBY*W201,0)</f>
        <v>0</v>
      </c>
      <c r="BU201" s="462">
        <f>IF(AND(AT201&lt;&gt;0,N201&lt;&gt;"NR"),DHRBY*W201,0)</f>
        <v>0</v>
      </c>
      <c r="BV201" s="462">
        <f>IF(AT201&lt;&gt;0,WCBY*W201,0)</f>
        <v>0</v>
      </c>
      <c r="BW201" s="462">
        <f>IF(OR(AND(AT201&lt;&gt;0,AJ201&lt;&gt;"PF",AN201&lt;&gt;"NE",AG201&lt;&gt;"A"),AND(AL201="E",OR(AT201=1,AT201=3))),SickBY*W201,0)</f>
        <v>0</v>
      </c>
      <c r="BX201" s="462">
        <f t="shared" si="58"/>
        <v>0</v>
      </c>
      <c r="BY201" s="462">
        <f t="shared" si="59"/>
        <v>0</v>
      </c>
      <c r="BZ201" s="462">
        <f t="shared" si="60"/>
        <v>0</v>
      </c>
      <c r="CA201" s="462">
        <f t="shared" si="61"/>
        <v>0</v>
      </c>
      <c r="CB201" s="462">
        <f t="shared" si="62"/>
        <v>0</v>
      </c>
      <c r="CC201" s="462">
        <f>IF(AT201&lt;&gt;0,SSHICHG*Y201,0)</f>
        <v>0</v>
      </c>
      <c r="CD201" s="462">
        <f>IF(AND(AT201&lt;&gt;0,AN201&lt;&gt;"NE"),VLOOKUP(AN201,Retirement_Rates,5,FALSE)*Y201,0)</f>
        <v>0</v>
      </c>
      <c r="CE201" s="462">
        <f>IF(AND(AT201&lt;&gt;0,AJ201&lt;&gt;"PF"),LifeCHG*Y201,0)</f>
        <v>0</v>
      </c>
      <c r="CF201" s="462">
        <f>IF(AND(AT201&lt;&gt;0,AM201="Y"),UICHG*Y201,0)</f>
        <v>0</v>
      </c>
      <c r="CG201" s="462">
        <f>IF(AND(AT201&lt;&gt;0,N201&lt;&gt;"NR"),DHRCHG*Y201,0)</f>
        <v>0</v>
      </c>
      <c r="CH201" s="462">
        <f>IF(AT201&lt;&gt;0,WCCHG*Y201,0)</f>
        <v>0</v>
      </c>
      <c r="CI201" s="462">
        <f>IF(OR(AND(AT201&lt;&gt;0,AJ201&lt;&gt;"PF",AN201&lt;&gt;"NE",AG201&lt;&gt;"A"),AND(AL201="E",OR(AT201=1,AT201=3))),SickCHG*Y201,0)</f>
        <v>0</v>
      </c>
      <c r="CJ201" s="462">
        <f t="shared" si="63"/>
        <v>0</v>
      </c>
      <c r="CK201" s="462" t="str">
        <f t="shared" si="64"/>
        <v/>
      </c>
      <c r="CL201" s="462">
        <f t="shared" si="65"/>
        <v>52456.45</v>
      </c>
      <c r="CM201" s="462">
        <f t="shared" si="66"/>
        <v>15418.83</v>
      </c>
      <c r="CN201" s="462" t="str">
        <f t="shared" si="67"/>
        <v>0243-00</v>
      </c>
    </row>
    <row r="202" spans="1:92" ht="15" thickBot="1" x14ac:dyDescent="0.35">
      <c r="A202" s="376" t="s">
        <v>161</v>
      </c>
      <c r="B202" s="376" t="s">
        <v>162</v>
      </c>
      <c r="C202" s="376" t="s">
        <v>766</v>
      </c>
      <c r="D202" s="376" t="s">
        <v>185</v>
      </c>
      <c r="E202" s="376" t="s">
        <v>273</v>
      </c>
      <c r="F202" s="377" t="s">
        <v>166</v>
      </c>
      <c r="G202" s="376" t="s">
        <v>432</v>
      </c>
      <c r="H202" s="378"/>
      <c r="I202" s="378"/>
      <c r="J202" s="376" t="s">
        <v>168</v>
      </c>
      <c r="K202" s="376" t="s">
        <v>186</v>
      </c>
      <c r="L202" s="376" t="s">
        <v>178</v>
      </c>
      <c r="M202" s="376" t="s">
        <v>171</v>
      </c>
      <c r="N202" s="376" t="s">
        <v>172</v>
      </c>
      <c r="O202" s="379">
        <v>1</v>
      </c>
      <c r="P202" s="460">
        <v>1</v>
      </c>
      <c r="Q202" s="460">
        <v>1</v>
      </c>
      <c r="R202" s="380">
        <v>80</v>
      </c>
      <c r="S202" s="460">
        <v>1</v>
      </c>
      <c r="T202" s="380">
        <v>32251.06</v>
      </c>
      <c r="U202" s="380">
        <v>0</v>
      </c>
      <c r="V202" s="380">
        <v>18247.259999999998</v>
      </c>
      <c r="W202" s="380">
        <v>32822.400000000001</v>
      </c>
      <c r="X202" s="380">
        <v>19460.7</v>
      </c>
      <c r="Y202" s="380">
        <v>32822.400000000001</v>
      </c>
      <c r="Z202" s="380">
        <v>19555.89</v>
      </c>
      <c r="AA202" s="376" t="s">
        <v>767</v>
      </c>
      <c r="AB202" s="376" t="s">
        <v>768</v>
      </c>
      <c r="AC202" s="376" t="s">
        <v>769</v>
      </c>
      <c r="AD202" s="376" t="s">
        <v>352</v>
      </c>
      <c r="AE202" s="376" t="s">
        <v>186</v>
      </c>
      <c r="AF202" s="376" t="s">
        <v>190</v>
      </c>
      <c r="AG202" s="376" t="s">
        <v>178</v>
      </c>
      <c r="AH202" s="381">
        <v>15.78</v>
      </c>
      <c r="AI202" s="381">
        <v>24957.599999999999</v>
      </c>
      <c r="AJ202" s="376" t="s">
        <v>179</v>
      </c>
      <c r="AK202" s="376" t="s">
        <v>180</v>
      </c>
      <c r="AL202" s="376" t="s">
        <v>181</v>
      </c>
      <c r="AM202" s="376" t="s">
        <v>182</v>
      </c>
      <c r="AN202" s="376" t="s">
        <v>68</v>
      </c>
      <c r="AO202" s="379">
        <v>80</v>
      </c>
      <c r="AP202" s="460">
        <v>1</v>
      </c>
      <c r="AQ202" s="460">
        <v>1</v>
      </c>
      <c r="AR202" s="458" t="s">
        <v>183</v>
      </c>
      <c r="AS202" s="462">
        <f t="shared" si="51"/>
        <v>1</v>
      </c>
      <c r="AT202">
        <f t="shared" si="52"/>
        <v>1</v>
      </c>
      <c r="AU202" s="462">
        <f>IF(AT202=0,"",IF(AND(AT202=1,M202="F",SUMIF(C2:C391,C202,AS2:AS391)&lt;=1),SUMIF(C2:C391,C202,AS2:AS391),IF(AND(AT202=1,M202="F",SUMIF(C2:C391,C202,AS2:AS391)&gt;1),1,"")))</f>
        <v>1</v>
      </c>
      <c r="AV202" s="462" t="str">
        <f>IF(AT202=0,"",IF(AND(AT202=3,M202="F",SUMIF(C2:C391,C202,AS2:AS391)&lt;=1),SUMIF(C2:C391,C202,AS2:AS391),IF(AND(AT202=3,M202="F",SUMIF(C2:C391,C202,AS2:AS391)&gt;1),1,"")))</f>
        <v/>
      </c>
      <c r="AW202" s="462">
        <f>SUMIF(C2:C391,C202,O2:O391)</f>
        <v>1</v>
      </c>
      <c r="AX202" s="462">
        <f>IF(AND(M202="F",AS202&lt;&gt;0),SUMIF(C2:C391,C202,W2:W391),0)</f>
        <v>32822.400000000001</v>
      </c>
      <c r="AY202" s="462">
        <f t="shared" si="53"/>
        <v>32822.400000000001</v>
      </c>
      <c r="AZ202" s="462" t="str">
        <f t="shared" si="54"/>
        <v/>
      </c>
      <c r="BA202" s="462">
        <f t="shared" si="55"/>
        <v>0</v>
      </c>
      <c r="BB202" s="462">
        <f>IF(AND(AT202=1,AK202="E",AU202&gt;=0.75,AW202=1),Health,IF(AND(AT202=1,AK202="E",AU202&gt;=0.75),Health*P202,IF(AND(AT202=1,AK202="E",AU202&gt;=0.5,AW202=1),PTHealth,IF(AND(AT202=1,AK202="E",AU202&gt;=0.5),PTHealth*P202,0))))</f>
        <v>11650</v>
      </c>
      <c r="BC202" s="462">
        <f>IF(AND(AT202=3,AK202="E",AV202&gt;=0.75,AW202=1),Health,IF(AND(AT202=3,AK202="E",AV202&gt;=0.75),Health*P202,IF(AND(AT202=3,AK202="E",AV202&gt;=0.5,AW202=1),PTHealth,IF(AND(AT202=3,AK202="E",AV202&gt;=0.5),PTHealth*P202,0))))</f>
        <v>0</v>
      </c>
      <c r="BD202" s="462">
        <f>IF(AND(AT202&lt;&gt;0,AX202&gt;=MAXSSDI),SSDI*MAXSSDI*P202,IF(AT202&lt;&gt;0,SSDI*W202,0))</f>
        <v>2034.9888000000001</v>
      </c>
      <c r="BE202" s="462">
        <f>IF(AT202&lt;&gt;0,SSHI*W202,0)</f>
        <v>475.92480000000006</v>
      </c>
      <c r="BF202" s="462">
        <f>IF(AND(AT202&lt;&gt;0,AN202&lt;&gt;"NE"),VLOOKUP(AN202,Retirement_Rates,3,FALSE)*W202,0)</f>
        <v>3918.9945600000005</v>
      </c>
      <c r="BG202" s="462">
        <f>IF(AND(AT202&lt;&gt;0,AJ202&lt;&gt;"PF"),Life*W202,0)</f>
        <v>236.64950400000001</v>
      </c>
      <c r="BH202" s="462">
        <f>IF(AND(AT202&lt;&gt;0,AM202="Y"),UI*W202,0)</f>
        <v>160.82975999999999</v>
      </c>
      <c r="BI202" s="462">
        <f>IF(AND(AT202&lt;&gt;0,N202&lt;&gt;"NR"),DHR*W202,0)</f>
        <v>100.436544</v>
      </c>
      <c r="BJ202" s="462">
        <f>IF(AT202&lt;&gt;0,WC*W202,0)</f>
        <v>882.92256000000009</v>
      </c>
      <c r="BK202" s="462">
        <f>IF(OR(AND(AT202&lt;&gt;0,AJ202&lt;&gt;"PF",AN202&lt;&gt;"NE",AG202&lt;&gt;"A"),AND(AL202="E",OR(AT202=1,AT202=3))),Sick*W202,0)</f>
        <v>0</v>
      </c>
      <c r="BL202" s="462">
        <f t="shared" si="56"/>
        <v>7810.7465280000006</v>
      </c>
      <c r="BM202" s="462">
        <f t="shared" si="57"/>
        <v>0</v>
      </c>
      <c r="BN202" s="462">
        <f>IF(AND(AT202=1,AK202="E",AU202&gt;=0.75,AW202=1),HealthBY,IF(AND(AT202=1,AK202="E",AU202&gt;=0.75),HealthBY*P202,IF(AND(AT202=1,AK202="E",AU202&gt;=0.5,AW202=1),PTHealthBY,IF(AND(AT202=1,AK202="E",AU202&gt;=0.5),PTHealthBY*P202,0))))</f>
        <v>11650</v>
      </c>
      <c r="BO202" s="462">
        <f>IF(AND(AT202=3,AK202="E",AV202&gt;=0.75,AW202=1),HealthBY,IF(AND(AT202=3,AK202="E",AV202&gt;=0.75),HealthBY*P202,IF(AND(AT202=3,AK202="E",AV202&gt;=0.5,AW202=1),PTHealthBY,IF(AND(AT202=3,AK202="E",AV202&gt;=0.5),PTHealthBY*P202,0))))</f>
        <v>0</v>
      </c>
      <c r="BP202" s="462">
        <f>IF(AND(AT202&lt;&gt;0,(AX202+BA202)&gt;=MAXSSDIBY),SSDIBY*MAXSSDIBY*P202,IF(AT202&lt;&gt;0,SSDIBY*W202,0))</f>
        <v>2034.9888000000001</v>
      </c>
      <c r="BQ202" s="462">
        <f>IF(AT202&lt;&gt;0,SSHIBY*W202,0)</f>
        <v>475.92480000000006</v>
      </c>
      <c r="BR202" s="462">
        <f>IF(AND(AT202&lt;&gt;0,AN202&lt;&gt;"NE"),VLOOKUP(AN202,Retirement_Rates,4,FALSE)*W202,0)</f>
        <v>3918.9945600000005</v>
      </c>
      <c r="BS202" s="462">
        <f>IF(AND(AT202&lt;&gt;0,AJ202&lt;&gt;"PF"),LifeBY*W202,0)</f>
        <v>236.64950400000001</v>
      </c>
      <c r="BT202" s="462">
        <f>IF(AND(AT202&lt;&gt;0,AM202="Y"),UIBY*W202,0)</f>
        <v>0</v>
      </c>
      <c r="BU202" s="462">
        <f>IF(AND(AT202&lt;&gt;0,N202&lt;&gt;"NR"),DHRBY*W202,0)</f>
        <v>100.436544</v>
      </c>
      <c r="BV202" s="462">
        <f>IF(AT202&lt;&gt;0,WCBY*W202,0)</f>
        <v>1138.9372800000001</v>
      </c>
      <c r="BW202" s="462">
        <f>IF(OR(AND(AT202&lt;&gt;0,AJ202&lt;&gt;"PF",AN202&lt;&gt;"NE",AG202&lt;&gt;"A"),AND(AL202="E",OR(AT202=1,AT202=3))),SickBY*W202,0)</f>
        <v>0</v>
      </c>
      <c r="BX202" s="462">
        <f t="shared" si="58"/>
        <v>7905.9314880000011</v>
      </c>
      <c r="BY202" s="462">
        <f t="shared" si="59"/>
        <v>0</v>
      </c>
      <c r="BZ202" s="462">
        <f t="shared" si="60"/>
        <v>0</v>
      </c>
      <c r="CA202" s="462">
        <f t="shared" si="61"/>
        <v>0</v>
      </c>
      <c r="CB202" s="462">
        <f t="shared" si="62"/>
        <v>0</v>
      </c>
      <c r="CC202" s="462">
        <f>IF(AT202&lt;&gt;0,SSHICHG*Y202,0)</f>
        <v>0</v>
      </c>
      <c r="CD202" s="462">
        <f>IF(AND(AT202&lt;&gt;0,AN202&lt;&gt;"NE"),VLOOKUP(AN202,Retirement_Rates,5,FALSE)*Y202,0)</f>
        <v>0</v>
      </c>
      <c r="CE202" s="462">
        <f>IF(AND(AT202&lt;&gt;0,AJ202&lt;&gt;"PF"),LifeCHG*Y202,0)</f>
        <v>0</v>
      </c>
      <c r="CF202" s="462">
        <f>IF(AND(AT202&lt;&gt;0,AM202="Y"),UICHG*Y202,0)</f>
        <v>-160.82975999999999</v>
      </c>
      <c r="CG202" s="462">
        <f>IF(AND(AT202&lt;&gt;0,N202&lt;&gt;"NR"),DHRCHG*Y202,0)</f>
        <v>0</v>
      </c>
      <c r="CH202" s="462">
        <f>IF(AT202&lt;&gt;0,WCCHG*Y202,0)</f>
        <v>256.01472000000007</v>
      </c>
      <c r="CI202" s="462">
        <f>IF(OR(AND(AT202&lt;&gt;0,AJ202&lt;&gt;"PF",AN202&lt;&gt;"NE",AG202&lt;&gt;"A"),AND(AL202="E",OR(AT202=1,AT202=3))),SickCHG*Y202,0)</f>
        <v>0</v>
      </c>
      <c r="CJ202" s="462">
        <f t="shared" si="63"/>
        <v>95.184960000000075</v>
      </c>
      <c r="CK202" s="462" t="str">
        <f t="shared" si="64"/>
        <v/>
      </c>
      <c r="CL202" s="462" t="str">
        <f t="shared" si="65"/>
        <v/>
      </c>
      <c r="CM202" s="462" t="str">
        <f t="shared" si="66"/>
        <v/>
      </c>
      <c r="CN202" s="462" t="str">
        <f t="shared" si="67"/>
        <v>0243-00</v>
      </c>
    </row>
    <row r="203" spans="1:92" ht="15" thickBot="1" x14ac:dyDescent="0.35">
      <c r="A203" s="376" t="s">
        <v>161</v>
      </c>
      <c r="B203" s="376" t="s">
        <v>162</v>
      </c>
      <c r="C203" s="376" t="s">
        <v>528</v>
      </c>
      <c r="D203" s="376" t="s">
        <v>221</v>
      </c>
      <c r="E203" s="376" t="s">
        <v>273</v>
      </c>
      <c r="F203" s="377" t="s">
        <v>166</v>
      </c>
      <c r="G203" s="376" t="s">
        <v>432</v>
      </c>
      <c r="H203" s="378"/>
      <c r="I203" s="378"/>
      <c r="J203" s="376" t="s">
        <v>168</v>
      </c>
      <c r="K203" s="376" t="s">
        <v>222</v>
      </c>
      <c r="L203" s="376" t="s">
        <v>166</v>
      </c>
      <c r="M203" s="376" t="s">
        <v>171</v>
      </c>
      <c r="N203" s="376" t="s">
        <v>223</v>
      </c>
      <c r="O203" s="379">
        <v>0</v>
      </c>
      <c r="P203" s="460">
        <v>1</v>
      </c>
      <c r="Q203" s="460">
        <v>0</v>
      </c>
      <c r="R203" s="380">
        <v>0</v>
      </c>
      <c r="S203" s="460">
        <v>0</v>
      </c>
      <c r="T203" s="380">
        <v>27132.3</v>
      </c>
      <c r="U203" s="380">
        <v>1284</v>
      </c>
      <c r="V203" s="380">
        <v>3606.46</v>
      </c>
      <c r="W203" s="380">
        <v>43646.3</v>
      </c>
      <c r="X203" s="380">
        <v>5627.23</v>
      </c>
      <c r="Y203" s="380">
        <v>43646.3</v>
      </c>
      <c r="Z203" s="380">
        <v>5627.23</v>
      </c>
      <c r="AA203" s="378"/>
      <c r="AB203" s="376" t="s">
        <v>45</v>
      </c>
      <c r="AC203" s="376" t="s">
        <v>45</v>
      </c>
      <c r="AD203" s="378"/>
      <c r="AE203" s="378"/>
      <c r="AF203" s="378"/>
      <c r="AG203" s="378"/>
      <c r="AH203" s="379">
        <v>0</v>
      </c>
      <c r="AI203" s="379">
        <v>0</v>
      </c>
      <c r="AJ203" s="378"/>
      <c r="AK203" s="378"/>
      <c r="AL203" s="376" t="s">
        <v>181</v>
      </c>
      <c r="AM203" s="378"/>
      <c r="AN203" s="378"/>
      <c r="AO203" s="379">
        <v>0</v>
      </c>
      <c r="AP203" s="460">
        <v>0</v>
      </c>
      <c r="AQ203" s="460">
        <v>0</v>
      </c>
      <c r="AR203" s="459"/>
      <c r="AS203" s="462">
        <f t="shared" si="51"/>
        <v>0</v>
      </c>
      <c r="AT203">
        <f t="shared" si="52"/>
        <v>0</v>
      </c>
      <c r="AU203" s="462" t="str">
        <f>IF(AT203=0,"",IF(AND(AT203=1,M203="F",SUMIF(C2:C391,C203,AS2:AS391)&lt;=1),SUMIF(C2:C391,C203,AS2:AS391),IF(AND(AT203=1,M203="F",SUMIF(C2:C391,C203,AS2:AS391)&gt;1),1,"")))</f>
        <v/>
      </c>
      <c r="AV203" s="462" t="str">
        <f>IF(AT203=0,"",IF(AND(AT203=3,M203="F",SUMIF(C2:C391,C203,AS2:AS391)&lt;=1),SUMIF(C2:C391,C203,AS2:AS391),IF(AND(AT203=3,M203="F",SUMIF(C2:C391,C203,AS2:AS391)&gt;1),1,"")))</f>
        <v/>
      </c>
      <c r="AW203" s="462">
        <f>SUMIF(C2:C391,C203,O2:O391)</f>
        <v>0</v>
      </c>
      <c r="AX203" s="462">
        <f>IF(AND(M203="F",AS203&lt;&gt;0),SUMIF(C2:C391,C203,W2:W391),0)</f>
        <v>0</v>
      </c>
      <c r="AY203" s="462" t="str">
        <f t="shared" si="53"/>
        <v/>
      </c>
      <c r="AZ203" s="462" t="str">
        <f t="shared" si="54"/>
        <v/>
      </c>
      <c r="BA203" s="462">
        <f t="shared" si="55"/>
        <v>0</v>
      </c>
      <c r="BB203" s="462">
        <f>IF(AND(AT203=1,AK203="E",AU203&gt;=0.75,AW203=1),Health,IF(AND(AT203=1,AK203="E",AU203&gt;=0.75),Health*P203,IF(AND(AT203=1,AK203="E",AU203&gt;=0.5,AW203=1),PTHealth,IF(AND(AT203=1,AK203="E",AU203&gt;=0.5),PTHealth*P203,0))))</f>
        <v>0</v>
      </c>
      <c r="BC203" s="462">
        <f>IF(AND(AT203=3,AK203="E",AV203&gt;=0.75,AW203=1),Health,IF(AND(AT203=3,AK203="E",AV203&gt;=0.75),Health*P203,IF(AND(AT203=3,AK203="E",AV203&gt;=0.5,AW203=1),PTHealth,IF(AND(AT203=3,AK203="E",AV203&gt;=0.5),PTHealth*P203,0))))</f>
        <v>0</v>
      </c>
      <c r="BD203" s="462">
        <f>IF(AND(AT203&lt;&gt;0,AX203&gt;=MAXSSDI),SSDI*MAXSSDI*P203,IF(AT203&lt;&gt;0,SSDI*W203,0))</f>
        <v>0</v>
      </c>
      <c r="BE203" s="462">
        <f>IF(AT203&lt;&gt;0,SSHI*W203,0)</f>
        <v>0</v>
      </c>
      <c r="BF203" s="462">
        <f>IF(AND(AT203&lt;&gt;0,AN203&lt;&gt;"NE"),VLOOKUP(AN203,Retirement_Rates,3,FALSE)*W203,0)</f>
        <v>0</v>
      </c>
      <c r="BG203" s="462">
        <f>IF(AND(AT203&lt;&gt;0,AJ203&lt;&gt;"PF"),Life*W203,0)</f>
        <v>0</v>
      </c>
      <c r="BH203" s="462">
        <f>IF(AND(AT203&lt;&gt;0,AM203="Y"),UI*W203,0)</f>
        <v>0</v>
      </c>
      <c r="BI203" s="462">
        <f>IF(AND(AT203&lt;&gt;0,N203&lt;&gt;"NR"),DHR*W203,0)</f>
        <v>0</v>
      </c>
      <c r="BJ203" s="462">
        <f>IF(AT203&lt;&gt;0,WC*W203,0)</f>
        <v>0</v>
      </c>
      <c r="BK203" s="462">
        <f>IF(OR(AND(AT203&lt;&gt;0,AJ203&lt;&gt;"PF",AN203&lt;&gt;"NE",AG203&lt;&gt;"A"),AND(AL203="E",OR(AT203=1,AT203=3))),Sick*W203,0)</f>
        <v>0</v>
      </c>
      <c r="BL203" s="462">
        <f t="shared" si="56"/>
        <v>0</v>
      </c>
      <c r="BM203" s="462">
        <f t="shared" si="57"/>
        <v>0</v>
      </c>
      <c r="BN203" s="462">
        <f>IF(AND(AT203=1,AK203="E",AU203&gt;=0.75,AW203=1),HealthBY,IF(AND(AT203=1,AK203="E",AU203&gt;=0.75),HealthBY*P203,IF(AND(AT203=1,AK203="E",AU203&gt;=0.5,AW203=1),PTHealthBY,IF(AND(AT203=1,AK203="E",AU203&gt;=0.5),PTHealthBY*P203,0))))</f>
        <v>0</v>
      </c>
      <c r="BO203" s="462">
        <f>IF(AND(AT203=3,AK203="E",AV203&gt;=0.75,AW203=1),HealthBY,IF(AND(AT203=3,AK203="E",AV203&gt;=0.75),HealthBY*P203,IF(AND(AT203=3,AK203="E",AV203&gt;=0.5,AW203=1),PTHealthBY,IF(AND(AT203=3,AK203="E",AV203&gt;=0.5),PTHealthBY*P203,0))))</f>
        <v>0</v>
      </c>
      <c r="BP203" s="462">
        <f>IF(AND(AT203&lt;&gt;0,(AX203+BA203)&gt;=MAXSSDIBY),SSDIBY*MAXSSDIBY*P203,IF(AT203&lt;&gt;0,SSDIBY*W203,0))</f>
        <v>0</v>
      </c>
      <c r="BQ203" s="462">
        <f>IF(AT203&lt;&gt;0,SSHIBY*W203,0)</f>
        <v>0</v>
      </c>
      <c r="BR203" s="462">
        <f>IF(AND(AT203&lt;&gt;0,AN203&lt;&gt;"NE"),VLOOKUP(AN203,Retirement_Rates,4,FALSE)*W203,0)</f>
        <v>0</v>
      </c>
      <c r="BS203" s="462">
        <f>IF(AND(AT203&lt;&gt;0,AJ203&lt;&gt;"PF"),LifeBY*W203,0)</f>
        <v>0</v>
      </c>
      <c r="BT203" s="462">
        <f>IF(AND(AT203&lt;&gt;0,AM203="Y"),UIBY*W203,0)</f>
        <v>0</v>
      </c>
      <c r="BU203" s="462">
        <f>IF(AND(AT203&lt;&gt;0,N203&lt;&gt;"NR"),DHRBY*W203,0)</f>
        <v>0</v>
      </c>
      <c r="BV203" s="462">
        <f>IF(AT203&lt;&gt;0,WCBY*W203,0)</f>
        <v>0</v>
      </c>
      <c r="BW203" s="462">
        <f>IF(OR(AND(AT203&lt;&gt;0,AJ203&lt;&gt;"PF",AN203&lt;&gt;"NE",AG203&lt;&gt;"A"),AND(AL203="E",OR(AT203=1,AT203=3))),SickBY*W203,0)</f>
        <v>0</v>
      </c>
      <c r="BX203" s="462">
        <f t="shared" si="58"/>
        <v>0</v>
      </c>
      <c r="BY203" s="462">
        <f t="shared" si="59"/>
        <v>0</v>
      </c>
      <c r="BZ203" s="462">
        <f t="shared" si="60"/>
        <v>0</v>
      </c>
      <c r="CA203" s="462">
        <f t="shared" si="61"/>
        <v>0</v>
      </c>
      <c r="CB203" s="462">
        <f t="shared" si="62"/>
        <v>0</v>
      </c>
      <c r="CC203" s="462">
        <f>IF(AT203&lt;&gt;0,SSHICHG*Y203,0)</f>
        <v>0</v>
      </c>
      <c r="CD203" s="462">
        <f>IF(AND(AT203&lt;&gt;0,AN203&lt;&gt;"NE"),VLOOKUP(AN203,Retirement_Rates,5,FALSE)*Y203,0)</f>
        <v>0</v>
      </c>
      <c r="CE203" s="462">
        <f>IF(AND(AT203&lt;&gt;0,AJ203&lt;&gt;"PF"),LifeCHG*Y203,0)</f>
        <v>0</v>
      </c>
      <c r="CF203" s="462">
        <f>IF(AND(AT203&lt;&gt;0,AM203="Y"),UICHG*Y203,0)</f>
        <v>0</v>
      </c>
      <c r="CG203" s="462">
        <f>IF(AND(AT203&lt;&gt;0,N203&lt;&gt;"NR"),DHRCHG*Y203,0)</f>
        <v>0</v>
      </c>
      <c r="CH203" s="462">
        <f>IF(AT203&lt;&gt;0,WCCHG*Y203,0)</f>
        <v>0</v>
      </c>
      <c r="CI203" s="462">
        <f>IF(OR(AND(AT203&lt;&gt;0,AJ203&lt;&gt;"PF",AN203&lt;&gt;"NE",AG203&lt;&gt;"A"),AND(AL203="E",OR(AT203=1,AT203=3))),SickCHG*Y203,0)</f>
        <v>0</v>
      </c>
      <c r="CJ203" s="462">
        <f t="shared" si="63"/>
        <v>0</v>
      </c>
      <c r="CK203" s="462" t="str">
        <f t="shared" si="64"/>
        <v/>
      </c>
      <c r="CL203" s="462">
        <f t="shared" si="65"/>
        <v>28416.3</v>
      </c>
      <c r="CM203" s="462">
        <f t="shared" si="66"/>
        <v>3606.46</v>
      </c>
      <c r="CN203" s="462" t="str">
        <f t="shared" si="67"/>
        <v>0243-00</v>
      </c>
    </row>
    <row r="204" spans="1:92" ht="15" thickBot="1" x14ac:dyDescent="0.35">
      <c r="A204" s="376" t="s">
        <v>161</v>
      </c>
      <c r="B204" s="376" t="s">
        <v>162</v>
      </c>
      <c r="C204" s="376" t="s">
        <v>770</v>
      </c>
      <c r="D204" s="376" t="s">
        <v>438</v>
      </c>
      <c r="E204" s="376" t="s">
        <v>273</v>
      </c>
      <c r="F204" s="377" t="s">
        <v>166</v>
      </c>
      <c r="G204" s="376" t="s">
        <v>432</v>
      </c>
      <c r="H204" s="378"/>
      <c r="I204" s="378"/>
      <c r="J204" s="376" t="s">
        <v>193</v>
      </c>
      <c r="K204" s="376" t="s">
        <v>439</v>
      </c>
      <c r="L204" s="376" t="s">
        <v>231</v>
      </c>
      <c r="M204" s="376" t="s">
        <v>171</v>
      </c>
      <c r="N204" s="376" t="s">
        <v>172</v>
      </c>
      <c r="O204" s="379">
        <v>1</v>
      </c>
      <c r="P204" s="460">
        <v>0.6</v>
      </c>
      <c r="Q204" s="460">
        <v>0.6</v>
      </c>
      <c r="R204" s="380">
        <v>80</v>
      </c>
      <c r="S204" s="460">
        <v>0.6</v>
      </c>
      <c r="T204" s="380">
        <v>17062.34</v>
      </c>
      <c r="U204" s="380">
        <v>0</v>
      </c>
      <c r="V204" s="380">
        <v>9550.1</v>
      </c>
      <c r="W204" s="380">
        <v>24111.360000000001</v>
      </c>
      <c r="X204" s="380">
        <v>12727.75</v>
      </c>
      <c r="Y204" s="380">
        <v>24111.360000000001</v>
      </c>
      <c r="Z204" s="380">
        <v>12797.68</v>
      </c>
      <c r="AA204" s="376" t="s">
        <v>771</v>
      </c>
      <c r="AB204" s="376" t="s">
        <v>772</v>
      </c>
      <c r="AC204" s="376" t="s">
        <v>773</v>
      </c>
      <c r="AD204" s="376" t="s">
        <v>176</v>
      </c>
      <c r="AE204" s="376" t="s">
        <v>439</v>
      </c>
      <c r="AF204" s="376" t="s">
        <v>236</v>
      </c>
      <c r="AG204" s="376" t="s">
        <v>178</v>
      </c>
      <c r="AH204" s="381">
        <v>19.32</v>
      </c>
      <c r="AI204" s="379">
        <v>1806</v>
      </c>
      <c r="AJ204" s="376" t="s">
        <v>179</v>
      </c>
      <c r="AK204" s="376" t="s">
        <v>180</v>
      </c>
      <c r="AL204" s="376" t="s">
        <v>181</v>
      </c>
      <c r="AM204" s="376" t="s">
        <v>182</v>
      </c>
      <c r="AN204" s="376" t="s">
        <v>68</v>
      </c>
      <c r="AO204" s="379">
        <v>80</v>
      </c>
      <c r="AP204" s="460">
        <v>1</v>
      </c>
      <c r="AQ204" s="460">
        <v>0.6</v>
      </c>
      <c r="AR204" s="458" t="s">
        <v>183</v>
      </c>
      <c r="AS204" s="462">
        <f t="shared" si="51"/>
        <v>0.6</v>
      </c>
      <c r="AT204">
        <f t="shared" si="52"/>
        <v>1</v>
      </c>
      <c r="AU204" s="462">
        <f>IF(AT204=0,"",IF(AND(AT204=1,M204="F",SUMIF(C2:C391,C204,AS2:AS391)&lt;=1),SUMIF(C2:C391,C204,AS2:AS391),IF(AND(AT204=1,M204="F",SUMIF(C2:C391,C204,AS2:AS391)&gt;1),1,"")))</f>
        <v>1</v>
      </c>
      <c r="AV204" s="462" t="str">
        <f>IF(AT204=0,"",IF(AND(AT204=3,M204="F",SUMIF(C2:C391,C204,AS2:AS391)&lt;=1),SUMIF(C2:C391,C204,AS2:AS391),IF(AND(AT204=3,M204="F",SUMIF(C2:C391,C204,AS2:AS391)&gt;1),1,"")))</f>
        <v/>
      </c>
      <c r="AW204" s="462">
        <f>SUMIF(C2:C391,C204,O2:O391)</f>
        <v>2</v>
      </c>
      <c r="AX204" s="462">
        <f>IF(AND(M204="F",AS204&lt;&gt;0),SUMIF(C2:C391,C204,W2:W391),0)</f>
        <v>40185.599999999999</v>
      </c>
      <c r="AY204" s="462">
        <f t="shared" si="53"/>
        <v>24111.360000000001</v>
      </c>
      <c r="AZ204" s="462" t="str">
        <f t="shared" si="54"/>
        <v/>
      </c>
      <c r="BA204" s="462">
        <f t="shared" si="55"/>
        <v>0</v>
      </c>
      <c r="BB204" s="462">
        <f>IF(AND(AT204=1,AK204="E",AU204&gt;=0.75,AW204=1),Health,IF(AND(AT204=1,AK204="E",AU204&gt;=0.75),Health*P204,IF(AND(AT204=1,AK204="E",AU204&gt;=0.5,AW204=1),PTHealth,IF(AND(AT204=1,AK204="E",AU204&gt;=0.5),PTHealth*P204,0))))</f>
        <v>6990</v>
      </c>
      <c r="BC204" s="462">
        <f>IF(AND(AT204=3,AK204="E",AV204&gt;=0.75,AW204=1),Health,IF(AND(AT204=3,AK204="E",AV204&gt;=0.75),Health*P204,IF(AND(AT204=3,AK204="E",AV204&gt;=0.5,AW204=1),PTHealth,IF(AND(AT204=3,AK204="E",AV204&gt;=0.5),PTHealth*P204,0))))</f>
        <v>0</v>
      </c>
      <c r="BD204" s="462">
        <f>IF(AND(AT204&lt;&gt;0,AX204&gt;=MAXSSDI),SSDI*MAXSSDI*P204,IF(AT204&lt;&gt;0,SSDI*W204,0))</f>
        <v>1494.9043200000001</v>
      </c>
      <c r="BE204" s="462">
        <f>IF(AT204&lt;&gt;0,SSHI*W204,0)</f>
        <v>349.61472000000003</v>
      </c>
      <c r="BF204" s="462">
        <f>IF(AND(AT204&lt;&gt;0,AN204&lt;&gt;"NE"),VLOOKUP(AN204,Retirement_Rates,3,FALSE)*W204,0)</f>
        <v>2878.8963840000001</v>
      </c>
      <c r="BG204" s="462">
        <f>IF(AND(AT204&lt;&gt;0,AJ204&lt;&gt;"PF"),Life*W204,0)</f>
        <v>173.84290560000002</v>
      </c>
      <c r="BH204" s="462">
        <f>IF(AND(AT204&lt;&gt;0,AM204="Y"),UI*W204,0)</f>
        <v>118.145664</v>
      </c>
      <c r="BI204" s="462">
        <f>IF(AND(AT204&lt;&gt;0,N204&lt;&gt;"NR"),DHR*W204,0)</f>
        <v>73.780761599999991</v>
      </c>
      <c r="BJ204" s="462">
        <f>IF(AT204&lt;&gt;0,WC*W204,0)</f>
        <v>648.59558400000003</v>
      </c>
      <c r="BK204" s="462">
        <f>IF(OR(AND(AT204&lt;&gt;0,AJ204&lt;&gt;"PF",AN204&lt;&gt;"NE",AG204&lt;&gt;"A"),AND(AL204="E",OR(AT204=1,AT204=3))),Sick*W204,0)</f>
        <v>0</v>
      </c>
      <c r="BL204" s="462">
        <f t="shared" si="56"/>
        <v>5737.7803392000005</v>
      </c>
      <c r="BM204" s="462">
        <f t="shared" si="57"/>
        <v>0</v>
      </c>
      <c r="BN204" s="462">
        <f>IF(AND(AT204=1,AK204="E",AU204&gt;=0.75,AW204=1),HealthBY,IF(AND(AT204=1,AK204="E",AU204&gt;=0.75),HealthBY*P204,IF(AND(AT204=1,AK204="E",AU204&gt;=0.5,AW204=1),PTHealthBY,IF(AND(AT204=1,AK204="E",AU204&gt;=0.5),PTHealthBY*P204,0))))</f>
        <v>6990</v>
      </c>
      <c r="BO204" s="462">
        <f>IF(AND(AT204=3,AK204="E",AV204&gt;=0.75,AW204=1),HealthBY,IF(AND(AT204=3,AK204="E",AV204&gt;=0.75),HealthBY*P204,IF(AND(AT204=3,AK204="E",AV204&gt;=0.5,AW204=1),PTHealthBY,IF(AND(AT204=3,AK204="E",AV204&gt;=0.5),PTHealthBY*P204,0))))</f>
        <v>0</v>
      </c>
      <c r="BP204" s="462">
        <f>IF(AND(AT204&lt;&gt;0,(AX204+BA204)&gt;=MAXSSDIBY),SSDIBY*MAXSSDIBY*P204,IF(AT204&lt;&gt;0,SSDIBY*W204,0))</f>
        <v>1494.9043200000001</v>
      </c>
      <c r="BQ204" s="462">
        <f>IF(AT204&lt;&gt;0,SSHIBY*W204,0)</f>
        <v>349.61472000000003</v>
      </c>
      <c r="BR204" s="462">
        <f>IF(AND(AT204&lt;&gt;0,AN204&lt;&gt;"NE"),VLOOKUP(AN204,Retirement_Rates,4,FALSE)*W204,0)</f>
        <v>2878.8963840000001</v>
      </c>
      <c r="BS204" s="462">
        <f>IF(AND(AT204&lt;&gt;0,AJ204&lt;&gt;"PF"),LifeBY*W204,0)</f>
        <v>173.84290560000002</v>
      </c>
      <c r="BT204" s="462">
        <f>IF(AND(AT204&lt;&gt;0,AM204="Y"),UIBY*W204,0)</f>
        <v>0</v>
      </c>
      <c r="BU204" s="462">
        <f>IF(AND(AT204&lt;&gt;0,N204&lt;&gt;"NR"),DHRBY*W204,0)</f>
        <v>73.780761599999991</v>
      </c>
      <c r="BV204" s="462">
        <f>IF(AT204&lt;&gt;0,WCBY*W204,0)</f>
        <v>836.66419200000007</v>
      </c>
      <c r="BW204" s="462">
        <f>IF(OR(AND(AT204&lt;&gt;0,AJ204&lt;&gt;"PF",AN204&lt;&gt;"NE",AG204&lt;&gt;"A"),AND(AL204="E",OR(AT204=1,AT204=3))),SickBY*W204,0)</f>
        <v>0</v>
      </c>
      <c r="BX204" s="462">
        <f t="shared" si="58"/>
        <v>5807.7032832000014</v>
      </c>
      <c r="BY204" s="462">
        <f t="shared" si="59"/>
        <v>0</v>
      </c>
      <c r="BZ204" s="462">
        <f t="shared" si="60"/>
        <v>0</v>
      </c>
      <c r="CA204" s="462">
        <f t="shared" si="61"/>
        <v>0</v>
      </c>
      <c r="CB204" s="462">
        <f t="shared" si="62"/>
        <v>0</v>
      </c>
      <c r="CC204" s="462">
        <f>IF(AT204&lt;&gt;0,SSHICHG*Y204,0)</f>
        <v>0</v>
      </c>
      <c r="CD204" s="462">
        <f>IF(AND(AT204&lt;&gt;0,AN204&lt;&gt;"NE"),VLOOKUP(AN204,Retirement_Rates,5,FALSE)*Y204,0)</f>
        <v>0</v>
      </c>
      <c r="CE204" s="462">
        <f>IF(AND(AT204&lt;&gt;0,AJ204&lt;&gt;"PF"),LifeCHG*Y204,0)</f>
        <v>0</v>
      </c>
      <c r="CF204" s="462">
        <f>IF(AND(AT204&lt;&gt;0,AM204="Y"),UICHG*Y204,0)</f>
        <v>-118.145664</v>
      </c>
      <c r="CG204" s="462">
        <f>IF(AND(AT204&lt;&gt;0,N204&lt;&gt;"NR"),DHRCHG*Y204,0)</f>
        <v>0</v>
      </c>
      <c r="CH204" s="462">
        <f>IF(AT204&lt;&gt;0,WCCHG*Y204,0)</f>
        <v>188.06860800000004</v>
      </c>
      <c r="CI204" s="462">
        <f>IF(OR(AND(AT204&lt;&gt;0,AJ204&lt;&gt;"PF",AN204&lt;&gt;"NE",AG204&lt;&gt;"A"),AND(AL204="E",OR(AT204=1,AT204=3))),SickCHG*Y204,0)</f>
        <v>0</v>
      </c>
      <c r="CJ204" s="462">
        <f t="shared" si="63"/>
        <v>69.922944000000044</v>
      </c>
      <c r="CK204" s="462" t="str">
        <f t="shared" si="64"/>
        <v/>
      </c>
      <c r="CL204" s="462" t="str">
        <f t="shared" si="65"/>
        <v/>
      </c>
      <c r="CM204" s="462" t="str">
        <f t="shared" si="66"/>
        <v/>
      </c>
      <c r="CN204" s="462" t="str">
        <f t="shared" si="67"/>
        <v>0243-00</v>
      </c>
    </row>
    <row r="205" spans="1:92" ht="15" thickBot="1" x14ac:dyDescent="0.35">
      <c r="A205" s="376" t="s">
        <v>161</v>
      </c>
      <c r="B205" s="376" t="s">
        <v>162</v>
      </c>
      <c r="C205" s="376" t="s">
        <v>546</v>
      </c>
      <c r="D205" s="376" t="s">
        <v>438</v>
      </c>
      <c r="E205" s="376" t="s">
        <v>273</v>
      </c>
      <c r="F205" s="377" t="s">
        <v>166</v>
      </c>
      <c r="G205" s="376" t="s">
        <v>432</v>
      </c>
      <c r="H205" s="378"/>
      <c r="I205" s="378"/>
      <c r="J205" s="376" t="s">
        <v>168</v>
      </c>
      <c r="K205" s="376" t="s">
        <v>439</v>
      </c>
      <c r="L205" s="376" t="s">
        <v>231</v>
      </c>
      <c r="M205" s="376" t="s">
        <v>171</v>
      </c>
      <c r="N205" s="376" t="s">
        <v>172</v>
      </c>
      <c r="O205" s="379">
        <v>1</v>
      </c>
      <c r="P205" s="460">
        <v>1</v>
      </c>
      <c r="Q205" s="460">
        <v>1</v>
      </c>
      <c r="R205" s="380">
        <v>80</v>
      </c>
      <c r="S205" s="460">
        <v>1</v>
      </c>
      <c r="T205" s="380">
        <v>14366.53</v>
      </c>
      <c r="U205" s="380">
        <v>0</v>
      </c>
      <c r="V205" s="380">
        <v>14257.84</v>
      </c>
      <c r="W205" s="380">
        <v>41080</v>
      </c>
      <c r="X205" s="380">
        <v>21425.79</v>
      </c>
      <c r="Y205" s="380">
        <v>41080</v>
      </c>
      <c r="Z205" s="380">
        <v>21544.92</v>
      </c>
      <c r="AA205" s="376" t="s">
        <v>547</v>
      </c>
      <c r="AB205" s="376" t="s">
        <v>548</v>
      </c>
      <c r="AC205" s="376" t="s">
        <v>549</v>
      </c>
      <c r="AD205" s="376" t="s">
        <v>176</v>
      </c>
      <c r="AE205" s="376" t="s">
        <v>439</v>
      </c>
      <c r="AF205" s="376" t="s">
        <v>236</v>
      </c>
      <c r="AG205" s="376" t="s">
        <v>178</v>
      </c>
      <c r="AH205" s="381">
        <v>19.75</v>
      </c>
      <c r="AI205" s="381">
        <v>5302.4</v>
      </c>
      <c r="AJ205" s="376" t="s">
        <v>179</v>
      </c>
      <c r="AK205" s="376" t="s">
        <v>180</v>
      </c>
      <c r="AL205" s="376" t="s">
        <v>181</v>
      </c>
      <c r="AM205" s="376" t="s">
        <v>182</v>
      </c>
      <c r="AN205" s="376" t="s">
        <v>68</v>
      </c>
      <c r="AO205" s="379">
        <v>80</v>
      </c>
      <c r="AP205" s="460">
        <v>1</v>
      </c>
      <c r="AQ205" s="460">
        <v>1</v>
      </c>
      <c r="AR205" s="458" t="s">
        <v>183</v>
      </c>
      <c r="AS205" s="462">
        <f t="shared" si="51"/>
        <v>1</v>
      </c>
      <c r="AT205">
        <f t="shared" si="52"/>
        <v>1</v>
      </c>
      <c r="AU205" s="462">
        <f>IF(AT205=0,"",IF(AND(AT205=1,M205="F",SUMIF(C2:C391,C205,AS2:AS391)&lt;=1),SUMIF(C2:C391,C205,AS2:AS391),IF(AND(AT205=1,M205="F",SUMIF(C2:C391,C205,AS2:AS391)&gt;1),1,"")))</f>
        <v>1</v>
      </c>
      <c r="AV205" s="462" t="str">
        <f>IF(AT205=0,"",IF(AND(AT205=3,M205="F",SUMIF(C2:C391,C205,AS2:AS391)&lt;=1),SUMIF(C2:C391,C205,AS2:AS391),IF(AND(AT205=3,M205="F",SUMIF(C2:C391,C205,AS2:AS391)&gt;1),1,"")))</f>
        <v/>
      </c>
      <c r="AW205" s="462">
        <f>SUMIF(C2:C391,C205,O2:O391)</f>
        <v>2</v>
      </c>
      <c r="AX205" s="462">
        <f>IF(AND(M205="F",AS205&lt;&gt;0),SUMIF(C2:C391,C205,W2:W391),0)</f>
        <v>41080</v>
      </c>
      <c r="AY205" s="462">
        <f t="shared" si="53"/>
        <v>41080</v>
      </c>
      <c r="AZ205" s="462" t="str">
        <f t="shared" si="54"/>
        <v/>
      </c>
      <c r="BA205" s="462">
        <f t="shared" si="55"/>
        <v>0</v>
      </c>
      <c r="BB205" s="462">
        <f>IF(AND(AT205=1,AK205="E",AU205&gt;=0.75,AW205=1),Health,IF(AND(AT205=1,AK205="E",AU205&gt;=0.75),Health*P205,IF(AND(AT205=1,AK205="E",AU205&gt;=0.5,AW205=1),PTHealth,IF(AND(AT205=1,AK205="E",AU205&gt;=0.5),PTHealth*P205,0))))</f>
        <v>11650</v>
      </c>
      <c r="BC205" s="462">
        <f>IF(AND(AT205=3,AK205="E",AV205&gt;=0.75,AW205=1),Health,IF(AND(AT205=3,AK205="E",AV205&gt;=0.75),Health*P205,IF(AND(AT205=3,AK205="E",AV205&gt;=0.5,AW205=1),PTHealth,IF(AND(AT205=3,AK205="E",AV205&gt;=0.5),PTHealth*P205,0))))</f>
        <v>0</v>
      </c>
      <c r="BD205" s="462">
        <f>IF(AND(AT205&lt;&gt;0,AX205&gt;=MAXSSDI),SSDI*MAXSSDI*P205,IF(AT205&lt;&gt;0,SSDI*W205,0))</f>
        <v>2546.96</v>
      </c>
      <c r="BE205" s="462">
        <f>IF(AT205&lt;&gt;0,SSHI*W205,0)</f>
        <v>595.66000000000008</v>
      </c>
      <c r="BF205" s="462">
        <f>IF(AND(AT205&lt;&gt;0,AN205&lt;&gt;"NE"),VLOOKUP(AN205,Retirement_Rates,3,FALSE)*W205,0)</f>
        <v>4904.9520000000002</v>
      </c>
      <c r="BG205" s="462">
        <f>IF(AND(AT205&lt;&gt;0,AJ205&lt;&gt;"PF"),Life*W205,0)</f>
        <v>296.18680000000001</v>
      </c>
      <c r="BH205" s="462">
        <f>IF(AND(AT205&lt;&gt;0,AM205="Y"),UI*W205,0)</f>
        <v>201.292</v>
      </c>
      <c r="BI205" s="462">
        <f>IF(AND(AT205&lt;&gt;0,N205&lt;&gt;"NR"),DHR*W205,0)</f>
        <v>125.70479999999999</v>
      </c>
      <c r="BJ205" s="462">
        <f>IF(AT205&lt;&gt;0,WC*W205,0)</f>
        <v>1105.0519999999999</v>
      </c>
      <c r="BK205" s="462">
        <f>IF(OR(AND(AT205&lt;&gt;0,AJ205&lt;&gt;"PF",AN205&lt;&gt;"NE",AG205&lt;&gt;"A"),AND(AL205="E",OR(AT205=1,AT205=3))),Sick*W205,0)</f>
        <v>0</v>
      </c>
      <c r="BL205" s="462">
        <f t="shared" si="56"/>
        <v>9775.8075999999983</v>
      </c>
      <c r="BM205" s="462">
        <f t="shared" si="57"/>
        <v>0</v>
      </c>
      <c r="BN205" s="462">
        <f>IF(AND(AT205=1,AK205="E",AU205&gt;=0.75,AW205=1),HealthBY,IF(AND(AT205=1,AK205="E",AU205&gt;=0.75),HealthBY*P205,IF(AND(AT205=1,AK205="E",AU205&gt;=0.5,AW205=1),PTHealthBY,IF(AND(AT205=1,AK205="E",AU205&gt;=0.5),PTHealthBY*P205,0))))</f>
        <v>11650</v>
      </c>
      <c r="BO205" s="462">
        <f>IF(AND(AT205=3,AK205="E",AV205&gt;=0.75,AW205=1),HealthBY,IF(AND(AT205=3,AK205="E",AV205&gt;=0.75),HealthBY*P205,IF(AND(AT205=3,AK205="E",AV205&gt;=0.5,AW205=1),PTHealthBY,IF(AND(AT205=3,AK205="E",AV205&gt;=0.5),PTHealthBY*P205,0))))</f>
        <v>0</v>
      </c>
      <c r="BP205" s="462">
        <f>IF(AND(AT205&lt;&gt;0,(AX205+BA205)&gt;=MAXSSDIBY),SSDIBY*MAXSSDIBY*P205,IF(AT205&lt;&gt;0,SSDIBY*W205,0))</f>
        <v>2546.96</v>
      </c>
      <c r="BQ205" s="462">
        <f>IF(AT205&lt;&gt;0,SSHIBY*W205,0)</f>
        <v>595.66000000000008</v>
      </c>
      <c r="BR205" s="462">
        <f>IF(AND(AT205&lt;&gt;0,AN205&lt;&gt;"NE"),VLOOKUP(AN205,Retirement_Rates,4,FALSE)*W205,0)</f>
        <v>4904.9520000000002</v>
      </c>
      <c r="BS205" s="462">
        <f>IF(AND(AT205&lt;&gt;0,AJ205&lt;&gt;"PF"),LifeBY*W205,0)</f>
        <v>296.18680000000001</v>
      </c>
      <c r="BT205" s="462">
        <f>IF(AND(AT205&lt;&gt;0,AM205="Y"),UIBY*W205,0)</f>
        <v>0</v>
      </c>
      <c r="BU205" s="462">
        <f>IF(AND(AT205&lt;&gt;0,N205&lt;&gt;"NR"),DHRBY*W205,0)</f>
        <v>125.70479999999999</v>
      </c>
      <c r="BV205" s="462">
        <f>IF(AT205&lt;&gt;0,WCBY*W205,0)</f>
        <v>1425.4760000000001</v>
      </c>
      <c r="BW205" s="462">
        <f>IF(OR(AND(AT205&lt;&gt;0,AJ205&lt;&gt;"PF",AN205&lt;&gt;"NE",AG205&lt;&gt;"A"),AND(AL205="E",OR(AT205=1,AT205=3))),SickBY*W205,0)</f>
        <v>0</v>
      </c>
      <c r="BX205" s="462">
        <f t="shared" si="58"/>
        <v>9894.9395999999997</v>
      </c>
      <c r="BY205" s="462">
        <f t="shared" si="59"/>
        <v>0</v>
      </c>
      <c r="BZ205" s="462">
        <f t="shared" si="60"/>
        <v>0</v>
      </c>
      <c r="CA205" s="462">
        <f t="shared" si="61"/>
        <v>0</v>
      </c>
      <c r="CB205" s="462">
        <f t="shared" si="62"/>
        <v>0</v>
      </c>
      <c r="CC205" s="462">
        <f>IF(AT205&lt;&gt;0,SSHICHG*Y205,0)</f>
        <v>0</v>
      </c>
      <c r="CD205" s="462">
        <f>IF(AND(AT205&lt;&gt;0,AN205&lt;&gt;"NE"),VLOOKUP(AN205,Retirement_Rates,5,FALSE)*Y205,0)</f>
        <v>0</v>
      </c>
      <c r="CE205" s="462">
        <f>IF(AND(AT205&lt;&gt;0,AJ205&lt;&gt;"PF"),LifeCHG*Y205,0)</f>
        <v>0</v>
      </c>
      <c r="CF205" s="462">
        <f>IF(AND(AT205&lt;&gt;0,AM205="Y"),UICHG*Y205,0)</f>
        <v>-201.292</v>
      </c>
      <c r="CG205" s="462">
        <f>IF(AND(AT205&lt;&gt;0,N205&lt;&gt;"NR"),DHRCHG*Y205,0)</f>
        <v>0</v>
      </c>
      <c r="CH205" s="462">
        <f>IF(AT205&lt;&gt;0,WCCHG*Y205,0)</f>
        <v>320.42400000000004</v>
      </c>
      <c r="CI205" s="462">
        <f>IF(OR(AND(AT205&lt;&gt;0,AJ205&lt;&gt;"PF",AN205&lt;&gt;"NE",AG205&lt;&gt;"A"),AND(AL205="E",OR(AT205=1,AT205=3))),SickCHG*Y205,0)</f>
        <v>0</v>
      </c>
      <c r="CJ205" s="462">
        <f t="shared" si="63"/>
        <v>119.13200000000003</v>
      </c>
      <c r="CK205" s="462" t="str">
        <f t="shared" si="64"/>
        <v/>
      </c>
      <c r="CL205" s="462" t="str">
        <f t="shared" si="65"/>
        <v/>
      </c>
      <c r="CM205" s="462" t="str">
        <f t="shared" si="66"/>
        <v/>
      </c>
      <c r="CN205" s="462" t="str">
        <f t="shared" si="67"/>
        <v>0243-00</v>
      </c>
    </row>
    <row r="206" spans="1:92" ht="15" thickBot="1" x14ac:dyDescent="0.35">
      <c r="A206" s="376" t="s">
        <v>161</v>
      </c>
      <c r="B206" s="376" t="s">
        <v>162</v>
      </c>
      <c r="C206" s="376" t="s">
        <v>774</v>
      </c>
      <c r="D206" s="376" t="s">
        <v>221</v>
      </c>
      <c r="E206" s="376" t="s">
        <v>273</v>
      </c>
      <c r="F206" s="377" t="s">
        <v>166</v>
      </c>
      <c r="G206" s="376" t="s">
        <v>432</v>
      </c>
      <c r="H206" s="378"/>
      <c r="I206" s="378"/>
      <c r="J206" s="376" t="s">
        <v>168</v>
      </c>
      <c r="K206" s="376" t="s">
        <v>222</v>
      </c>
      <c r="L206" s="376" t="s">
        <v>166</v>
      </c>
      <c r="M206" s="376" t="s">
        <v>171</v>
      </c>
      <c r="N206" s="376" t="s">
        <v>223</v>
      </c>
      <c r="O206" s="379">
        <v>0</v>
      </c>
      <c r="P206" s="460">
        <v>1</v>
      </c>
      <c r="Q206" s="460">
        <v>0</v>
      </c>
      <c r="R206" s="380">
        <v>0</v>
      </c>
      <c r="S206" s="460">
        <v>0</v>
      </c>
      <c r="T206" s="380">
        <v>42525</v>
      </c>
      <c r="U206" s="380">
        <v>1914</v>
      </c>
      <c r="V206" s="380">
        <v>12899.88</v>
      </c>
      <c r="W206" s="380">
        <v>44439</v>
      </c>
      <c r="X206" s="380">
        <v>12899.88</v>
      </c>
      <c r="Y206" s="380">
        <v>44439</v>
      </c>
      <c r="Z206" s="380">
        <v>12899.88</v>
      </c>
      <c r="AA206" s="378"/>
      <c r="AB206" s="376" t="s">
        <v>45</v>
      </c>
      <c r="AC206" s="376" t="s">
        <v>45</v>
      </c>
      <c r="AD206" s="378"/>
      <c r="AE206" s="378"/>
      <c r="AF206" s="378"/>
      <c r="AG206" s="378"/>
      <c r="AH206" s="379">
        <v>0</v>
      </c>
      <c r="AI206" s="379">
        <v>0</v>
      </c>
      <c r="AJ206" s="378"/>
      <c r="AK206" s="378"/>
      <c r="AL206" s="376" t="s">
        <v>181</v>
      </c>
      <c r="AM206" s="378"/>
      <c r="AN206" s="378"/>
      <c r="AO206" s="379">
        <v>0</v>
      </c>
      <c r="AP206" s="460">
        <v>0</v>
      </c>
      <c r="AQ206" s="460">
        <v>0</v>
      </c>
      <c r="AR206" s="459"/>
      <c r="AS206" s="462">
        <f t="shared" si="51"/>
        <v>0</v>
      </c>
      <c r="AT206">
        <f t="shared" si="52"/>
        <v>0</v>
      </c>
      <c r="AU206" s="462" t="str">
        <f>IF(AT206=0,"",IF(AND(AT206=1,M206="F",SUMIF(C2:C391,C206,AS2:AS391)&lt;=1),SUMIF(C2:C391,C206,AS2:AS391),IF(AND(AT206=1,M206="F",SUMIF(C2:C391,C206,AS2:AS391)&gt;1),1,"")))</f>
        <v/>
      </c>
      <c r="AV206" s="462" t="str">
        <f>IF(AT206=0,"",IF(AND(AT206=3,M206="F",SUMIF(C2:C391,C206,AS2:AS391)&lt;=1),SUMIF(C2:C391,C206,AS2:AS391),IF(AND(AT206=3,M206="F",SUMIF(C2:C391,C206,AS2:AS391)&gt;1),1,"")))</f>
        <v/>
      </c>
      <c r="AW206" s="462">
        <f>SUMIF(C2:C391,C206,O2:O391)</f>
        <v>0</v>
      </c>
      <c r="AX206" s="462">
        <f>IF(AND(M206="F",AS206&lt;&gt;0),SUMIF(C2:C391,C206,W2:W391),0)</f>
        <v>0</v>
      </c>
      <c r="AY206" s="462" t="str">
        <f t="shared" si="53"/>
        <v/>
      </c>
      <c r="AZ206" s="462" t="str">
        <f t="shared" si="54"/>
        <v/>
      </c>
      <c r="BA206" s="462">
        <f t="shared" si="55"/>
        <v>0</v>
      </c>
      <c r="BB206" s="462">
        <f>IF(AND(AT206=1,AK206="E",AU206&gt;=0.75,AW206=1),Health,IF(AND(AT206=1,AK206="E",AU206&gt;=0.75),Health*P206,IF(AND(AT206=1,AK206="E",AU206&gt;=0.5,AW206=1),PTHealth,IF(AND(AT206=1,AK206="E",AU206&gt;=0.5),PTHealth*P206,0))))</f>
        <v>0</v>
      </c>
      <c r="BC206" s="462">
        <f>IF(AND(AT206=3,AK206="E",AV206&gt;=0.75,AW206=1),Health,IF(AND(AT206=3,AK206="E",AV206&gt;=0.75),Health*P206,IF(AND(AT206=3,AK206="E",AV206&gt;=0.5,AW206=1),PTHealth,IF(AND(AT206=3,AK206="E",AV206&gt;=0.5),PTHealth*P206,0))))</f>
        <v>0</v>
      </c>
      <c r="BD206" s="462">
        <f>IF(AND(AT206&lt;&gt;0,AX206&gt;=MAXSSDI),SSDI*MAXSSDI*P206,IF(AT206&lt;&gt;0,SSDI*W206,0))</f>
        <v>0</v>
      </c>
      <c r="BE206" s="462">
        <f>IF(AT206&lt;&gt;0,SSHI*W206,0)</f>
        <v>0</v>
      </c>
      <c r="BF206" s="462">
        <f>IF(AND(AT206&lt;&gt;0,AN206&lt;&gt;"NE"),VLOOKUP(AN206,Retirement_Rates,3,FALSE)*W206,0)</f>
        <v>0</v>
      </c>
      <c r="BG206" s="462">
        <f>IF(AND(AT206&lt;&gt;0,AJ206&lt;&gt;"PF"),Life*W206,0)</f>
        <v>0</v>
      </c>
      <c r="BH206" s="462">
        <f>IF(AND(AT206&lt;&gt;0,AM206="Y"),UI*W206,0)</f>
        <v>0</v>
      </c>
      <c r="BI206" s="462">
        <f>IF(AND(AT206&lt;&gt;0,N206&lt;&gt;"NR"),DHR*W206,0)</f>
        <v>0</v>
      </c>
      <c r="BJ206" s="462">
        <f>IF(AT206&lt;&gt;0,WC*W206,0)</f>
        <v>0</v>
      </c>
      <c r="BK206" s="462">
        <f>IF(OR(AND(AT206&lt;&gt;0,AJ206&lt;&gt;"PF",AN206&lt;&gt;"NE",AG206&lt;&gt;"A"),AND(AL206="E",OR(AT206=1,AT206=3))),Sick*W206,0)</f>
        <v>0</v>
      </c>
      <c r="BL206" s="462">
        <f t="shared" si="56"/>
        <v>0</v>
      </c>
      <c r="BM206" s="462">
        <f t="shared" si="57"/>
        <v>0</v>
      </c>
      <c r="BN206" s="462">
        <f>IF(AND(AT206=1,AK206="E",AU206&gt;=0.75,AW206=1),HealthBY,IF(AND(AT206=1,AK206="E",AU206&gt;=0.75),HealthBY*P206,IF(AND(AT206=1,AK206="E",AU206&gt;=0.5,AW206=1),PTHealthBY,IF(AND(AT206=1,AK206="E",AU206&gt;=0.5),PTHealthBY*P206,0))))</f>
        <v>0</v>
      </c>
      <c r="BO206" s="462">
        <f>IF(AND(AT206=3,AK206="E",AV206&gt;=0.75,AW206=1),HealthBY,IF(AND(AT206=3,AK206="E",AV206&gt;=0.75),HealthBY*P206,IF(AND(AT206=3,AK206="E",AV206&gt;=0.5,AW206=1),PTHealthBY,IF(AND(AT206=3,AK206="E",AV206&gt;=0.5),PTHealthBY*P206,0))))</f>
        <v>0</v>
      </c>
      <c r="BP206" s="462">
        <f>IF(AND(AT206&lt;&gt;0,(AX206+BA206)&gt;=MAXSSDIBY),SSDIBY*MAXSSDIBY*P206,IF(AT206&lt;&gt;0,SSDIBY*W206,0))</f>
        <v>0</v>
      </c>
      <c r="BQ206" s="462">
        <f>IF(AT206&lt;&gt;0,SSHIBY*W206,0)</f>
        <v>0</v>
      </c>
      <c r="BR206" s="462">
        <f>IF(AND(AT206&lt;&gt;0,AN206&lt;&gt;"NE"),VLOOKUP(AN206,Retirement_Rates,4,FALSE)*W206,0)</f>
        <v>0</v>
      </c>
      <c r="BS206" s="462">
        <f>IF(AND(AT206&lt;&gt;0,AJ206&lt;&gt;"PF"),LifeBY*W206,0)</f>
        <v>0</v>
      </c>
      <c r="BT206" s="462">
        <f>IF(AND(AT206&lt;&gt;0,AM206="Y"),UIBY*W206,0)</f>
        <v>0</v>
      </c>
      <c r="BU206" s="462">
        <f>IF(AND(AT206&lt;&gt;0,N206&lt;&gt;"NR"),DHRBY*W206,0)</f>
        <v>0</v>
      </c>
      <c r="BV206" s="462">
        <f>IF(AT206&lt;&gt;0,WCBY*W206,0)</f>
        <v>0</v>
      </c>
      <c r="BW206" s="462">
        <f>IF(OR(AND(AT206&lt;&gt;0,AJ206&lt;&gt;"PF",AN206&lt;&gt;"NE",AG206&lt;&gt;"A"),AND(AL206="E",OR(AT206=1,AT206=3))),SickBY*W206,0)</f>
        <v>0</v>
      </c>
      <c r="BX206" s="462">
        <f t="shared" si="58"/>
        <v>0</v>
      </c>
      <c r="BY206" s="462">
        <f t="shared" si="59"/>
        <v>0</v>
      </c>
      <c r="BZ206" s="462">
        <f t="shared" si="60"/>
        <v>0</v>
      </c>
      <c r="CA206" s="462">
        <f t="shared" si="61"/>
        <v>0</v>
      </c>
      <c r="CB206" s="462">
        <f t="shared" si="62"/>
        <v>0</v>
      </c>
      <c r="CC206" s="462">
        <f>IF(AT206&lt;&gt;0,SSHICHG*Y206,0)</f>
        <v>0</v>
      </c>
      <c r="CD206" s="462">
        <f>IF(AND(AT206&lt;&gt;0,AN206&lt;&gt;"NE"),VLOOKUP(AN206,Retirement_Rates,5,FALSE)*Y206,0)</f>
        <v>0</v>
      </c>
      <c r="CE206" s="462">
        <f>IF(AND(AT206&lt;&gt;0,AJ206&lt;&gt;"PF"),LifeCHG*Y206,0)</f>
        <v>0</v>
      </c>
      <c r="CF206" s="462">
        <f>IF(AND(AT206&lt;&gt;0,AM206="Y"),UICHG*Y206,0)</f>
        <v>0</v>
      </c>
      <c r="CG206" s="462">
        <f>IF(AND(AT206&lt;&gt;0,N206&lt;&gt;"NR"),DHRCHG*Y206,0)</f>
        <v>0</v>
      </c>
      <c r="CH206" s="462">
        <f>IF(AT206&lt;&gt;0,WCCHG*Y206,0)</f>
        <v>0</v>
      </c>
      <c r="CI206" s="462">
        <f>IF(OR(AND(AT206&lt;&gt;0,AJ206&lt;&gt;"PF",AN206&lt;&gt;"NE",AG206&lt;&gt;"A"),AND(AL206="E",OR(AT206=1,AT206=3))),SickCHG*Y206,0)</f>
        <v>0</v>
      </c>
      <c r="CJ206" s="462">
        <f t="shared" si="63"/>
        <v>0</v>
      </c>
      <c r="CK206" s="462" t="str">
        <f t="shared" si="64"/>
        <v/>
      </c>
      <c r="CL206" s="462">
        <f t="shared" si="65"/>
        <v>44439</v>
      </c>
      <c r="CM206" s="462">
        <f t="shared" si="66"/>
        <v>12899.88</v>
      </c>
      <c r="CN206" s="462" t="str">
        <f t="shared" si="67"/>
        <v>0243-00</v>
      </c>
    </row>
    <row r="207" spans="1:92" ht="15" thickBot="1" x14ac:dyDescent="0.35">
      <c r="A207" s="376" t="s">
        <v>161</v>
      </c>
      <c r="B207" s="376" t="s">
        <v>162</v>
      </c>
      <c r="C207" s="376" t="s">
        <v>775</v>
      </c>
      <c r="D207" s="376" t="s">
        <v>438</v>
      </c>
      <c r="E207" s="376" t="s">
        <v>273</v>
      </c>
      <c r="F207" s="377" t="s">
        <v>166</v>
      </c>
      <c r="G207" s="376" t="s">
        <v>432</v>
      </c>
      <c r="H207" s="378"/>
      <c r="I207" s="378"/>
      <c r="J207" s="376" t="s">
        <v>168</v>
      </c>
      <c r="K207" s="376" t="s">
        <v>439</v>
      </c>
      <c r="L207" s="376" t="s">
        <v>231</v>
      </c>
      <c r="M207" s="376" t="s">
        <v>171</v>
      </c>
      <c r="N207" s="376" t="s">
        <v>172</v>
      </c>
      <c r="O207" s="379">
        <v>1</v>
      </c>
      <c r="P207" s="460">
        <v>1</v>
      </c>
      <c r="Q207" s="460">
        <v>1</v>
      </c>
      <c r="R207" s="380">
        <v>80</v>
      </c>
      <c r="S207" s="460">
        <v>1</v>
      </c>
      <c r="T207" s="380">
        <v>41586.769999999997</v>
      </c>
      <c r="U207" s="380">
        <v>0</v>
      </c>
      <c r="V207" s="380">
        <v>21156.76</v>
      </c>
      <c r="W207" s="380">
        <v>41454.400000000001</v>
      </c>
      <c r="X207" s="380">
        <v>21514.87</v>
      </c>
      <c r="Y207" s="380">
        <v>41454.400000000001</v>
      </c>
      <c r="Z207" s="380">
        <v>21635.09</v>
      </c>
      <c r="AA207" s="376" t="s">
        <v>776</v>
      </c>
      <c r="AB207" s="376" t="s">
        <v>777</v>
      </c>
      <c r="AC207" s="376" t="s">
        <v>445</v>
      </c>
      <c r="AD207" s="376" t="s">
        <v>176</v>
      </c>
      <c r="AE207" s="376" t="s">
        <v>439</v>
      </c>
      <c r="AF207" s="376" t="s">
        <v>236</v>
      </c>
      <c r="AG207" s="376" t="s">
        <v>178</v>
      </c>
      <c r="AH207" s="381">
        <v>19.93</v>
      </c>
      <c r="AI207" s="381">
        <v>6609.4</v>
      </c>
      <c r="AJ207" s="376" t="s">
        <v>179</v>
      </c>
      <c r="AK207" s="376" t="s">
        <v>180</v>
      </c>
      <c r="AL207" s="376" t="s">
        <v>181</v>
      </c>
      <c r="AM207" s="376" t="s">
        <v>182</v>
      </c>
      <c r="AN207" s="376" t="s">
        <v>68</v>
      </c>
      <c r="AO207" s="379">
        <v>80</v>
      </c>
      <c r="AP207" s="460">
        <v>1</v>
      </c>
      <c r="AQ207" s="460">
        <v>1</v>
      </c>
      <c r="AR207" s="458" t="s">
        <v>183</v>
      </c>
      <c r="AS207" s="462">
        <f t="shared" si="51"/>
        <v>1</v>
      </c>
      <c r="AT207">
        <f t="shared" si="52"/>
        <v>1</v>
      </c>
      <c r="AU207" s="462">
        <f>IF(AT207=0,"",IF(AND(AT207=1,M207="F",SUMIF(C2:C391,C207,AS2:AS391)&lt;=1),SUMIF(C2:C391,C207,AS2:AS391),IF(AND(AT207=1,M207="F",SUMIF(C2:C391,C207,AS2:AS391)&gt;1),1,"")))</f>
        <v>1</v>
      </c>
      <c r="AV207" s="462" t="str">
        <f>IF(AT207=0,"",IF(AND(AT207=3,M207="F",SUMIF(C2:C391,C207,AS2:AS391)&lt;=1),SUMIF(C2:C391,C207,AS2:AS391),IF(AND(AT207=3,M207="F",SUMIF(C2:C391,C207,AS2:AS391)&gt;1),1,"")))</f>
        <v/>
      </c>
      <c r="AW207" s="462">
        <f>SUMIF(C2:C391,C207,O2:O391)</f>
        <v>1</v>
      </c>
      <c r="AX207" s="462">
        <f>IF(AND(M207="F",AS207&lt;&gt;0),SUMIF(C2:C391,C207,W2:W391),0)</f>
        <v>41454.400000000001</v>
      </c>
      <c r="AY207" s="462">
        <f t="shared" si="53"/>
        <v>41454.400000000001</v>
      </c>
      <c r="AZ207" s="462" t="str">
        <f t="shared" si="54"/>
        <v/>
      </c>
      <c r="BA207" s="462">
        <f t="shared" si="55"/>
        <v>0</v>
      </c>
      <c r="BB207" s="462">
        <f>IF(AND(AT207=1,AK207="E",AU207&gt;=0.75,AW207=1),Health,IF(AND(AT207=1,AK207="E",AU207&gt;=0.75),Health*P207,IF(AND(AT207=1,AK207="E",AU207&gt;=0.5,AW207=1),PTHealth,IF(AND(AT207=1,AK207="E",AU207&gt;=0.5),PTHealth*P207,0))))</f>
        <v>11650</v>
      </c>
      <c r="BC207" s="462">
        <f>IF(AND(AT207=3,AK207="E",AV207&gt;=0.75,AW207=1),Health,IF(AND(AT207=3,AK207="E",AV207&gt;=0.75),Health*P207,IF(AND(AT207=3,AK207="E",AV207&gt;=0.5,AW207=1),PTHealth,IF(AND(AT207=3,AK207="E",AV207&gt;=0.5),PTHealth*P207,0))))</f>
        <v>0</v>
      </c>
      <c r="BD207" s="462">
        <f>IF(AND(AT207&lt;&gt;0,AX207&gt;=MAXSSDI),SSDI*MAXSSDI*P207,IF(AT207&lt;&gt;0,SSDI*W207,0))</f>
        <v>2570.1728000000003</v>
      </c>
      <c r="BE207" s="462">
        <f>IF(AT207&lt;&gt;0,SSHI*W207,0)</f>
        <v>601.08880000000011</v>
      </c>
      <c r="BF207" s="462">
        <f>IF(AND(AT207&lt;&gt;0,AN207&lt;&gt;"NE"),VLOOKUP(AN207,Retirement_Rates,3,FALSE)*W207,0)</f>
        <v>4949.6553600000007</v>
      </c>
      <c r="BG207" s="462">
        <f>IF(AND(AT207&lt;&gt;0,AJ207&lt;&gt;"PF"),Life*W207,0)</f>
        <v>298.88622400000003</v>
      </c>
      <c r="BH207" s="462">
        <f>IF(AND(AT207&lt;&gt;0,AM207="Y"),UI*W207,0)</f>
        <v>203.12656000000001</v>
      </c>
      <c r="BI207" s="462">
        <f>IF(AND(AT207&lt;&gt;0,N207&lt;&gt;"NR"),DHR*W207,0)</f>
        <v>126.850464</v>
      </c>
      <c r="BJ207" s="462">
        <f>IF(AT207&lt;&gt;0,WC*W207,0)</f>
        <v>1115.12336</v>
      </c>
      <c r="BK207" s="462">
        <f>IF(OR(AND(AT207&lt;&gt;0,AJ207&lt;&gt;"PF",AN207&lt;&gt;"NE",AG207&lt;&gt;"A"),AND(AL207="E",OR(AT207=1,AT207=3))),Sick*W207,0)</f>
        <v>0</v>
      </c>
      <c r="BL207" s="462">
        <f t="shared" si="56"/>
        <v>9864.9035679999997</v>
      </c>
      <c r="BM207" s="462">
        <f t="shared" si="57"/>
        <v>0</v>
      </c>
      <c r="BN207" s="462">
        <f>IF(AND(AT207=1,AK207="E",AU207&gt;=0.75,AW207=1),HealthBY,IF(AND(AT207=1,AK207="E",AU207&gt;=0.75),HealthBY*P207,IF(AND(AT207=1,AK207="E",AU207&gt;=0.5,AW207=1),PTHealthBY,IF(AND(AT207=1,AK207="E",AU207&gt;=0.5),PTHealthBY*P207,0))))</f>
        <v>11650</v>
      </c>
      <c r="BO207" s="462">
        <f>IF(AND(AT207=3,AK207="E",AV207&gt;=0.75,AW207=1),HealthBY,IF(AND(AT207=3,AK207="E",AV207&gt;=0.75),HealthBY*P207,IF(AND(AT207=3,AK207="E",AV207&gt;=0.5,AW207=1),PTHealthBY,IF(AND(AT207=3,AK207="E",AV207&gt;=0.5),PTHealthBY*P207,0))))</f>
        <v>0</v>
      </c>
      <c r="BP207" s="462">
        <f>IF(AND(AT207&lt;&gt;0,(AX207+BA207)&gt;=MAXSSDIBY),SSDIBY*MAXSSDIBY*P207,IF(AT207&lt;&gt;0,SSDIBY*W207,0))</f>
        <v>2570.1728000000003</v>
      </c>
      <c r="BQ207" s="462">
        <f>IF(AT207&lt;&gt;0,SSHIBY*W207,0)</f>
        <v>601.08880000000011</v>
      </c>
      <c r="BR207" s="462">
        <f>IF(AND(AT207&lt;&gt;0,AN207&lt;&gt;"NE"),VLOOKUP(AN207,Retirement_Rates,4,FALSE)*W207,0)</f>
        <v>4949.6553600000007</v>
      </c>
      <c r="BS207" s="462">
        <f>IF(AND(AT207&lt;&gt;0,AJ207&lt;&gt;"PF"),LifeBY*W207,0)</f>
        <v>298.88622400000003</v>
      </c>
      <c r="BT207" s="462">
        <f>IF(AND(AT207&lt;&gt;0,AM207="Y"),UIBY*W207,0)</f>
        <v>0</v>
      </c>
      <c r="BU207" s="462">
        <f>IF(AND(AT207&lt;&gt;0,N207&lt;&gt;"NR"),DHRBY*W207,0)</f>
        <v>126.850464</v>
      </c>
      <c r="BV207" s="462">
        <f>IF(AT207&lt;&gt;0,WCBY*W207,0)</f>
        <v>1438.4676800000002</v>
      </c>
      <c r="BW207" s="462">
        <f>IF(OR(AND(AT207&lt;&gt;0,AJ207&lt;&gt;"PF",AN207&lt;&gt;"NE",AG207&lt;&gt;"A"),AND(AL207="E",OR(AT207=1,AT207=3))),SickBY*W207,0)</f>
        <v>0</v>
      </c>
      <c r="BX207" s="462">
        <f t="shared" si="58"/>
        <v>9985.1213279999993</v>
      </c>
      <c r="BY207" s="462">
        <f t="shared" si="59"/>
        <v>0</v>
      </c>
      <c r="BZ207" s="462">
        <f t="shared" si="60"/>
        <v>0</v>
      </c>
      <c r="CA207" s="462">
        <f t="shared" si="61"/>
        <v>0</v>
      </c>
      <c r="CB207" s="462">
        <f t="shared" si="62"/>
        <v>0</v>
      </c>
      <c r="CC207" s="462">
        <f>IF(AT207&lt;&gt;0,SSHICHG*Y207,0)</f>
        <v>0</v>
      </c>
      <c r="CD207" s="462">
        <f>IF(AND(AT207&lt;&gt;0,AN207&lt;&gt;"NE"),VLOOKUP(AN207,Retirement_Rates,5,FALSE)*Y207,0)</f>
        <v>0</v>
      </c>
      <c r="CE207" s="462">
        <f>IF(AND(AT207&lt;&gt;0,AJ207&lt;&gt;"PF"),LifeCHG*Y207,0)</f>
        <v>0</v>
      </c>
      <c r="CF207" s="462">
        <f>IF(AND(AT207&lt;&gt;0,AM207="Y"),UICHG*Y207,0)</f>
        <v>-203.12656000000001</v>
      </c>
      <c r="CG207" s="462">
        <f>IF(AND(AT207&lt;&gt;0,N207&lt;&gt;"NR"),DHRCHG*Y207,0)</f>
        <v>0</v>
      </c>
      <c r="CH207" s="462">
        <f>IF(AT207&lt;&gt;0,WCCHG*Y207,0)</f>
        <v>323.3443200000001</v>
      </c>
      <c r="CI207" s="462">
        <f>IF(OR(AND(AT207&lt;&gt;0,AJ207&lt;&gt;"PF",AN207&lt;&gt;"NE",AG207&lt;&gt;"A"),AND(AL207="E",OR(AT207=1,AT207=3))),SickCHG*Y207,0)</f>
        <v>0</v>
      </c>
      <c r="CJ207" s="462">
        <f t="shared" si="63"/>
        <v>120.21776000000008</v>
      </c>
      <c r="CK207" s="462" t="str">
        <f t="shared" si="64"/>
        <v/>
      </c>
      <c r="CL207" s="462" t="str">
        <f t="shared" si="65"/>
        <v/>
      </c>
      <c r="CM207" s="462" t="str">
        <f t="shared" si="66"/>
        <v/>
      </c>
      <c r="CN207" s="462" t="str">
        <f t="shared" si="67"/>
        <v>0243-00</v>
      </c>
    </row>
    <row r="208" spans="1:92" ht="15" thickBot="1" x14ac:dyDescent="0.35">
      <c r="A208" s="376" t="s">
        <v>161</v>
      </c>
      <c r="B208" s="376" t="s">
        <v>162</v>
      </c>
      <c r="C208" s="376" t="s">
        <v>778</v>
      </c>
      <c r="D208" s="376" t="s">
        <v>438</v>
      </c>
      <c r="E208" s="376" t="s">
        <v>273</v>
      </c>
      <c r="F208" s="377" t="s">
        <v>166</v>
      </c>
      <c r="G208" s="376" t="s">
        <v>432</v>
      </c>
      <c r="H208" s="378"/>
      <c r="I208" s="378"/>
      <c r="J208" s="376" t="s">
        <v>193</v>
      </c>
      <c r="K208" s="376" t="s">
        <v>439</v>
      </c>
      <c r="L208" s="376" t="s">
        <v>231</v>
      </c>
      <c r="M208" s="376" t="s">
        <v>171</v>
      </c>
      <c r="N208" s="376" t="s">
        <v>172</v>
      </c>
      <c r="O208" s="379">
        <v>1</v>
      </c>
      <c r="P208" s="460">
        <v>0.6</v>
      </c>
      <c r="Q208" s="460">
        <v>0.6</v>
      </c>
      <c r="R208" s="380">
        <v>80</v>
      </c>
      <c r="S208" s="460">
        <v>0.6</v>
      </c>
      <c r="T208" s="380">
        <v>25128.25</v>
      </c>
      <c r="U208" s="380">
        <v>0</v>
      </c>
      <c r="V208" s="380">
        <v>12650.83</v>
      </c>
      <c r="W208" s="380">
        <v>25534.080000000002</v>
      </c>
      <c r="X208" s="380">
        <v>13066.32</v>
      </c>
      <c r="Y208" s="380">
        <v>25534.080000000002</v>
      </c>
      <c r="Z208" s="380">
        <v>13140.38</v>
      </c>
      <c r="AA208" s="376" t="s">
        <v>779</v>
      </c>
      <c r="AB208" s="376" t="s">
        <v>780</v>
      </c>
      <c r="AC208" s="376" t="s">
        <v>781</v>
      </c>
      <c r="AD208" s="376" t="s">
        <v>359</v>
      </c>
      <c r="AE208" s="376" t="s">
        <v>439</v>
      </c>
      <c r="AF208" s="376" t="s">
        <v>236</v>
      </c>
      <c r="AG208" s="376" t="s">
        <v>178</v>
      </c>
      <c r="AH208" s="381">
        <v>20.46</v>
      </c>
      <c r="AI208" s="381">
        <v>10442.4</v>
      </c>
      <c r="AJ208" s="376" t="s">
        <v>179</v>
      </c>
      <c r="AK208" s="376" t="s">
        <v>180</v>
      </c>
      <c r="AL208" s="376" t="s">
        <v>181</v>
      </c>
      <c r="AM208" s="376" t="s">
        <v>182</v>
      </c>
      <c r="AN208" s="376" t="s">
        <v>68</v>
      </c>
      <c r="AO208" s="379">
        <v>80</v>
      </c>
      <c r="AP208" s="460">
        <v>1</v>
      </c>
      <c r="AQ208" s="460">
        <v>0.6</v>
      </c>
      <c r="AR208" s="458" t="s">
        <v>183</v>
      </c>
      <c r="AS208" s="462">
        <f t="shared" si="51"/>
        <v>0.6</v>
      </c>
      <c r="AT208">
        <f t="shared" si="52"/>
        <v>1</v>
      </c>
      <c r="AU208" s="462">
        <f>IF(AT208=0,"",IF(AND(AT208=1,M208="F",SUMIF(C2:C391,C208,AS2:AS391)&lt;=1),SUMIF(C2:C391,C208,AS2:AS391),IF(AND(AT208=1,M208="F",SUMIF(C2:C391,C208,AS2:AS391)&gt;1),1,"")))</f>
        <v>1</v>
      </c>
      <c r="AV208" s="462" t="str">
        <f>IF(AT208=0,"",IF(AND(AT208=3,M208="F",SUMIF(C2:C391,C208,AS2:AS391)&lt;=1),SUMIF(C2:C391,C208,AS2:AS391),IF(AND(AT208=3,M208="F",SUMIF(C2:C391,C208,AS2:AS391)&gt;1),1,"")))</f>
        <v/>
      </c>
      <c r="AW208" s="462">
        <f>SUMIF(C2:C391,C208,O2:O391)</f>
        <v>2</v>
      </c>
      <c r="AX208" s="462">
        <f>IF(AND(M208="F",AS208&lt;&gt;0),SUMIF(C2:C391,C208,W2:W391),0)</f>
        <v>42556.800000000003</v>
      </c>
      <c r="AY208" s="462">
        <f t="shared" si="53"/>
        <v>25534.080000000002</v>
      </c>
      <c r="AZ208" s="462" t="str">
        <f t="shared" si="54"/>
        <v/>
      </c>
      <c r="BA208" s="462">
        <f t="shared" si="55"/>
        <v>0</v>
      </c>
      <c r="BB208" s="462">
        <f>IF(AND(AT208=1,AK208="E",AU208&gt;=0.75,AW208=1),Health,IF(AND(AT208=1,AK208="E",AU208&gt;=0.75),Health*P208,IF(AND(AT208=1,AK208="E",AU208&gt;=0.5,AW208=1),PTHealth,IF(AND(AT208=1,AK208="E",AU208&gt;=0.5),PTHealth*P208,0))))</f>
        <v>6990</v>
      </c>
      <c r="BC208" s="462">
        <f>IF(AND(AT208=3,AK208="E",AV208&gt;=0.75,AW208=1),Health,IF(AND(AT208=3,AK208="E",AV208&gt;=0.75),Health*P208,IF(AND(AT208=3,AK208="E",AV208&gt;=0.5,AW208=1),PTHealth,IF(AND(AT208=3,AK208="E",AV208&gt;=0.5),PTHealth*P208,0))))</f>
        <v>0</v>
      </c>
      <c r="BD208" s="462">
        <f>IF(AND(AT208&lt;&gt;0,AX208&gt;=MAXSSDI),SSDI*MAXSSDI*P208,IF(AT208&lt;&gt;0,SSDI*W208,0))</f>
        <v>1583.1129600000002</v>
      </c>
      <c r="BE208" s="462">
        <f>IF(AT208&lt;&gt;0,SSHI*W208,0)</f>
        <v>370.24416000000002</v>
      </c>
      <c r="BF208" s="462">
        <f>IF(AND(AT208&lt;&gt;0,AN208&lt;&gt;"NE"),VLOOKUP(AN208,Retirement_Rates,3,FALSE)*W208,0)</f>
        <v>3048.7691520000003</v>
      </c>
      <c r="BG208" s="462">
        <f>IF(AND(AT208&lt;&gt;0,AJ208&lt;&gt;"PF"),Life*W208,0)</f>
        <v>184.10071680000001</v>
      </c>
      <c r="BH208" s="462">
        <f>IF(AND(AT208&lt;&gt;0,AM208="Y"),UI*W208,0)</f>
        <v>125.11699200000001</v>
      </c>
      <c r="BI208" s="462">
        <f>IF(AND(AT208&lt;&gt;0,N208&lt;&gt;"NR"),DHR*W208,0)</f>
        <v>78.134284800000003</v>
      </c>
      <c r="BJ208" s="462">
        <f>IF(AT208&lt;&gt;0,WC*W208,0)</f>
        <v>686.86675200000002</v>
      </c>
      <c r="BK208" s="462">
        <f>IF(OR(AND(AT208&lt;&gt;0,AJ208&lt;&gt;"PF",AN208&lt;&gt;"NE",AG208&lt;&gt;"A"),AND(AL208="E",OR(AT208=1,AT208=3))),Sick*W208,0)</f>
        <v>0</v>
      </c>
      <c r="BL208" s="462">
        <f t="shared" si="56"/>
        <v>6076.3450176000006</v>
      </c>
      <c r="BM208" s="462">
        <f t="shared" si="57"/>
        <v>0</v>
      </c>
      <c r="BN208" s="462">
        <f>IF(AND(AT208=1,AK208="E",AU208&gt;=0.75,AW208=1),HealthBY,IF(AND(AT208=1,AK208="E",AU208&gt;=0.75),HealthBY*P208,IF(AND(AT208=1,AK208="E",AU208&gt;=0.5,AW208=1),PTHealthBY,IF(AND(AT208=1,AK208="E",AU208&gt;=0.5),PTHealthBY*P208,0))))</f>
        <v>6990</v>
      </c>
      <c r="BO208" s="462">
        <f>IF(AND(AT208=3,AK208="E",AV208&gt;=0.75,AW208=1),HealthBY,IF(AND(AT208=3,AK208="E",AV208&gt;=0.75),HealthBY*P208,IF(AND(AT208=3,AK208="E",AV208&gt;=0.5,AW208=1),PTHealthBY,IF(AND(AT208=3,AK208="E",AV208&gt;=0.5),PTHealthBY*P208,0))))</f>
        <v>0</v>
      </c>
      <c r="BP208" s="462">
        <f>IF(AND(AT208&lt;&gt;0,(AX208+BA208)&gt;=MAXSSDIBY),SSDIBY*MAXSSDIBY*P208,IF(AT208&lt;&gt;0,SSDIBY*W208,0))</f>
        <v>1583.1129600000002</v>
      </c>
      <c r="BQ208" s="462">
        <f>IF(AT208&lt;&gt;0,SSHIBY*W208,0)</f>
        <v>370.24416000000002</v>
      </c>
      <c r="BR208" s="462">
        <f>IF(AND(AT208&lt;&gt;0,AN208&lt;&gt;"NE"),VLOOKUP(AN208,Retirement_Rates,4,FALSE)*W208,0)</f>
        <v>3048.7691520000003</v>
      </c>
      <c r="BS208" s="462">
        <f>IF(AND(AT208&lt;&gt;0,AJ208&lt;&gt;"PF"),LifeBY*W208,0)</f>
        <v>184.10071680000001</v>
      </c>
      <c r="BT208" s="462">
        <f>IF(AND(AT208&lt;&gt;0,AM208="Y"),UIBY*W208,0)</f>
        <v>0</v>
      </c>
      <c r="BU208" s="462">
        <f>IF(AND(AT208&lt;&gt;0,N208&lt;&gt;"NR"),DHRBY*W208,0)</f>
        <v>78.134284800000003</v>
      </c>
      <c r="BV208" s="462">
        <f>IF(AT208&lt;&gt;0,WCBY*W208,0)</f>
        <v>886.03257600000006</v>
      </c>
      <c r="BW208" s="462">
        <f>IF(OR(AND(AT208&lt;&gt;0,AJ208&lt;&gt;"PF",AN208&lt;&gt;"NE",AG208&lt;&gt;"A"),AND(AL208="E",OR(AT208=1,AT208=3))),SickBY*W208,0)</f>
        <v>0</v>
      </c>
      <c r="BX208" s="462">
        <f t="shared" si="58"/>
        <v>6150.393849600001</v>
      </c>
      <c r="BY208" s="462">
        <f t="shared" si="59"/>
        <v>0</v>
      </c>
      <c r="BZ208" s="462">
        <f t="shared" si="60"/>
        <v>0</v>
      </c>
      <c r="CA208" s="462">
        <f t="shared" si="61"/>
        <v>0</v>
      </c>
      <c r="CB208" s="462">
        <f t="shared" si="62"/>
        <v>0</v>
      </c>
      <c r="CC208" s="462">
        <f>IF(AT208&lt;&gt;0,SSHICHG*Y208,0)</f>
        <v>0</v>
      </c>
      <c r="CD208" s="462">
        <f>IF(AND(AT208&lt;&gt;0,AN208&lt;&gt;"NE"),VLOOKUP(AN208,Retirement_Rates,5,FALSE)*Y208,0)</f>
        <v>0</v>
      </c>
      <c r="CE208" s="462">
        <f>IF(AND(AT208&lt;&gt;0,AJ208&lt;&gt;"PF"),LifeCHG*Y208,0)</f>
        <v>0</v>
      </c>
      <c r="CF208" s="462">
        <f>IF(AND(AT208&lt;&gt;0,AM208="Y"),UICHG*Y208,0)</f>
        <v>-125.11699200000001</v>
      </c>
      <c r="CG208" s="462">
        <f>IF(AND(AT208&lt;&gt;0,N208&lt;&gt;"NR"),DHRCHG*Y208,0)</f>
        <v>0</v>
      </c>
      <c r="CH208" s="462">
        <f>IF(AT208&lt;&gt;0,WCCHG*Y208,0)</f>
        <v>199.16582400000004</v>
      </c>
      <c r="CI208" s="462">
        <f>IF(OR(AND(AT208&lt;&gt;0,AJ208&lt;&gt;"PF",AN208&lt;&gt;"NE",AG208&lt;&gt;"A"),AND(AL208="E",OR(AT208=1,AT208=3))),SickCHG*Y208,0)</f>
        <v>0</v>
      </c>
      <c r="CJ208" s="462">
        <f t="shared" si="63"/>
        <v>74.048832000000033</v>
      </c>
      <c r="CK208" s="462" t="str">
        <f t="shared" si="64"/>
        <v/>
      </c>
      <c r="CL208" s="462" t="str">
        <f t="shared" si="65"/>
        <v/>
      </c>
      <c r="CM208" s="462" t="str">
        <f t="shared" si="66"/>
        <v/>
      </c>
      <c r="CN208" s="462" t="str">
        <f t="shared" si="67"/>
        <v>0243-00</v>
      </c>
    </row>
    <row r="209" spans="1:92" ht="15" thickBot="1" x14ac:dyDescent="0.35">
      <c r="A209" s="376" t="s">
        <v>161</v>
      </c>
      <c r="B209" s="376" t="s">
        <v>162</v>
      </c>
      <c r="C209" s="376" t="s">
        <v>782</v>
      </c>
      <c r="D209" s="376" t="s">
        <v>221</v>
      </c>
      <c r="E209" s="376" t="s">
        <v>273</v>
      </c>
      <c r="F209" s="377" t="s">
        <v>166</v>
      </c>
      <c r="G209" s="376" t="s">
        <v>432</v>
      </c>
      <c r="H209" s="378"/>
      <c r="I209" s="378"/>
      <c r="J209" s="376" t="s">
        <v>168</v>
      </c>
      <c r="K209" s="376" t="s">
        <v>222</v>
      </c>
      <c r="L209" s="376" t="s">
        <v>166</v>
      </c>
      <c r="M209" s="376" t="s">
        <v>225</v>
      </c>
      <c r="N209" s="376" t="s">
        <v>223</v>
      </c>
      <c r="O209" s="379">
        <v>0</v>
      </c>
      <c r="P209" s="460">
        <v>1</v>
      </c>
      <c r="Q209" s="460">
        <v>0</v>
      </c>
      <c r="R209" s="380">
        <v>0</v>
      </c>
      <c r="S209" s="460">
        <v>0</v>
      </c>
      <c r="T209" s="380">
        <v>0</v>
      </c>
      <c r="U209" s="380">
        <v>0</v>
      </c>
      <c r="V209" s="380">
        <v>0</v>
      </c>
      <c r="W209" s="380">
        <v>0</v>
      </c>
      <c r="X209" s="380">
        <v>0</v>
      </c>
      <c r="Y209" s="380">
        <v>0</v>
      </c>
      <c r="Z209" s="380">
        <v>0</v>
      </c>
      <c r="AA209" s="378"/>
      <c r="AB209" s="376" t="s">
        <v>45</v>
      </c>
      <c r="AC209" s="376" t="s">
        <v>45</v>
      </c>
      <c r="AD209" s="378"/>
      <c r="AE209" s="378"/>
      <c r="AF209" s="378"/>
      <c r="AG209" s="378"/>
      <c r="AH209" s="379">
        <v>0</v>
      </c>
      <c r="AI209" s="379">
        <v>0</v>
      </c>
      <c r="AJ209" s="378"/>
      <c r="AK209" s="378"/>
      <c r="AL209" s="376" t="s">
        <v>181</v>
      </c>
      <c r="AM209" s="378"/>
      <c r="AN209" s="378"/>
      <c r="AO209" s="379">
        <v>0</v>
      </c>
      <c r="AP209" s="460">
        <v>0</v>
      </c>
      <c r="AQ209" s="460">
        <v>0</v>
      </c>
      <c r="AR209" s="459"/>
      <c r="AS209" s="462">
        <f t="shared" si="51"/>
        <v>0</v>
      </c>
      <c r="AT209">
        <f t="shared" si="52"/>
        <v>0</v>
      </c>
      <c r="AU209" s="462" t="str">
        <f>IF(AT209=0,"",IF(AND(AT209=1,M209="F",SUMIF(C2:C391,C209,AS2:AS391)&lt;=1),SUMIF(C2:C391,C209,AS2:AS391),IF(AND(AT209=1,M209="F",SUMIF(C2:C391,C209,AS2:AS391)&gt;1),1,"")))</f>
        <v/>
      </c>
      <c r="AV209" s="462" t="str">
        <f>IF(AT209=0,"",IF(AND(AT209=3,M209="F",SUMIF(C2:C391,C209,AS2:AS391)&lt;=1),SUMIF(C2:C391,C209,AS2:AS391),IF(AND(AT209=3,M209="F",SUMIF(C2:C391,C209,AS2:AS391)&gt;1),1,"")))</f>
        <v/>
      </c>
      <c r="AW209" s="462">
        <f>SUMIF(C2:C391,C209,O2:O391)</f>
        <v>0</v>
      </c>
      <c r="AX209" s="462">
        <f>IF(AND(M209="F",AS209&lt;&gt;0),SUMIF(C2:C391,C209,W2:W391),0)</f>
        <v>0</v>
      </c>
      <c r="AY209" s="462" t="str">
        <f t="shared" si="53"/>
        <v/>
      </c>
      <c r="AZ209" s="462" t="str">
        <f t="shared" si="54"/>
        <v/>
      </c>
      <c r="BA209" s="462">
        <f t="shared" si="55"/>
        <v>0</v>
      </c>
      <c r="BB209" s="462">
        <f>IF(AND(AT209=1,AK209="E",AU209&gt;=0.75,AW209=1),Health,IF(AND(AT209=1,AK209="E",AU209&gt;=0.75),Health*P209,IF(AND(AT209=1,AK209="E",AU209&gt;=0.5,AW209=1),PTHealth,IF(AND(AT209=1,AK209="E",AU209&gt;=0.5),PTHealth*P209,0))))</f>
        <v>0</v>
      </c>
      <c r="BC209" s="462">
        <f>IF(AND(AT209=3,AK209="E",AV209&gt;=0.75,AW209=1),Health,IF(AND(AT209=3,AK209="E",AV209&gt;=0.75),Health*P209,IF(AND(AT209=3,AK209="E",AV209&gt;=0.5,AW209=1),PTHealth,IF(AND(AT209=3,AK209="E",AV209&gt;=0.5),PTHealth*P209,0))))</f>
        <v>0</v>
      </c>
      <c r="BD209" s="462">
        <f>IF(AND(AT209&lt;&gt;0,AX209&gt;=MAXSSDI),SSDI*MAXSSDI*P209,IF(AT209&lt;&gt;0,SSDI*W209,0))</f>
        <v>0</v>
      </c>
      <c r="BE209" s="462">
        <f>IF(AT209&lt;&gt;0,SSHI*W209,0)</f>
        <v>0</v>
      </c>
      <c r="BF209" s="462">
        <f>IF(AND(AT209&lt;&gt;0,AN209&lt;&gt;"NE"),VLOOKUP(AN209,Retirement_Rates,3,FALSE)*W209,0)</f>
        <v>0</v>
      </c>
      <c r="BG209" s="462">
        <f>IF(AND(AT209&lt;&gt;0,AJ209&lt;&gt;"PF"),Life*W209,0)</f>
        <v>0</v>
      </c>
      <c r="BH209" s="462">
        <f>IF(AND(AT209&lt;&gt;0,AM209="Y"),UI*W209,0)</f>
        <v>0</v>
      </c>
      <c r="BI209" s="462">
        <f>IF(AND(AT209&lt;&gt;0,N209&lt;&gt;"NR"),DHR*W209,0)</f>
        <v>0</v>
      </c>
      <c r="BJ209" s="462">
        <f>IF(AT209&lt;&gt;0,WC*W209,0)</f>
        <v>0</v>
      </c>
      <c r="BK209" s="462">
        <f>IF(OR(AND(AT209&lt;&gt;0,AJ209&lt;&gt;"PF",AN209&lt;&gt;"NE",AG209&lt;&gt;"A"),AND(AL209="E",OR(AT209=1,AT209=3))),Sick*W209,0)</f>
        <v>0</v>
      </c>
      <c r="BL209" s="462">
        <f t="shared" si="56"/>
        <v>0</v>
      </c>
      <c r="BM209" s="462">
        <f t="shared" si="57"/>
        <v>0</v>
      </c>
      <c r="BN209" s="462">
        <f>IF(AND(AT209=1,AK209="E",AU209&gt;=0.75,AW209=1),HealthBY,IF(AND(AT209=1,AK209="E",AU209&gt;=0.75),HealthBY*P209,IF(AND(AT209=1,AK209="E",AU209&gt;=0.5,AW209=1),PTHealthBY,IF(AND(AT209=1,AK209="E",AU209&gt;=0.5),PTHealthBY*P209,0))))</f>
        <v>0</v>
      </c>
      <c r="BO209" s="462">
        <f>IF(AND(AT209=3,AK209="E",AV209&gt;=0.75,AW209=1),HealthBY,IF(AND(AT209=3,AK209="E",AV209&gt;=0.75),HealthBY*P209,IF(AND(AT209=3,AK209="E",AV209&gt;=0.5,AW209=1),PTHealthBY,IF(AND(AT209=3,AK209="E",AV209&gt;=0.5),PTHealthBY*P209,0))))</f>
        <v>0</v>
      </c>
      <c r="BP209" s="462">
        <f>IF(AND(AT209&lt;&gt;0,(AX209+BA209)&gt;=MAXSSDIBY),SSDIBY*MAXSSDIBY*P209,IF(AT209&lt;&gt;0,SSDIBY*W209,0))</f>
        <v>0</v>
      </c>
      <c r="BQ209" s="462">
        <f>IF(AT209&lt;&gt;0,SSHIBY*W209,0)</f>
        <v>0</v>
      </c>
      <c r="BR209" s="462">
        <f>IF(AND(AT209&lt;&gt;0,AN209&lt;&gt;"NE"),VLOOKUP(AN209,Retirement_Rates,4,FALSE)*W209,0)</f>
        <v>0</v>
      </c>
      <c r="BS209" s="462">
        <f>IF(AND(AT209&lt;&gt;0,AJ209&lt;&gt;"PF"),LifeBY*W209,0)</f>
        <v>0</v>
      </c>
      <c r="BT209" s="462">
        <f>IF(AND(AT209&lt;&gt;0,AM209="Y"),UIBY*W209,0)</f>
        <v>0</v>
      </c>
      <c r="BU209" s="462">
        <f>IF(AND(AT209&lt;&gt;0,N209&lt;&gt;"NR"),DHRBY*W209,0)</f>
        <v>0</v>
      </c>
      <c r="BV209" s="462">
        <f>IF(AT209&lt;&gt;0,WCBY*W209,0)</f>
        <v>0</v>
      </c>
      <c r="BW209" s="462">
        <f>IF(OR(AND(AT209&lt;&gt;0,AJ209&lt;&gt;"PF",AN209&lt;&gt;"NE",AG209&lt;&gt;"A"),AND(AL209="E",OR(AT209=1,AT209=3))),SickBY*W209,0)</f>
        <v>0</v>
      </c>
      <c r="BX209" s="462">
        <f t="shared" si="58"/>
        <v>0</v>
      </c>
      <c r="BY209" s="462">
        <f t="shared" si="59"/>
        <v>0</v>
      </c>
      <c r="BZ209" s="462">
        <f t="shared" si="60"/>
        <v>0</v>
      </c>
      <c r="CA209" s="462">
        <f t="shared" si="61"/>
        <v>0</v>
      </c>
      <c r="CB209" s="462">
        <f t="shared" si="62"/>
        <v>0</v>
      </c>
      <c r="CC209" s="462">
        <f>IF(AT209&lt;&gt;0,SSHICHG*Y209,0)</f>
        <v>0</v>
      </c>
      <c r="CD209" s="462">
        <f>IF(AND(AT209&lt;&gt;0,AN209&lt;&gt;"NE"),VLOOKUP(AN209,Retirement_Rates,5,FALSE)*Y209,0)</f>
        <v>0</v>
      </c>
      <c r="CE209" s="462">
        <f>IF(AND(AT209&lt;&gt;0,AJ209&lt;&gt;"PF"),LifeCHG*Y209,0)</f>
        <v>0</v>
      </c>
      <c r="CF209" s="462">
        <f>IF(AND(AT209&lt;&gt;0,AM209="Y"),UICHG*Y209,0)</f>
        <v>0</v>
      </c>
      <c r="CG209" s="462">
        <f>IF(AND(AT209&lt;&gt;0,N209&lt;&gt;"NR"),DHRCHG*Y209,0)</f>
        <v>0</v>
      </c>
      <c r="CH209" s="462">
        <f>IF(AT209&lt;&gt;0,WCCHG*Y209,0)</f>
        <v>0</v>
      </c>
      <c r="CI209" s="462">
        <f>IF(OR(AND(AT209&lt;&gt;0,AJ209&lt;&gt;"PF",AN209&lt;&gt;"NE",AG209&lt;&gt;"A"),AND(AL209="E",OR(AT209=1,AT209=3))),SickCHG*Y209,0)</f>
        <v>0</v>
      </c>
      <c r="CJ209" s="462">
        <f t="shared" si="63"/>
        <v>0</v>
      </c>
      <c r="CK209" s="462" t="str">
        <f t="shared" si="64"/>
        <v/>
      </c>
      <c r="CL209" s="462">
        <f t="shared" si="65"/>
        <v>0</v>
      </c>
      <c r="CM209" s="462">
        <f t="shared" si="66"/>
        <v>0</v>
      </c>
      <c r="CN209" s="462" t="str">
        <f t="shared" si="67"/>
        <v>0243-00</v>
      </c>
    </row>
    <row r="210" spans="1:92" ht="15" thickBot="1" x14ac:dyDescent="0.35">
      <c r="A210" s="376" t="s">
        <v>161</v>
      </c>
      <c r="B210" s="376" t="s">
        <v>162</v>
      </c>
      <c r="C210" s="376" t="s">
        <v>783</v>
      </c>
      <c r="D210" s="376" t="s">
        <v>690</v>
      </c>
      <c r="E210" s="376" t="s">
        <v>273</v>
      </c>
      <c r="F210" s="377" t="s">
        <v>166</v>
      </c>
      <c r="G210" s="376" t="s">
        <v>432</v>
      </c>
      <c r="H210" s="378"/>
      <c r="I210" s="378"/>
      <c r="J210" s="376" t="s">
        <v>168</v>
      </c>
      <c r="K210" s="376" t="s">
        <v>691</v>
      </c>
      <c r="L210" s="376" t="s">
        <v>170</v>
      </c>
      <c r="M210" s="376" t="s">
        <v>171</v>
      </c>
      <c r="N210" s="376" t="s">
        <v>172</v>
      </c>
      <c r="O210" s="379">
        <v>1</v>
      </c>
      <c r="P210" s="460">
        <v>1</v>
      </c>
      <c r="Q210" s="460">
        <v>1</v>
      </c>
      <c r="R210" s="380">
        <v>80</v>
      </c>
      <c r="S210" s="460">
        <v>1</v>
      </c>
      <c r="T210" s="380">
        <v>58830.57</v>
      </c>
      <c r="U210" s="380">
        <v>0</v>
      </c>
      <c r="V210" s="380">
        <v>24691.21</v>
      </c>
      <c r="W210" s="380">
        <v>58926.400000000001</v>
      </c>
      <c r="X210" s="380">
        <v>25672.68</v>
      </c>
      <c r="Y210" s="380">
        <v>58926.400000000001</v>
      </c>
      <c r="Z210" s="380">
        <v>25843.57</v>
      </c>
      <c r="AA210" s="376" t="s">
        <v>784</v>
      </c>
      <c r="AB210" s="376" t="s">
        <v>785</v>
      </c>
      <c r="AC210" s="376" t="s">
        <v>698</v>
      </c>
      <c r="AD210" s="376" t="s">
        <v>195</v>
      </c>
      <c r="AE210" s="376" t="s">
        <v>691</v>
      </c>
      <c r="AF210" s="376" t="s">
        <v>177</v>
      </c>
      <c r="AG210" s="376" t="s">
        <v>178</v>
      </c>
      <c r="AH210" s="381">
        <v>28.33</v>
      </c>
      <c r="AI210" s="379">
        <v>10011</v>
      </c>
      <c r="AJ210" s="376" t="s">
        <v>179</v>
      </c>
      <c r="AK210" s="376" t="s">
        <v>180</v>
      </c>
      <c r="AL210" s="376" t="s">
        <v>181</v>
      </c>
      <c r="AM210" s="376" t="s">
        <v>182</v>
      </c>
      <c r="AN210" s="376" t="s">
        <v>68</v>
      </c>
      <c r="AO210" s="379">
        <v>80</v>
      </c>
      <c r="AP210" s="460">
        <v>1</v>
      </c>
      <c r="AQ210" s="460">
        <v>1</v>
      </c>
      <c r="AR210" s="458" t="s">
        <v>183</v>
      </c>
      <c r="AS210" s="462">
        <f t="shared" si="51"/>
        <v>1</v>
      </c>
      <c r="AT210">
        <f t="shared" si="52"/>
        <v>1</v>
      </c>
      <c r="AU210" s="462">
        <f>IF(AT210=0,"",IF(AND(AT210=1,M210="F",SUMIF(C2:C391,C210,AS2:AS391)&lt;=1),SUMIF(C2:C391,C210,AS2:AS391),IF(AND(AT210=1,M210="F",SUMIF(C2:C391,C210,AS2:AS391)&gt;1),1,"")))</f>
        <v>1</v>
      </c>
      <c r="AV210" s="462" t="str">
        <f>IF(AT210=0,"",IF(AND(AT210=3,M210="F",SUMIF(C2:C391,C210,AS2:AS391)&lt;=1),SUMIF(C2:C391,C210,AS2:AS391),IF(AND(AT210=3,M210="F",SUMIF(C2:C391,C210,AS2:AS391)&gt;1),1,"")))</f>
        <v/>
      </c>
      <c r="AW210" s="462">
        <f>SUMIF(C2:C391,C210,O2:O391)</f>
        <v>1</v>
      </c>
      <c r="AX210" s="462">
        <f>IF(AND(M210="F",AS210&lt;&gt;0),SUMIF(C2:C391,C210,W2:W391),0)</f>
        <v>58926.400000000001</v>
      </c>
      <c r="AY210" s="462">
        <f t="shared" si="53"/>
        <v>58926.400000000001</v>
      </c>
      <c r="AZ210" s="462" t="str">
        <f t="shared" si="54"/>
        <v/>
      </c>
      <c r="BA210" s="462">
        <f t="shared" si="55"/>
        <v>0</v>
      </c>
      <c r="BB210" s="462">
        <f>IF(AND(AT210=1,AK210="E",AU210&gt;=0.75,AW210=1),Health,IF(AND(AT210=1,AK210="E",AU210&gt;=0.75),Health*P210,IF(AND(AT210=1,AK210="E",AU210&gt;=0.5,AW210=1),PTHealth,IF(AND(AT210=1,AK210="E",AU210&gt;=0.5),PTHealth*P210,0))))</f>
        <v>11650</v>
      </c>
      <c r="BC210" s="462">
        <f>IF(AND(AT210=3,AK210="E",AV210&gt;=0.75,AW210=1),Health,IF(AND(AT210=3,AK210="E",AV210&gt;=0.75),Health*P210,IF(AND(AT210=3,AK210="E",AV210&gt;=0.5,AW210=1),PTHealth,IF(AND(AT210=3,AK210="E",AV210&gt;=0.5),PTHealth*P210,0))))</f>
        <v>0</v>
      </c>
      <c r="BD210" s="462">
        <f>IF(AND(AT210&lt;&gt;0,AX210&gt;=MAXSSDI),SSDI*MAXSSDI*P210,IF(AT210&lt;&gt;0,SSDI*W210,0))</f>
        <v>3653.4367999999999</v>
      </c>
      <c r="BE210" s="462">
        <f>IF(AT210&lt;&gt;0,SSHI*W210,0)</f>
        <v>854.43280000000004</v>
      </c>
      <c r="BF210" s="462">
        <f>IF(AND(AT210&lt;&gt;0,AN210&lt;&gt;"NE"),VLOOKUP(AN210,Retirement_Rates,3,FALSE)*W210,0)</f>
        <v>7035.8121600000004</v>
      </c>
      <c r="BG210" s="462">
        <f>IF(AND(AT210&lt;&gt;0,AJ210&lt;&gt;"PF"),Life*W210,0)</f>
        <v>424.85934400000002</v>
      </c>
      <c r="BH210" s="462">
        <f>IF(AND(AT210&lt;&gt;0,AM210="Y"),UI*W210,0)</f>
        <v>288.73935999999998</v>
      </c>
      <c r="BI210" s="462">
        <f>IF(AND(AT210&lt;&gt;0,N210&lt;&gt;"NR"),DHR*W210,0)</f>
        <v>180.314784</v>
      </c>
      <c r="BJ210" s="462">
        <f>IF(AT210&lt;&gt;0,WC*W210,0)</f>
        <v>1585.1201600000002</v>
      </c>
      <c r="BK210" s="462">
        <f>IF(OR(AND(AT210&lt;&gt;0,AJ210&lt;&gt;"PF",AN210&lt;&gt;"NE",AG210&lt;&gt;"A"),AND(AL210="E",OR(AT210=1,AT210=3))),Sick*W210,0)</f>
        <v>0</v>
      </c>
      <c r="BL210" s="462">
        <f t="shared" si="56"/>
        <v>14022.715408</v>
      </c>
      <c r="BM210" s="462">
        <f t="shared" si="57"/>
        <v>0</v>
      </c>
      <c r="BN210" s="462">
        <f>IF(AND(AT210=1,AK210="E",AU210&gt;=0.75,AW210=1),HealthBY,IF(AND(AT210=1,AK210="E",AU210&gt;=0.75),HealthBY*P210,IF(AND(AT210=1,AK210="E",AU210&gt;=0.5,AW210=1),PTHealthBY,IF(AND(AT210=1,AK210="E",AU210&gt;=0.5),PTHealthBY*P210,0))))</f>
        <v>11650</v>
      </c>
      <c r="BO210" s="462">
        <f>IF(AND(AT210=3,AK210="E",AV210&gt;=0.75,AW210=1),HealthBY,IF(AND(AT210=3,AK210="E",AV210&gt;=0.75),HealthBY*P210,IF(AND(AT210=3,AK210="E",AV210&gt;=0.5,AW210=1),PTHealthBY,IF(AND(AT210=3,AK210="E",AV210&gt;=0.5),PTHealthBY*P210,0))))</f>
        <v>0</v>
      </c>
      <c r="BP210" s="462">
        <f>IF(AND(AT210&lt;&gt;0,(AX210+BA210)&gt;=MAXSSDIBY),SSDIBY*MAXSSDIBY*P210,IF(AT210&lt;&gt;0,SSDIBY*W210,0))</f>
        <v>3653.4367999999999</v>
      </c>
      <c r="BQ210" s="462">
        <f>IF(AT210&lt;&gt;0,SSHIBY*W210,0)</f>
        <v>854.43280000000004</v>
      </c>
      <c r="BR210" s="462">
        <f>IF(AND(AT210&lt;&gt;0,AN210&lt;&gt;"NE"),VLOOKUP(AN210,Retirement_Rates,4,FALSE)*W210,0)</f>
        <v>7035.8121600000004</v>
      </c>
      <c r="BS210" s="462">
        <f>IF(AND(AT210&lt;&gt;0,AJ210&lt;&gt;"PF"),LifeBY*W210,0)</f>
        <v>424.85934400000002</v>
      </c>
      <c r="BT210" s="462">
        <f>IF(AND(AT210&lt;&gt;0,AM210="Y"),UIBY*W210,0)</f>
        <v>0</v>
      </c>
      <c r="BU210" s="462">
        <f>IF(AND(AT210&lt;&gt;0,N210&lt;&gt;"NR"),DHRBY*W210,0)</f>
        <v>180.314784</v>
      </c>
      <c r="BV210" s="462">
        <f>IF(AT210&lt;&gt;0,WCBY*W210,0)</f>
        <v>2044.7460800000001</v>
      </c>
      <c r="BW210" s="462">
        <f>IF(OR(AND(AT210&lt;&gt;0,AJ210&lt;&gt;"PF",AN210&lt;&gt;"NE",AG210&lt;&gt;"A"),AND(AL210="E",OR(AT210=1,AT210=3))),SickBY*W210,0)</f>
        <v>0</v>
      </c>
      <c r="BX210" s="462">
        <f t="shared" si="58"/>
        <v>14193.601968000001</v>
      </c>
      <c r="BY210" s="462">
        <f t="shared" si="59"/>
        <v>0</v>
      </c>
      <c r="BZ210" s="462">
        <f t="shared" si="60"/>
        <v>0</v>
      </c>
      <c r="CA210" s="462">
        <f t="shared" si="61"/>
        <v>0</v>
      </c>
      <c r="CB210" s="462">
        <f t="shared" si="62"/>
        <v>0</v>
      </c>
      <c r="CC210" s="462">
        <f>IF(AT210&lt;&gt;0,SSHICHG*Y210,0)</f>
        <v>0</v>
      </c>
      <c r="CD210" s="462">
        <f>IF(AND(AT210&lt;&gt;0,AN210&lt;&gt;"NE"),VLOOKUP(AN210,Retirement_Rates,5,FALSE)*Y210,0)</f>
        <v>0</v>
      </c>
      <c r="CE210" s="462">
        <f>IF(AND(AT210&lt;&gt;0,AJ210&lt;&gt;"PF"),LifeCHG*Y210,0)</f>
        <v>0</v>
      </c>
      <c r="CF210" s="462">
        <f>IF(AND(AT210&lt;&gt;0,AM210="Y"),UICHG*Y210,0)</f>
        <v>-288.73935999999998</v>
      </c>
      <c r="CG210" s="462">
        <f>IF(AND(AT210&lt;&gt;0,N210&lt;&gt;"NR"),DHRCHG*Y210,0)</f>
        <v>0</v>
      </c>
      <c r="CH210" s="462">
        <f>IF(AT210&lt;&gt;0,WCCHG*Y210,0)</f>
        <v>459.62592000000006</v>
      </c>
      <c r="CI210" s="462">
        <f>IF(OR(AND(AT210&lt;&gt;0,AJ210&lt;&gt;"PF",AN210&lt;&gt;"NE",AG210&lt;&gt;"A"),AND(AL210="E",OR(AT210=1,AT210=3))),SickCHG*Y210,0)</f>
        <v>0</v>
      </c>
      <c r="CJ210" s="462">
        <f t="shared" si="63"/>
        <v>170.88656000000009</v>
      </c>
      <c r="CK210" s="462" t="str">
        <f t="shared" si="64"/>
        <v/>
      </c>
      <c r="CL210" s="462" t="str">
        <f t="shared" si="65"/>
        <v/>
      </c>
      <c r="CM210" s="462" t="str">
        <f t="shared" si="66"/>
        <v/>
      </c>
      <c r="CN210" s="462" t="str">
        <f t="shared" si="67"/>
        <v>0243-00</v>
      </c>
    </row>
    <row r="211" spans="1:92" ht="15" thickBot="1" x14ac:dyDescent="0.35">
      <c r="A211" s="376" t="s">
        <v>161</v>
      </c>
      <c r="B211" s="376" t="s">
        <v>162</v>
      </c>
      <c r="C211" s="376" t="s">
        <v>786</v>
      </c>
      <c r="D211" s="376" t="s">
        <v>221</v>
      </c>
      <c r="E211" s="376" t="s">
        <v>273</v>
      </c>
      <c r="F211" s="377" t="s">
        <v>166</v>
      </c>
      <c r="G211" s="376" t="s">
        <v>432</v>
      </c>
      <c r="H211" s="378"/>
      <c r="I211" s="378"/>
      <c r="J211" s="376" t="s">
        <v>168</v>
      </c>
      <c r="K211" s="376" t="s">
        <v>222</v>
      </c>
      <c r="L211" s="376" t="s">
        <v>166</v>
      </c>
      <c r="M211" s="376" t="s">
        <v>171</v>
      </c>
      <c r="N211" s="376" t="s">
        <v>223</v>
      </c>
      <c r="O211" s="379">
        <v>0</v>
      </c>
      <c r="P211" s="460">
        <v>1</v>
      </c>
      <c r="Q211" s="460">
        <v>0</v>
      </c>
      <c r="R211" s="380">
        <v>0</v>
      </c>
      <c r="S211" s="460">
        <v>0</v>
      </c>
      <c r="T211" s="380">
        <v>60261.1</v>
      </c>
      <c r="U211" s="380">
        <v>2241.6</v>
      </c>
      <c r="V211" s="380">
        <v>7778.76</v>
      </c>
      <c r="W211" s="380">
        <v>62502.7</v>
      </c>
      <c r="X211" s="380">
        <v>7778.76</v>
      </c>
      <c r="Y211" s="380">
        <v>62502.7</v>
      </c>
      <c r="Z211" s="380">
        <v>7778.76</v>
      </c>
      <c r="AA211" s="378"/>
      <c r="AB211" s="376" t="s">
        <v>45</v>
      </c>
      <c r="AC211" s="376" t="s">
        <v>45</v>
      </c>
      <c r="AD211" s="378"/>
      <c r="AE211" s="378"/>
      <c r="AF211" s="378"/>
      <c r="AG211" s="378"/>
      <c r="AH211" s="379">
        <v>0</v>
      </c>
      <c r="AI211" s="379">
        <v>0</v>
      </c>
      <c r="AJ211" s="378"/>
      <c r="AK211" s="378"/>
      <c r="AL211" s="376" t="s">
        <v>181</v>
      </c>
      <c r="AM211" s="378"/>
      <c r="AN211" s="378"/>
      <c r="AO211" s="379">
        <v>0</v>
      </c>
      <c r="AP211" s="460">
        <v>0</v>
      </c>
      <c r="AQ211" s="460">
        <v>0</v>
      </c>
      <c r="AR211" s="459"/>
      <c r="AS211" s="462">
        <f t="shared" si="51"/>
        <v>0</v>
      </c>
      <c r="AT211">
        <f t="shared" si="52"/>
        <v>0</v>
      </c>
      <c r="AU211" s="462" t="str">
        <f>IF(AT211=0,"",IF(AND(AT211=1,M211="F",SUMIF(C2:C391,C211,AS2:AS391)&lt;=1),SUMIF(C2:C391,C211,AS2:AS391),IF(AND(AT211=1,M211="F",SUMIF(C2:C391,C211,AS2:AS391)&gt;1),1,"")))</f>
        <v/>
      </c>
      <c r="AV211" s="462" t="str">
        <f>IF(AT211=0,"",IF(AND(AT211=3,M211="F",SUMIF(C2:C391,C211,AS2:AS391)&lt;=1),SUMIF(C2:C391,C211,AS2:AS391),IF(AND(AT211=3,M211="F",SUMIF(C2:C391,C211,AS2:AS391)&gt;1),1,"")))</f>
        <v/>
      </c>
      <c r="AW211" s="462">
        <f>SUMIF(C2:C391,C211,O2:O391)</f>
        <v>0</v>
      </c>
      <c r="AX211" s="462">
        <f>IF(AND(M211="F",AS211&lt;&gt;0),SUMIF(C2:C391,C211,W2:W391),0)</f>
        <v>0</v>
      </c>
      <c r="AY211" s="462" t="str">
        <f t="shared" si="53"/>
        <v/>
      </c>
      <c r="AZ211" s="462" t="str">
        <f t="shared" si="54"/>
        <v/>
      </c>
      <c r="BA211" s="462">
        <f t="shared" si="55"/>
        <v>0</v>
      </c>
      <c r="BB211" s="462">
        <f>IF(AND(AT211=1,AK211="E",AU211&gt;=0.75,AW211=1),Health,IF(AND(AT211=1,AK211="E",AU211&gt;=0.75),Health*P211,IF(AND(AT211=1,AK211="E",AU211&gt;=0.5,AW211=1),PTHealth,IF(AND(AT211=1,AK211="E",AU211&gt;=0.5),PTHealth*P211,0))))</f>
        <v>0</v>
      </c>
      <c r="BC211" s="462">
        <f>IF(AND(AT211=3,AK211="E",AV211&gt;=0.75,AW211=1),Health,IF(AND(AT211=3,AK211="E",AV211&gt;=0.75),Health*P211,IF(AND(AT211=3,AK211="E",AV211&gt;=0.5,AW211=1),PTHealth,IF(AND(AT211=3,AK211="E",AV211&gt;=0.5),PTHealth*P211,0))))</f>
        <v>0</v>
      </c>
      <c r="BD211" s="462">
        <f>IF(AND(AT211&lt;&gt;0,AX211&gt;=MAXSSDI),SSDI*MAXSSDI*P211,IF(AT211&lt;&gt;0,SSDI*W211,0))</f>
        <v>0</v>
      </c>
      <c r="BE211" s="462">
        <f>IF(AT211&lt;&gt;0,SSHI*W211,0)</f>
        <v>0</v>
      </c>
      <c r="BF211" s="462">
        <f>IF(AND(AT211&lt;&gt;0,AN211&lt;&gt;"NE"),VLOOKUP(AN211,Retirement_Rates,3,FALSE)*W211,0)</f>
        <v>0</v>
      </c>
      <c r="BG211" s="462">
        <f>IF(AND(AT211&lt;&gt;0,AJ211&lt;&gt;"PF"),Life*W211,0)</f>
        <v>0</v>
      </c>
      <c r="BH211" s="462">
        <f>IF(AND(AT211&lt;&gt;0,AM211="Y"),UI*W211,0)</f>
        <v>0</v>
      </c>
      <c r="BI211" s="462">
        <f>IF(AND(AT211&lt;&gt;0,N211&lt;&gt;"NR"),DHR*W211,0)</f>
        <v>0</v>
      </c>
      <c r="BJ211" s="462">
        <f>IF(AT211&lt;&gt;0,WC*W211,0)</f>
        <v>0</v>
      </c>
      <c r="BK211" s="462">
        <f>IF(OR(AND(AT211&lt;&gt;0,AJ211&lt;&gt;"PF",AN211&lt;&gt;"NE",AG211&lt;&gt;"A"),AND(AL211="E",OR(AT211=1,AT211=3))),Sick*W211,0)</f>
        <v>0</v>
      </c>
      <c r="BL211" s="462">
        <f t="shared" si="56"/>
        <v>0</v>
      </c>
      <c r="BM211" s="462">
        <f t="shared" si="57"/>
        <v>0</v>
      </c>
      <c r="BN211" s="462">
        <f>IF(AND(AT211=1,AK211="E",AU211&gt;=0.75,AW211=1),HealthBY,IF(AND(AT211=1,AK211="E",AU211&gt;=0.75),HealthBY*P211,IF(AND(AT211=1,AK211="E",AU211&gt;=0.5,AW211=1),PTHealthBY,IF(AND(AT211=1,AK211="E",AU211&gt;=0.5),PTHealthBY*P211,0))))</f>
        <v>0</v>
      </c>
      <c r="BO211" s="462">
        <f>IF(AND(AT211=3,AK211="E",AV211&gt;=0.75,AW211=1),HealthBY,IF(AND(AT211=3,AK211="E",AV211&gt;=0.75),HealthBY*P211,IF(AND(AT211=3,AK211="E",AV211&gt;=0.5,AW211=1),PTHealthBY,IF(AND(AT211=3,AK211="E",AV211&gt;=0.5),PTHealthBY*P211,0))))</f>
        <v>0</v>
      </c>
      <c r="BP211" s="462">
        <f>IF(AND(AT211&lt;&gt;0,(AX211+BA211)&gt;=MAXSSDIBY),SSDIBY*MAXSSDIBY*P211,IF(AT211&lt;&gt;0,SSDIBY*W211,0))</f>
        <v>0</v>
      </c>
      <c r="BQ211" s="462">
        <f>IF(AT211&lt;&gt;0,SSHIBY*W211,0)</f>
        <v>0</v>
      </c>
      <c r="BR211" s="462">
        <f>IF(AND(AT211&lt;&gt;0,AN211&lt;&gt;"NE"),VLOOKUP(AN211,Retirement_Rates,4,FALSE)*W211,0)</f>
        <v>0</v>
      </c>
      <c r="BS211" s="462">
        <f>IF(AND(AT211&lt;&gt;0,AJ211&lt;&gt;"PF"),LifeBY*W211,0)</f>
        <v>0</v>
      </c>
      <c r="BT211" s="462">
        <f>IF(AND(AT211&lt;&gt;0,AM211="Y"),UIBY*W211,0)</f>
        <v>0</v>
      </c>
      <c r="BU211" s="462">
        <f>IF(AND(AT211&lt;&gt;0,N211&lt;&gt;"NR"),DHRBY*W211,0)</f>
        <v>0</v>
      </c>
      <c r="BV211" s="462">
        <f>IF(AT211&lt;&gt;0,WCBY*W211,0)</f>
        <v>0</v>
      </c>
      <c r="BW211" s="462">
        <f>IF(OR(AND(AT211&lt;&gt;0,AJ211&lt;&gt;"PF",AN211&lt;&gt;"NE",AG211&lt;&gt;"A"),AND(AL211="E",OR(AT211=1,AT211=3))),SickBY*W211,0)</f>
        <v>0</v>
      </c>
      <c r="BX211" s="462">
        <f t="shared" si="58"/>
        <v>0</v>
      </c>
      <c r="BY211" s="462">
        <f t="shared" si="59"/>
        <v>0</v>
      </c>
      <c r="BZ211" s="462">
        <f t="shared" si="60"/>
        <v>0</v>
      </c>
      <c r="CA211" s="462">
        <f t="shared" si="61"/>
        <v>0</v>
      </c>
      <c r="CB211" s="462">
        <f t="shared" si="62"/>
        <v>0</v>
      </c>
      <c r="CC211" s="462">
        <f>IF(AT211&lt;&gt;0,SSHICHG*Y211,0)</f>
        <v>0</v>
      </c>
      <c r="CD211" s="462">
        <f>IF(AND(AT211&lt;&gt;0,AN211&lt;&gt;"NE"),VLOOKUP(AN211,Retirement_Rates,5,FALSE)*Y211,0)</f>
        <v>0</v>
      </c>
      <c r="CE211" s="462">
        <f>IF(AND(AT211&lt;&gt;0,AJ211&lt;&gt;"PF"),LifeCHG*Y211,0)</f>
        <v>0</v>
      </c>
      <c r="CF211" s="462">
        <f>IF(AND(AT211&lt;&gt;0,AM211="Y"),UICHG*Y211,0)</f>
        <v>0</v>
      </c>
      <c r="CG211" s="462">
        <f>IF(AND(AT211&lt;&gt;0,N211&lt;&gt;"NR"),DHRCHG*Y211,0)</f>
        <v>0</v>
      </c>
      <c r="CH211" s="462">
        <f>IF(AT211&lt;&gt;0,WCCHG*Y211,0)</f>
        <v>0</v>
      </c>
      <c r="CI211" s="462">
        <f>IF(OR(AND(AT211&lt;&gt;0,AJ211&lt;&gt;"PF",AN211&lt;&gt;"NE",AG211&lt;&gt;"A"),AND(AL211="E",OR(AT211=1,AT211=3))),SickCHG*Y211,0)</f>
        <v>0</v>
      </c>
      <c r="CJ211" s="462">
        <f t="shared" si="63"/>
        <v>0</v>
      </c>
      <c r="CK211" s="462" t="str">
        <f t="shared" si="64"/>
        <v/>
      </c>
      <c r="CL211" s="462">
        <f t="shared" si="65"/>
        <v>62502.7</v>
      </c>
      <c r="CM211" s="462">
        <f t="shared" si="66"/>
        <v>7778.76</v>
      </c>
      <c r="CN211" s="462" t="str">
        <f t="shared" si="67"/>
        <v>0243-00</v>
      </c>
    </row>
    <row r="212" spans="1:92" ht="15" thickBot="1" x14ac:dyDescent="0.35">
      <c r="A212" s="376" t="s">
        <v>161</v>
      </c>
      <c r="B212" s="376" t="s">
        <v>162</v>
      </c>
      <c r="C212" s="376" t="s">
        <v>787</v>
      </c>
      <c r="D212" s="376" t="s">
        <v>438</v>
      </c>
      <c r="E212" s="376" t="s">
        <v>273</v>
      </c>
      <c r="F212" s="377" t="s">
        <v>166</v>
      </c>
      <c r="G212" s="376" t="s">
        <v>432</v>
      </c>
      <c r="H212" s="378"/>
      <c r="I212" s="378"/>
      <c r="J212" s="376" t="s">
        <v>168</v>
      </c>
      <c r="K212" s="376" t="s">
        <v>439</v>
      </c>
      <c r="L212" s="376" t="s">
        <v>231</v>
      </c>
      <c r="M212" s="376" t="s">
        <v>171</v>
      </c>
      <c r="N212" s="376" t="s">
        <v>172</v>
      </c>
      <c r="O212" s="379">
        <v>1</v>
      </c>
      <c r="P212" s="460">
        <v>1</v>
      </c>
      <c r="Q212" s="460">
        <v>1</v>
      </c>
      <c r="R212" s="380">
        <v>80</v>
      </c>
      <c r="S212" s="460">
        <v>1</v>
      </c>
      <c r="T212" s="380">
        <v>40923.199999999997</v>
      </c>
      <c r="U212" s="380">
        <v>0</v>
      </c>
      <c r="V212" s="380">
        <v>20904.07</v>
      </c>
      <c r="W212" s="380">
        <v>40892.800000000003</v>
      </c>
      <c r="X212" s="380">
        <v>21381.23</v>
      </c>
      <c r="Y212" s="380">
        <v>40892.800000000003</v>
      </c>
      <c r="Z212" s="380">
        <v>21499.83</v>
      </c>
      <c r="AA212" s="376" t="s">
        <v>788</v>
      </c>
      <c r="AB212" s="376" t="s">
        <v>789</v>
      </c>
      <c r="AC212" s="376" t="s">
        <v>790</v>
      </c>
      <c r="AD212" s="376" t="s">
        <v>170</v>
      </c>
      <c r="AE212" s="376" t="s">
        <v>439</v>
      </c>
      <c r="AF212" s="376" t="s">
        <v>236</v>
      </c>
      <c r="AG212" s="376" t="s">
        <v>178</v>
      </c>
      <c r="AH212" s="381">
        <v>19.66</v>
      </c>
      <c r="AI212" s="381">
        <v>5015.8</v>
      </c>
      <c r="AJ212" s="376" t="s">
        <v>179</v>
      </c>
      <c r="AK212" s="376" t="s">
        <v>180</v>
      </c>
      <c r="AL212" s="376" t="s">
        <v>181</v>
      </c>
      <c r="AM212" s="376" t="s">
        <v>182</v>
      </c>
      <c r="AN212" s="376" t="s">
        <v>68</v>
      </c>
      <c r="AO212" s="379">
        <v>80</v>
      </c>
      <c r="AP212" s="460">
        <v>1</v>
      </c>
      <c r="AQ212" s="460">
        <v>1</v>
      </c>
      <c r="AR212" s="458" t="s">
        <v>183</v>
      </c>
      <c r="AS212" s="462">
        <f t="shared" si="51"/>
        <v>1</v>
      </c>
      <c r="AT212">
        <f t="shared" si="52"/>
        <v>1</v>
      </c>
      <c r="AU212" s="462">
        <f>IF(AT212=0,"",IF(AND(AT212=1,M212="F",SUMIF(C2:C391,C212,AS2:AS391)&lt;=1),SUMIF(C2:C391,C212,AS2:AS391),IF(AND(AT212=1,M212="F",SUMIF(C2:C391,C212,AS2:AS391)&gt;1),1,"")))</f>
        <v>1</v>
      </c>
      <c r="AV212" s="462" t="str">
        <f>IF(AT212=0,"",IF(AND(AT212=3,M212="F",SUMIF(C2:C391,C212,AS2:AS391)&lt;=1),SUMIF(C2:C391,C212,AS2:AS391),IF(AND(AT212=3,M212="F",SUMIF(C2:C391,C212,AS2:AS391)&gt;1),1,"")))</f>
        <v/>
      </c>
      <c r="AW212" s="462">
        <f>SUMIF(C2:C391,C212,O2:O391)</f>
        <v>1</v>
      </c>
      <c r="AX212" s="462">
        <f>IF(AND(M212="F",AS212&lt;&gt;0),SUMIF(C2:C391,C212,W2:W391),0)</f>
        <v>40892.800000000003</v>
      </c>
      <c r="AY212" s="462">
        <f t="shared" si="53"/>
        <v>40892.800000000003</v>
      </c>
      <c r="AZ212" s="462" t="str">
        <f t="shared" si="54"/>
        <v/>
      </c>
      <c r="BA212" s="462">
        <f t="shared" si="55"/>
        <v>0</v>
      </c>
      <c r="BB212" s="462">
        <f>IF(AND(AT212=1,AK212="E",AU212&gt;=0.75,AW212=1),Health,IF(AND(AT212=1,AK212="E",AU212&gt;=0.75),Health*P212,IF(AND(AT212=1,AK212="E",AU212&gt;=0.5,AW212=1),PTHealth,IF(AND(AT212=1,AK212="E",AU212&gt;=0.5),PTHealth*P212,0))))</f>
        <v>11650</v>
      </c>
      <c r="BC212" s="462">
        <f>IF(AND(AT212=3,AK212="E",AV212&gt;=0.75,AW212=1),Health,IF(AND(AT212=3,AK212="E",AV212&gt;=0.75),Health*P212,IF(AND(AT212=3,AK212="E",AV212&gt;=0.5,AW212=1),PTHealth,IF(AND(AT212=3,AK212="E",AV212&gt;=0.5),PTHealth*P212,0))))</f>
        <v>0</v>
      </c>
      <c r="BD212" s="462">
        <f>IF(AND(AT212&lt;&gt;0,AX212&gt;=MAXSSDI),SSDI*MAXSSDI*P212,IF(AT212&lt;&gt;0,SSDI*W212,0))</f>
        <v>2535.3536000000004</v>
      </c>
      <c r="BE212" s="462">
        <f>IF(AT212&lt;&gt;0,SSHI*W212,0)</f>
        <v>592.94560000000013</v>
      </c>
      <c r="BF212" s="462">
        <f>IF(AND(AT212&lt;&gt;0,AN212&lt;&gt;"NE"),VLOOKUP(AN212,Retirement_Rates,3,FALSE)*W212,0)</f>
        <v>4882.6003200000005</v>
      </c>
      <c r="BG212" s="462">
        <f>IF(AND(AT212&lt;&gt;0,AJ212&lt;&gt;"PF"),Life*W212,0)</f>
        <v>294.83708800000005</v>
      </c>
      <c r="BH212" s="462">
        <f>IF(AND(AT212&lt;&gt;0,AM212="Y"),UI*W212,0)</f>
        <v>200.37472</v>
      </c>
      <c r="BI212" s="462">
        <f>IF(AND(AT212&lt;&gt;0,N212&lt;&gt;"NR"),DHR*W212,0)</f>
        <v>125.131968</v>
      </c>
      <c r="BJ212" s="462">
        <f>IF(AT212&lt;&gt;0,WC*W212,0)</f>
        <v>1100.0163200000002</v>
      </c>
      <c r="BK212" s="462">
        <f>IF(OR(AND(AT212&lt;&gt;0,AJ212&lt;&gt;"PF",AN212&lt;&gt;"NE",AG212&lt;&gt;"A"),AND(AL212="E",OR(AT212=1,AT212=3))),Sick*W212,0)</f>
        <v>0</v>
      </c>
      <c r="BL212" s="462">
        <f t="shared" si="56"/>
        <v>9731.2596160000012</v>
      </c>
      <c r="BM212" s="462">
        <f t="shared" si="57"/>
        <v>0</v>
      </c>
      <c r="BN212" s="462">
        <f>IF(AND(AT212=1,AK212="E",AU212&gt;=0.75,AW212=1),HealthBY,IF(AND(AT212=1,AK212="E",AU212&gt;=0.75),HealthBY*P212,IF(AND(AT212=1,AK212="E",AU212&gt;=0.5,AW212=1),PTHealthBY,IF(AND(AT212=1,AK212="E",AU212&gt;=0.5),PTHealthBY*P212,0))))</f>
        <v>11650</v>
      </c>
      <c r="BO212" s="462">
        <f>IF(AND(AT212=3,AK212="E",AV212&gt;=0.75,AW212=1),HealthBY,IF(AND(AT212=3,AK212="E",AV212&gt;=0.75),HealthBY*P212,IF(AND(AT212=3,AK212="E",AV212&gt;=0.5,AW212=1),PTHealthBY,IF(AND(AT212=3,AK212="E",AV212&gt;=0.5),PTHealthBY*P212,0))))</f>
        <v>0</v>
      </c>
      <c r="BP212" s="462">
        <f>IF(AND(AT212&lt;&gt;0,(AX212+BA212)&gt;=MAXSSDIBY),SSDIBY*MAXSSDIBY*P212,IF(AT212&lt;&gt;0,SSDIBY*W212,0))</f>
        <v>2535.3536000000004</v>
      </c>
      <c r="BQ212" s="462">
        <f>IF(AT212&lt;&gt;0,SSHIBY*W212,0)</f>
        <v>592.94560000000013</v>
      </c>
      <c r="BR212" s="462">
        <f>IF(AND(AT212&lt;&gt;0,AN212&lt;&gt;"NE"),VLOOKUP(AN212,Retirement_Rates,4,FALSE)*W212,0)</f>
        <v>4882.6003200000005</v>
      </c>
      <c r="BS212" s="462">
        <f>IF(AND(AT212&lt;&gt;0,AJ212&lt;&gt;"PF"),LifeBY*W212,0)</f>
        <v>294.83708800000005</v>
      </c>
      <c r="BT212" s="462">
        <f>IF(AND(AT212&lt;&gt;0,AM212="Y"),UIBY*W212,0)</f>
        <v>0</v>
      </c>
      <c r="BU212" s="462">
        <f>IF(AND(AT212&lt;&gt;0,N212&lt;&gt;"NR"),DHRBY*W212,0)</f>
        <v>125.131968</v>
      </c>
      <c r="BV212" s="462">
        <f>IF(AT212&lt;&gt;0,WCBY*W212,0)</f>
        <v>1418.9801600000001</v>
      </c>
      <c r="BW212" s="462">
        <f>IF(OR(AND(AT212&lt;&gt;0,AJ212&lt;&gt;"PF",AN212&lt;&gt;"NE",AG212&lt;&gt;"A"),AND(AL212="E",OR(AT212=1,AT212=3))),SickBY*W212,0)</f>
        <v>0</v>
      </c>
      <c r="BX212" s="462">
        <f t="shared" si="58"/>
        <v>9849.8487359999999</v>
      </c>
      <c r="BY212" s="462">
        <f t="shared" si="59"/>
        <v>0</v>
      </c>
      <c r="BZ212" s="462">
        <f t="shared" si="60"/>
        <v>0</v>
      </c>
      <c r="CA212" s="462">
        <f t="shared" si="61"/>
        <v>0</v>
      </c>
      <c r="CB212" s="462">
        <f t="shared" si="62"/>
        <v>0</v>
      </c>
      <c r="CC212" s="462">
        <f>IF(AT212&lt;&gt;0,SSHICHG*Y212,0)</f>
        <v>0</v>
      </c>
      <c r="CD212" s="462">
        <f>IF(AND(AT212&lt;&gt;0,AN212&lt;&gt;"NE"),VLOOKUP(AN212,Retirement_Rates,5,FALSE)*Y212,0)</f>
        <v>0</v>
      </c>
      <c r="CE212" s="462">
        <f>IF(AND(AT212&lt;&gt;0,AJ212&lt;&gt;"PF"),LifeCHG*Y212,0)</f>
        <v>0</v>
      </c>
      <c r="CF212" s="462">
        <f>IF(AND(AT212&lt;&gt;0,AM212="Y"),UICHG*Y212,0)</f>
        <v>-200.37472</v>
      </c>
      <c r="CG212" s="462">
        <f>IF(AND(AT212&lt;&gt;0,N212&lt;&gt;"NR"),DHRCHG*Y212,0)</f>
        <v>0</v>
      </c>
      <c r="CH212" s="462">
        <f>IF(AT212&lt;&gt;0,WCCHG*Y212,0)</f>
        <v>318.96384000000006</v>
      </c>
      <c r="CI212" s="462">
        <f>IF(OR(AND(AT212&lt;&gt;0,AJ212&lt;&gt;"PF",AN212&lt;&gt;"NE",AG212&lt;&gt;"A"),AND(AL212="E",OR(AT212=1,AT212=3))),SickCHG*Y212,0)</f>
        <v>0</v>
      </c>
      <c r="CJ212" s="462">
        <f t="shared" si="63"/>
        <v>118.58912000000007</v>
      </c>
      <c r="CK212" s="462" t="str">
        <f t="shared" si="64"/>
        <v/>
      </c>
      <c r="CL212" s="462" t="str">
        <f t="shared" si="65"/>
        <v/>
      </c>
      <c r="CM212" s="462" t="str">
        <f t="shared" si="66"/>
        <v/>
      </c>
      <c r="CN212" s="462" t="str">
        <f t="shared" si="67"/>
        <v>0243-00</v>
      </c>
    </row>
    <row r="213" spans="1:92" ht="15" thickBot="1" x14ac:dyDescent="0.35">
      <c r="A213" s="376" t="s">
        <v>161</v>
      </c>
      <c r="B213" s="376" t="s">
        <v>162</v>
      </c>
      <c r="C213" s="376" t="s">
        <v>791</v>
      </c>
      <c r="D213" s="376" t="s">
        <v>438</v>
      </c>
      <c r="E213" s="376" t="s">
        <v>273</v>
      </c>
      <c r="F213" s="377" t="s">
        <v>166</v>
      </c>
      <c r="G213" s="376" t="s">
        <v>432</v>
      </c>
      <c r="H213" s="378"/>
      <c r="I213" s="378"/>
      <c r="J213" s="376" t="s">
        <v>193</v>
      </c>
      <c r="K213" s="376" t="s">
        <v>439</v>
      </c>
      <c r="L213" s="376" t="s">
        <v>231</v>
      </c>
      <c r="M213" s="376" t="s">
        <v>171</v>
      </c>
      <c r="N213" s="376" t="s">
        <v>172</v>
      </c>
      <c r="O213" s="379">
        <v>1</v>
      </c>
      <c r="P213" s="460">
        <v>0.6</v>
      </c>
      <c r="Q213" s="460">
        <v>0.6</v>
      </c>
      <c r="R213" s="380">
        <v>80</v>
      </c>
      <c r="S213" s="460">
        <v>0.6</v>
      </c>
      <c r="T213" s="380">
        <v>25153.94</v>
      </c>
      <c r="U213" s="380">
        <v>0</v>
      </c>
      <c r="V213" s="380">
        <v>12804.2</v>
      </c>
      <c r="W213" s="380">
        <v>24535.68</v>
      </c>
      <c r="X213" s="380">
        <v>12828.73</v>
      </c>
      <c r="Y213" s="380">
        <v>24535.68</v>
      </c>
      <c r="Z213" s="380">
        <v>12899.89</v>
      </c>
      <c r="AA213" s="376" t="s">
        <v>792</v>
      </c>
      <c r="AB213" s="376" t="s">
        <v>793</v>
      </c>
      <c r="AC213" s="376" t="s">
        <v>794</v>
      </c>
      <c r="AD213" s="376" t="s">
        <v>446</v>
      </c>
      <c r="AE213" s="376" t="s">
        <v>439</v>
      </c>
      <c r="AF213" s="376" t="s">
        <v>236</v>
      </c>
      <c r="AG213" s="376" t="s">
        <v>178</v>
      </c>
      <c r="AH213" s="381">
        <v>19.66</v>
      </c>
      <c r="AI213" s="381">
        <v>6055.6</v>
      </c>
      <c r="AJ213" s="376" t="s">
        <v>179</v>
      </c>
      <c r="AK213" s="376" t="s">
        <v>180</v>
      </c>
      <c r="AL213" s="376" t="s">
        <v>181</v>
      </c>
      <c r="AM213" s="376" t="s">
        <v>182</v>
      </c>
      <c r="AN213" s="376" t="s">
        <v>68</v>
      </c>
      <c r="AO213" s="379">
        <v>80</v>
      </c>
      <c r="AP213" s="460">
        <v>1</v>
      </c>
      <c r="AQ213" s="460">
        <v>0.6</v>
      </c>
      <c r="AR213" s="458" t="s">
        <v>183</v>
      </c>
      <c r="AS213" s="462">
        <f t="shared" si="51"/>
        <v>0.6</v>
      </c>
      <c r="AT213">
        <f t="shared" si="52"/>
        <v>1</v>
      </c>
      <c r="AU213" s="462">
        <f>IF(AT213=0,"",IF(AND(AT213=1,M213="F",SUMIF(C2:C391,C213,AS2:AS391)&lt;=1),SUMIF(C2:C391,C213,AS2:AS391),IF(AND(AT213=1,M213="F",SUMIF(C2:C391,C213,AS2:AS391)&gt;1),1,"")))</f>
        <v>1</v>
      </c>
      <c r="AV213" s="462" t="str">
        <f>IF(AT213=0,"",IF(AND(AT213=3,M213="F",SUMIF(C2:C391,C213,AS2:AS391)&lt;=1),SUMIF(C2:C391,C213,AS2:AS391),IF(AND(AT213=3,M213="F",SUMIF(C2:C391,C213,AS2:AS391)&gt;1),1,"")))</f>
        <v/>
      </c>
      <c r="AW213" s="462">
        <f>SUMIF(C2:C391,C213,O2:O391)</f>
        <v>2</v>
      </c>
      <c r="AX213" s="462">
        <f>IF(AND(M213="F",AS213&lt;&gt;0),SUMIF(C2:C391,C213,W2:W391),0)</f>
        <v>40892.800000000003</v>
      </c>
      <c r="AY213" s="462">
        <f t="shared" si="53"/>
        <v>24535.68</v>
      </c>
      <c r="AZ213" s="462" t="str">
        <f t="shared" si="54"/>
        <v/>
      </c>
      <c r="BA213" s="462">
        <f t="shared" si="55"/>
        <v>0</v>
      </c>
      <c r="BB213" s="462">
        <f>IF(AND(AT213=1,AK213="E",AU213&gt;=0.75,AW213=1),Health,IF(AND(AT213=1,AK213="E",AU213&gt;=0.75),Health*P213,IF(AND(AT213=1,AK213="E",AU213&gt;=0.5,AW213=1),PTHealth,IF(AND(AT213=1,AK213="E",AU213&gt;=0.5),PTHealth*P213,0))))</f>
        <v>6990</v>
      </c>
      <c r="BC213" s="462">
        <f>IF(AND(AT213=3,AK213="E",AV213&gt;=0.75,AW213=1),Health,IF(AND(AT213=3,AK213="E",AV213&gt;=0.75),Health*P213,IF(AND(AT213=3,AK213="E",AV213&gt;=0.5,AW213=1),PTHealth,IF(AND(AT213=3,AK213="E",AV213&gt;=0.5),PTHealth*P213,0))))</f>
        <v>0</v>
      </c>
      <c r="BD213" s="462">
        <f>IF(AND(AT213&lt;&gt;0,AX213&gt;=MAXSSDI),SSDI*MAXSSDI*P213,IF(AT213&lt;&gt;0,SSDI*W213,0))</f>
        <v>1521.21216</v>
      </c>
      <c r="BE213" s="462">
        <f>IF(AT213&lt;&gt;0,SSHI*W213,0)</f>
        <v>355.76736</v>
      </c>
      <c r="BF213" s="462">
        <f>IF(AND(AT213&lt;&gt;0,AN213&lt;&gt;"NE"),VLOOKUP(AN213,Retirement_Rates,3,FALSE)*W213,0)</f>
        <v>2929.5601920000004</v>
      </c>
      <c r="BG213" s="462">
        <f>IF(AND(AT213&lt;&gt;0,AJ213&lt;&gt;"PF"),Life*W213,0)</f>
        <v>176.90225280000001</v>
      </c>
      <c r="BH213" s="462">
        <f>IF(AND(AT213&lt;&gt;0,AM213="Y"),UI*W213,0)</f>
        <v>120.22483199999999</v>
      </c>
      <c r="BI213" s="462">
        <f>IF(AND(AT213&lt;&gt;0,N213&lt;&gt;"NR"),DHR*W213,0)</f>
        <v>75.079180799999989</v>
      </c>
      <c r="BJ213" s="462">
        <f>IF(AT213&lt;&gt;0,WC*W213,0)</f>
        <v>660.00979200000006</v>
      </c>
      <c r="BK213" s="462">
        <f>IF(OR(AND(AT213&lt;&gt;0,AJ213&lt;&gt;"PF",AN213&lt;&gt;"NE",AG213&lt;&gt;"A"),AND(AL213="E",OR(AT213=1,AT213=3))),Sick*W213,0)</f>
        <v>0</v>
      </c>
      <c r="BL213" s="462">
        <f t="shared" si="56"/>
        <v>5838.7557696000003</v>
      </c>
      <c r="BM213" s="462">
        <f t="shared" si="57"/>
        <v>0</v>
      </c>
      <c r="BN213" s="462">
        <f>IF(AND(AT213=1,AK213="E",AU213&gt;=0.75,AW213=1),HealthBY,IF(AND(AT213=1,AK213="E",AU213&gt;=0.75),HealthBY*P213,IF(AND(AT213=1,AK213="E",AU213&gt;=0.5,AW213=1),PTHealthBY,IF(AND(AT213=1,AK213="E",AU213&gt;=0.5),PTHealthBY*P213,0))))</f>
        <v>6990</v>
      </c>
      <c r="BO213" s="462">
        <f>IF(AND(AT213=3,AK213="E",AV213&gt;=0.75,AW213=1),HealthBY,IF(AND(AT213=3,AK213="E",AV213&gt;=0.75),HealthBY*P213,IF(AND(AT213=3,AK213="E",AV213&gt;=0.5,AW213=1),PTHealthBY,IF(AND(AT213=3,AK213="E",AV213&gt;=0.5),PTHealthBY*P213,0))))</f>
        <v>0</v>
      </c>
      <c r="BP213" s="462">
        <f>IF(AND(AT213&lt;&gt;0,(AX213+BA213)&gt;=MAXSSDIBY),SSDIBY*MAXSSDIBY*P213,IF(AT213&lt;&gt;0,SSDIBY*W213,0))</f>
        <v>1521.21216</v>
      </c>
      <c r="BQ213" s="462">
        <f>IF(AT213&lt;&gt;0,SSHIBY*W213,0)</f>
        <v>355.76736</v>
      </c>
      <c r="BR213" s="462">
        <f>IF(AND(AT213&lt;&gt;0,AN213&lt;&gt;"NE"),VLOOKUP(AN213,Retirement_Rates,4,FALSE)*W213,0)</f>
        <v>2929.5601920000004</v>
      </c>
      <c r="BS213" s="462">
        <f>IF(AND(AT213&lt;&gt;0,AJ213&lt;&gt;"PF"),LifeBY*W213,0)</f>
        <v>176.90225280000001</v>
      </c>
      <c r="BT213" s="462">
        <f>IF(AND(AT213&lt;&gt;0,AM213="Y"),UIBY*W213,0)</f>
        <v>0</v>
      </c>
      <c r="BU213" s="462">
        <f>IF(AND(AT213&lt;&gt;0,N213&lt;&gt;"NR"),DHRBY*W213,0)</f>
        <v>75.079180799999989</v>
      </c>
      <c r="BV213" s="462">
        <f>IF(AT213&lt;&gt;0,WCBY*W213,0)</f>
        <v>851.38809600000002</v>
      </c>
      <c r="BW213" s="462">
        <f>IF(OR(AND(AT213&lt;&gt;0,AJ213&lt;&gt;"PF",AN213&lt;&gt;"NE",AG213&lt;&gt;"A"),AND(AL213="E",OR(AT213=1,AT213=3))),SickBY*W213,0)</f>
        <v>0</v>
      </c>
      <c r="BX213" s="462">
        <f t="shared" si="58"/>
        <v>5909.9092416000003</v>
      </c>
      <c r="BY213" s="462">
        <f t="shared" si="59"/>
        <v>0</v>
      </c>
      <c r="BZ213" s="462">
        <f t="shared" si="60"/>
        <v>0</v>
      </c>
      <c r="CA213" s="462">
        <f t="shared" si="61"/>
        <v>0</v>
      </c>
      <c r="CB213" s="462">
        <f t="shared" si="62"/>
        <v>0</v>
      </c>
      <c r="CC213" s="462">
        <f>IF(AT213&lt;&gt;0,SSHICHG*Y213,0)</f>
        <v>0</v>
      </c>
      <c r="CD213" s="462">
        <f>IF(AND(AT213&lt;&gt;0,AN213&lt;&gt;"NE"),VLOOKUP(AN213,Retirement_Rates,5,FALSE)*Y213,0)</f>
        <v>0</v>
      </c>
      <c r="CE213" s="462">
        <f>IF(AND(AT213&lt;&gt;0,AJ213&lt;&gt;"PF"),LifeCHG*Y213,0)</f>
        <v>0</v>
      </c>
      <c r="CF213" s="462">
        <f>IF(AND(AT213&lt;&gt;0,AM213="Y"),UICHG*Y213,0)</f>
        <v>-120.22483199999999</v>
      </c>
      <c r="CG213" s="462">
        <f>IF(AND(AT213&lt;&gt;0,N213&lt;&gt;"NR"),DHRCHG*Y213,0)</f>
        <v>0</v>
      </c>
      <c r="CH213" s="462">
        <f>IF(AT213&lt;&gt;0,WCCHG*Y213,0)</f>
        <v>191.37830400000004</v>
      </c>
      <c r="CI213" s="462">
        <f>IF(OR(AND(AT213&lt;&gt;0,AJ213&lt;&gt;"PF",AN213&lt;&gt;"NE",AG213&lt;&gt;"A"),AND(AL213="E",OR(AT213=1,AT213=3))),SickCHG*Y213,0)</f>
        <v>0</v>
      </c>
      <c r="CJ213" s="462">
        <f t="shared" si="63"/>
        <v>71.15347200000005</v>
      </c>
      <c r="CK213" s="462" t="str">
        <f t="shared" si="64"/>
        <v/>
      </c>
      <c r="CL213" s="462" t="str">
        <f t="shared" si="65"/>
        <v/>
      </c>
      <c r="CM213" s="462" t="str">
        <f t="shared" si="66"/>
        <v/>
      </c>
      <c r="CN213" s="462" t="str">
        <f t="shared" si="67"/>
        <v>0243-00</v>
      </c>
    </row>
    <row r="214" spans="1:92" ht="15" thickBot="1" x14ac:dyDescent="0.35">
      <c r="A214" s="376" t="s">
        <v>161</v>
      </c>
      <c r="B214" s="376" t="s">
        <v>162</v>
      </c>
      <c r="C214" s="376" t="s">
        <v>795</v>
      </c>
      <c r="D214" s="376" t="s">
        <v>438</v>
      </c>
      <c r="E214" s="376" t="s">
        <v>273</v>
      </c>
      <c r="F214" s="377" t="s">
        <v>166</v>
      </c>
      <c r="G214" s="376" t="s">
        <v>432</v>
      </c>
      <c r="H214" s="378"/>
      <c r="I214" s="378"/>
      <c r="J214" s="376" t="s">
        <v>168</v>
      </c>
      <c r="K214" s="376" t="s">
        <v>439</v>
      </c>
      <c r="L214" s="376" t="s">
        <v>231</v>
      </c>
      <c r="M214" s="376" t="s">
        <v>171</v>
      </c>
      <c r="N214" s="376" t="s">
        <v>172</v>
      </c>
      <c r="O214" s="379">
        <v>1</v>
      </c>
      <c r="P214" s="460">
        <v>1</v>
      </c>
      <c r="Q214" s="460">
        <v>1</v>
      </c>
      <c r="R214" s="380">
        <v>80</v>
      </c>
      <c r="S214" s="460">
        <v>1</v>
      </c>
      <c r="T214" s="380">
        <v>16257.42</v>
      </c>
      <c r="U214" s="380">
        <v>0</v>
      </c>
      <c r="V214" s="380">
        <v>7807.48</v>
      </c>
      <c r="W214" s="380">
        <v>40185.599999999999</v>
      </c>
      <c r="X214" s="380">
        <v>21212.93</v>
      </c>
      <c r="Y214" s="380">
        <v>40185.599999999999</v>
      </c>
      <c r="Z214" s="380">
        <v>21329.48</v>
      </c>
      <c r="AA214" s="376" t="s">
        <v>796</v>
      </c>
      <c r="AB214" s="376" t="s">
        <v>797</v>
      </c>
      <c r="AC214" s="376" t="s">
        <v>798</v>
      </c>
      <c r="AD214" s="376" t="s">
        <v>176</v>
      </c>
      <c r="AE214" s="376" t="s">
        <v>439</v>
      </c>
      <c r="AF214" s="376" t="s">
        <v>236</v>
      </c>
      <c r="AG214" s="376" t="s">
        <v>178</v>
      </c>
      <c r="AH214" s="381">
        <v>19.32</v>
      </c>
      <c r="AI214" s="381">
        <v>847.4</v>
      </c>
      <c r="AJ214" s="376" t="s">
        <v>179</v>
      </c>
      <c r="AK214" s="376" t="s">
        <v>180</v>
      </c>
      <c r="AL214" s="376" t="s">
        <v>181</v>
      </c>
      <c r="AM214" s="376" t="s">
        <v>182</v>
      </c>
      <c r="AN214" s="376" t="s">
        <v>68</v>
      </c>
      <c r="AO214" s="379">
        <v>80</v>
      </c>
      <c r="AP214" s="460">
        <v>1</v>
      </c>
      <c r="AQ214" s="460">
        <v>1</v>
      </c>
      <c r="AR214" s="458" t="s">
        <v>183</v>
      </c>
      <c r="AS214" s="462">
        <f t="shared" si="51"/>
        <v>1</v>
      </c>
      <c r="AT214">
        <f t="shared" si="52"/>
        <v>1</v>
      </c>
      <c r="AU214" s="462">
        <f>IF(AT214=0,"",IF(AND(AT214=1,M214="F",SUMIF(C2:C391,C214,AS2:AS391)&lt;=1),SUMIF(C2:C391,C214,AS2:AS391),IF(AND(AT214=1,M214="F",SUMIF(C2:C391,C214,AS2:AS391)&gt;1),1,"")))</f>
        <v>1</v>
      </c>
      <c r="AV214" s="462" t="str">
        <f>IF(AT214=0,"",IF(AND(AT214=3,M214="F",SUMIF(C2:C391,C214,AS2:AS391)&lt;=1),SUMIF(C2:C391,C214,AS2:AS391),IF(AND(AT214=3,M214="F",SUMIF(C2:C391,C214,AS2:AS391)&gt;1),1,"")))</f>
        <v/>
      </c>
      <c r="AW214" s="462">
        <f>SUMIF(C2:C391,C214,O2:O391)</f>
        <v>1</v>
      </c>
      <c r="AX214" s="462">
        <f>IF(AND(M214="F",AS214&lt;&gt;0),SUMIF(C2:C391,C214,W2:W391),0)</f>
        <v>40185.599999999999</v>
      </c>
      <c r="AY214" s="462">
        <f t="shared" si="53"/>
        <v>40185.599999999999</v>
      </c>
      <c r="AZ214" s="462" t="str">
        <f t="shared" si="54"/>
        <v/>
      </c>
      <c r="BA214" s="462">
        <f t="shared" si="55"/>
        <v>0</v>
      </c>
      <c r="BB214" s="462">
        <f>IF(AND(AT214=1,AK214="E",AU214&gt;=0.75,AW214=1),Health,IF(AND(AT214=1,AK214="E",AU214&gt;=0.75),Health*P214,IF(AND(AT214=1,AK214="E",AU214&gt;=0.5,AW214=1),PTHealth,IF(AND(AT214=1,AK214="E",AU214&gt;=0.5),PTHealth*P214,0))))</f>
        <v>11650</v>
      </c>
      <c r="BC214" s="462">
        <f>IF(AND(AT214=3,AK214="E",AV214&gt;=0.75,AW214=1),Health,IF(AND(AT214=3,AK214="E",AV214&gt;=0.75),Health*P214,IF(AND(AT214=3,AK214="E",AV214&gt;=0.5,AW214=1),PTHealth,IF(AND(AT214=3,AK214="E",AV214&gt;=0.5),PTHealth*P214,0))))</f>
        <v>0</v>
      </c>
      <c r="BD214" s="462">
        <f>IF(AND(AT214&lt;&gt;0,AX214&gt;=MAXSSDI),SSDI*MAXSSDI*P214,IF(AT214&lt;&gt;0,SSDI*W214,0))</f>
        <v>2491.5072</v>
      </c>
      <c r="BE214" s="462">
        <f>IF(AT214&lt;&gt;0,SSHI*W214,0)</f>
        <v>582.69119999999998</v>
      </c>
      <c r="BF214" s="462">
        <f>IF(AND(AT214&lt;&gt;0,AN214&lt;&gt;"NE"),VLOOKUP(AN214,Retirement_Rates,3,FALSE)*W214,0)</f>
        <v>4798.1606400000001</v>
      </c>
      <c r="BG214" s="462">
        <f>IF(AND(AT214&lt;&gt;0,AJ214&lt;&gt;"PF"),Life*W214,0)</f>
        <v>289.73817600000001</v>
      </c>
      <c r="BH214" s="462">
        <f>IF(AND(AT214&lt;&gt;0,AM214="Y"),UI*W214,0)</f>
        <v>196.90943999999999</v>
      </c>
      <c r="BI214" s="462">
        <f>IF(AND(AT214&lt;&gt;0,N214&lt;&gt;"NR"),DHR*W214,0)</f>
        <v>122.96793599999998</v>
      </c>
      <c r="BJ214" s="462">
        <f>IF(AT214&lt;&gt;0,WC*W214,0)</f>
        <v>1080.9926399999999</v>
      </c>
      <c r="BK214" s="462">
        <f>IF(OR(AND(AT214&lt;&gt;0,AJ214&lt;&gt;"PF",AN214&lt;&gt;"NE",AG214&lt;&gt;"A"),AND(AL214="E",OR(AT214=1,AT214=3))),Sick*W214,0)</f>
        <v>0</v>
      </c>
      <c r="BL214" s="462">
        <f t="shared" si="56"/>
        <v>9562.9672319999991</v>
      </c>
      <c r="BM214" s="462">
        <f t="shared" si="57"/>
        <v>0</v>
      </c>
      <c r="BN214" s="462">
        <f>IF(AND(AT214=1,AK214="E",AU214&gt;=0.75,AW214=1),HealthBY,IF(AND(AT214=1,AK214="E",AU214&gt;=0.75),HealthBY*P214,IF(AND(AT214=1,AK214="E",AU214&gt;=0.5,AW214=1),PTHealthBY,IF(AND(AT214=1,AK214="E",AU214&gt;=0.5),PTHealthBY*P214,0))))</f>
        <v>11650</v>
      </c>
      <c r="BO214" s="462">
        <f>IF(AND(AT214=3,AK214="E",AV214&gt;=0.75,AW214=1),HealthBY,IF(AND(AT214=3,AK214="E",AV214&gt;=0.75),HealthBY*P214,IF(AND(AT214=3,AK214="E",AV214&gt;=0.5,AW214=1),PTHealthBY,IF(AND(AT214=3,AK214="E",AV214&gt;=0.5),PTHealthBY*P214,0))))</f>
        <v>0</v>
      </c>
      <c r="BP214" s="462">
        <f>IF(AND(AT214&lt;&gt;0,(AX214+BA214)&gt;=MAXSSDIBY),SSDIBY*MAXSSDIBY*P214,IF(AT214&lt;&gt;0,SSDIBY*W214,0))</f>
        <v>2491.5072</v>
      </c>
      <c r="BQ214" s="462">
        <f>IF(AT214&lt;&gt;0,SSHIBY*W214,0)</f>
        <v>582.69119999999998</v>
      </c>
      <c r="BR214" s="462">
        <f>IF(AND(AT214&lt;&gt;0,AN214&lt;&gt;"NE"),VLOOKUP(AN214,Retirement_Rates,4,FALSE)*W214,0)</f>
        <v>4798.1606400000001</v>
      </c>
      <c r="BS214" s="462">
        <f>IF(AND(AT214&lt;&gt;0,AJ214&lt;&gt;"PF"),LifeBY*W214,0)</f>
        <v>289.73817600000001</v>
      </c>
      <c r="BT214" s="462">
        <f>IF(AND(AT214&lt;&gt;0,AM214="Y"),UIBY*W214,0)</f>
        <v>0</v>
      </c>
      <c r="BU214" s="462">
        <f>IF(AND(AT214&lt;&gt;0,N214&lt;&gt;"NR"),DHRBY*W214,0)</f>
        <v>122.96793599999998</v>
      </c>
      <c r="BV214" s="462">
        <f>IF(AT214&lt;&gt;0,WCBY*W214,0)</f>
        <v>1394.4403199999999</v>
      </c>
      <c r="BW214" s="462">
        <f>IF(OR(AND(AT214&lt;&gt;0,AJ214&lt;&gt;"PF",AN214&lt;&gt;"NE",AG214&lt;&gt;"A"),AND(AL214="E",OR(AT214=1,AT214=3))),SickBY*W214,0)</f>
        <v>0</v>
      </c>
      <c r="BX214" s="462">
        <f t="shared" si="58"/>
        <v>9679.5054719999989</v>
      </c>
      <c r="BY214" s="462">
        <f t="shared" si="59"/>
        <v>0</v>
      </c>
      <c r="BZ214" s="462">
        <f t="shared" si="60"/>
        <v>0</v>
      </c>
      <c r="CA214" s="462">
        <f t="shared" si="61"/>
        <v>0</v>
      </c>
      <c r="CB214" s="462">
        <f t="shared" si="62"/>
        <v>0</v>
      </c>
      <c r="CC214" s="462">
        <f>IF(AT214&lt;&gt;0,SSHICHG*Y214,0)</f>
        <v>0</v>
      </c>
      <c r="CD214" s="462">
        <f>IF(AND(AT214&lt;&gt;0,AN214&lt;&gt;"NE"),VLOOKUP(AN214,Retirement_Rates,5,FALSE)*Y214,0)</f>
        <v>0</v>
      </c>
      <c r="CE214" s="462">
        <f>IF(AND(AT214&lt;&gt;0,AJ214&lt;&gt;"PF"),LifeCHG*Y214,0)</f>
        <v>0</v>
      </c>
      <c r="CF214" s="462">
        <f>IF(AND(AT214&lt;&gt;0,AM214="Y"),UICHG*Y214,0)</f>
        <v>-196.90943999999999</v>
      </c>
      <c r="CG214" s="462">
        <f>IF(AND(AT214&lt;&gt;0,N214&lt;&gt;"NR"),DHRCHG*Y214,0)</f>
        <v>0</v>
      </c>
      <c r="CH214" s="462">
        <f>IF(AT214&lt;&gt;0,WCCHG*Y214,0)</f>
        <v>313.44768000000005</v>
      </c>
      <c r="CI214" s="462">
        <f>IF(OR(AND(AT214&lt;&gt;0,AJ214&lt;&gt;"PF",AN214&lt;&gt;"NE",AG214&lt;&gt;"A"),AND(AL214="E",OR(AT214=1,AT214=3))),SickCHG*Y214,0)</f>
        <v>0</v>
      </c>
      <c r="CJ214" s="462">
        <f t="shared" si="63"/>
        <v>116.53824000000006</v>
      </c>
      <c r="CK214" s="462" t="str">
        <f t="shared" si="64"/>
        <v/>
      </c>
      <c r="CL214" s="462" t="str">
        <f t="shared" si="65"/>
        <v/>
      </c>
      <c r="CM214" s="462" t="str">
        <f t="shared" si="66"/>
        <v/>
      </c>
      <c r="CN214" s="462" t="str">
        <f t="shared" si="67"/>
        <v>0243-00</v>
      </c>
    </row>
    <row r="215" spans="1:92" ht="15" thickBot="1" x14ac:dyDescent="0.35">
      <c r="A215" s="376" t="s">
        <v>161</v>
      </c>
      <c r="B215" s="376" t="s">
        <v>162</v>
      </c>
      <c r="C215" s="376" t="s">
        <v>799</v>
      </c>
      <c r="D215" s="376" t="s">
        <v>460</v>
      </c>
      <c r="E215" s="376" t="s">
        <v>273</v>
      </c>
      <c r="F215" s="377" t="s">
        <v>166</v>
      </c>
      <c r="G215" s="376" t="s">
        <v>432</v>
      </c>
      <c r="H215" s="378"/>
      <c r="I215" s="378"/>
      <c r="J215" s="376" t="s">
        <v>168</v>
      </c>
      <c r="K215" s="376" t="s">
        <v>461</v>
      </c>
      <c r="L215" s="376" t="s">
        <v>240</v>
      </c>
      <c r="M215" s="376" t="s">
        <v>171</v>
      </c>
      <c r="N215" s="376" t="s">
        <v>172</v>
      </c>
      <c r="O215" s="379">
        <v>1</v>
      </c>
      <c r="P215" s="460">
        <v>1</v>
      </c>
      <c r="Q215" s="460">
        <v>1</v>
      </c>
      <c r="R215" s="380">
        <v>80</v>
      </c>
      <c r="S215" s="460">
        <v>1</v>
      </c>
      <c r="T215" s="380">
        <v>16814.72</v>
      </c>
      <c r="U215" s="380">
        <v>0</v>
      </c>
      <c r="V215" s="380">
        <v>11771.74</v>
      </c>
      <c r="W215" s="380">
        <v>47091.199999999997</v>
      </c>
      <c r="X215" s="380">
        <v>22856.25</v>
      </c>
      <c r="Y215" s="380">
        <v>47091.199999999997</v>
      </c>
      <c r="Z215" s="380">
        <v>22992.82</v>
      </c>
      <c r="AA215" s="376" t="s">
        <v>800</v>
      </c>
      <c r="AB215" s="376" t="s">
        <v>801</v>
      </c>
      <c r="AC215" s="376" t="s">
        <v>802</v>
      </c>
      <c r="AD215" s="376" t="s">
        <v>492</v>
      </c>
      <c r="AE215" s="376" t="s">
        <v>461</v>
      </c>
      <c r="AF215" s="376" t="s">
        <v>244</v>
      </c>
      <c r="AG215" s="376" t="s">
        <v>178</v>
      </c>
      <c r="AH215" s="381">
        <v>22.64</v>
      </c>
      <c r="AI215" s="379">
        <v>230</v>
      </c>
      <c r="AJ215" s="376" t="s">
        <v>179</v>
      </c>
      <c r="AK215" s="376" t="s">
        <v>180</v>
      </c>
      <c r="AL215" s="376" t="s">
        <v>181</v>
      </c>
      <c r="AM215" s="376" t="s">
        <v>182</v>
      </c>
      <c r="AN215" s="376" t="s">
        <v>68</v>
      </c>
      <c r="AO215" s="379">
        <v>80</v>
      </c>
      <c r="AP215" s="460">
        <v>1</v>
      </c>
      <c r="AQ215" s="460">
        <v>1</v>
      </c>
      <c r="AR215" s="458" t="s">
        <v>183</v>
      </c>
      <c r="AS215" s="462">
        <f t="shared" si="51"/>
        <v>1</v>
      </c>
      <c r="AT215">
        <f t="shared" si="52"/>
        <v>1</v>
      </c>
      <c r="AU215" s="462">
        <f>IF(AT215=0,"",IF(AND(AT215=1,M215="F",SUMIF(C2:C391,C215,AS2:AS391)&lt;=1),SUMIF(C2:C391,C215,AS2:AS391),IF(AND(AT215=1,M215="F",SUMIF(C2:C391,C215,AS2:AS391)&gt;1),1,"")))</f>
        <v>1</v>
      </c>
      <c r="AV215" s="462" t="str">
        <f>IF(AT215=0,"",IF(AND(AT215=3,M215="F",SUMIF(C2:C391,C215,AS2:AS391)&lt;=1),SUMIF(C2:C391,C215,AS2:AS391),IF(AND(AT215=3,M215="F",SUMIF(C2:C391,C215,AS2:AS391)&gt;1),1,"")))</f>
        <v/>
      </c>
      <c r="AW215" s="462">
        <f>SUMIF(C2:C391,C215,O2:O391)</f>
        <v>1</v>
      </c>
      <c r="AX215" s="462">
        <f>IF(AND(M215="F",AS215&lt;&gt;0),SUMIF(C2:C391,C215,W2:W391),0)</f>
        <v>47091.199999999997</v>
      </c>
      <c r="AY215" s="462">
        <f t="shared" si="53"/>
        <v>47091.199999999997</v>
      </c>
      <c r="AZ215" s="462" t="str">
        <f t="shared" si="54"/>
        <v/>
      </c>
      <c r="BA215" s="462">
        <f t="shared" si="55"/>
        <v>0</v>
      </c>
      <c r="BB215" s="462">
        <f>IF(AND(AT215=1,AK215="E",AU215&gt;=0.75,AW215=1),Health,IF(AND(AT215=1,AK215="E",AU215&gt;=0.75),Health*P215,IF(AND(AT215=1,AK215="E",AU215&gt;=0.5,AW215=1),PTHealth,IF(AND(AT215=1,AK215="E",AU215&gt;=0.5),PTHealth*P215,0))))</f>
        <v>11650</v>
      </c>
      <c r="BC215" s="462">
        <f>IF(AND(AT215=3,AK215="E",AV215&gt;=0.75,AW215=1),Health,IF(AND(AT215=3,AK215="E",AV215&gt;=0.75),Health*P215,IF(AND(AT215=3,AK215="E",AV215&gt;=0.5,AW215=1),PTHealth,IF(AND(AT215=3,AK215="E",AV215&gt;=0.5),PTHealth*P215,0))))</f>
        <v>0</v>
      </c>
      <c r="BD215" s="462">
        <f>IF(AND(AT215&lt;&gt;0,AX215&gt;=MAXSSDI),SSDI*MAXSSDI*P215,IF(AT215&lt;&gt;0,SSDI*W215,0))</f>
        <v>2919.6543999999999</v>
      </c>
      <c r="BE215" s="462">
        <f>IF(AT215&lt;&gt;0,SSHI*W215,0)</f>
        <v>682.82240000000002</v>
      </c>
      <c r="BF215" s="462">
        <f>IF(AND(AT215&lt;&gt;0,AN215&lt;&gt;"NE"),VLOOKUP(AN215,Retirement_Rates,3,FALSE)*W215,0)</f>
        <v>5622.6892799999996</v>
      </c>
      <c r="BG215" s="462">
        <f>IF(AND(AT215&lt;&gt;0,AJ215&lt;&gt;"PF"),Life*W215,0)</f>
        <v>339.52755200000001</v>
      </c>
      <c r="BH215" s="462">
        <f>IF(AND(AT215&lt;&gt;0,AM215="Y"),UI*W215,0)</f>
        <v>230.74687999999998</v>
      </c>
      <c r="BI215" s="462">
        <f>IF(AND(AT215&lt;&gt;0,N215&lt;&gt;"NR"),DHR*W215,0)</f>
        <v>144.09907199999998</v>
      </c>
      <c r="BJ215" s="462">
        <f>IF(AT215&lt;&gt;0,WC*W215,0)</f>
        <v>1266.7532799999999</v>
      </c>
      <c r="BK215" s="462">
        <f>IF(OR(AND(AT215&lt;&gt;0,AJ215&lt;&gt;"PF",AN215&lt;&gt;"NE",AG215&lt;&gt;"A"),AND(AL215="E",OR(AT215=1,AT215=3))),Sick*W215,0)</f>
        <v>0</v>
      </c>
      <c r="BL215" s="462">
        <f t="shared" si="56"/>
        <v>11206.292863999999</v>
      </c>
      <c r="BM215" s="462">
        <f t="shared" si="57"/>
        <v>0</v>
      </c>
      <c r="BN215" s="462">
        <f>IF(AND(AT215=1,AK215="E",AU215&gt;=0.75,AW215=1),HealthBY,IF(AND(AT215=1,AK215="E",AU215&gt;=0.75),HealthBY*P215,IF(AND(AT215=1,AK215="E",AU215&gt;=0.5,AW215=1),PTHealthBY,IF(AND(AT215=1,AK215="E",AU215&gt;=0.5),PTHealthBY*P215,0))))</f>
        <v>11650</v>
      </c>
      <c r="BO215" s="462">
        <f>IF(AND(AT215=3,AK215="E",AV215&gt;=0.75,AW215=1),HealthBY,IF(AND(AT215=3,AK215="E",AV215&gt;=0.75),HealthBY*P215,IF(AND(AT215=3,AK215="E",AV215&gt;=0.5,AW215=1),PTHealthBY,IF(AND(AT215=3,AK215="E",AV215&gt;=0.5),PTHealthBY*P215,0))))</f>
        <v>0</v>
      </c>
      <c r="BP215" s="462">
        <f>IF(AND(AT215&lt;&gt;0,(AX215+BA215)&gt;=MAXSSDIBY),SSDIBY*MAXSSDIBY*P215,IF(AT215&lt;&gt;0,SSDIBY*W215,0))</f>
        <v>2919.6543999999999</v>
      </c>
      <c r="BQ215" s="462">
        <f>IF(AT215&lt;&gt;0,SSHIBY*W215,0)</f>
        <v>682.82240000000002</v>
      </c>
      <c r="BR215" s="462">
        <f>IF(AND(AT215&lt;&gt;0,AN215&lt;&gt;"NE"),VLOOKUP(AN215,Retirement_Rates,4,FALSE)*W215,0)</f>
        <v>5622.6892799999996</v>
      </c>
      <c r="BS215" s="462">
        <f>IF(AND(AT215&lt;&gt;0,AJ215&lt;&gt;"PF"),LifeBY*W215,0)</f>
        <v>339.52755200000001</v>
      </c>
      <c r="BT215" s="462">
        <f>IF(AND(AT215&lt;&gt;0,AM215="Y"),UIBY*W215,0)</f>
        <v>0</v>
      </c>
      <c r="BU215" s="462">
        <f>IF(AND(AT215&lt;&gt;0,N215&lt;&gt;"NR"),DHRBY*W215,0)</f>
        <v>144.09907199999998</v>
      </c>
      <c r="BV215" s="462">
        <f>IF(AT215&lt;&gt;0,WCBY*W215,0)</f>
        <v>1634.0646400000001</v>
      </c>
      <c r="BW215" s="462">
        <f>IF(OR(AND(AT215&lt;&gt;0,AJ215&lt;&gt;"PF",AN215&lt;&gt;"NE",AG215&lt;&gt;"A"),AND(AL215="E",OR(AT215=1,AT215=3))),SickBY*W215,0)</f>
        <v>0</v>
      </c>
      <c r="BX215" s="462">
        <f t="shared" si="58"/>
        <v>11342.857344</v>
      </c>
      <c r="BY215" s="462">
        <f t="shared" si="59"/>
        <v>0</v>
      </c>
      <c r="BZ215" s="462">
        <f t="shared" si="60"/>
        <v>0</v>
      </c>
      <c r="CA215" s="462">
        <f t="shared" si="61"/>
        <v>0</v>
      </c>
      <c r="CB215" s="462">
        <f t="shared" si="62"/>
        <v>0</v>
      </c>
      <c r="CC215" s="462">
        <f>IF(AT215&lt;&gt;0,SSHICHG*Y215,0)</f>
        <v>0</v>
      </c>
      <c r="CD215" s="462">
        <f>IF(AND(AT215&lt;&gt;0,AN215&lt;&gt;"NE"),VLOOKUP(AN215,Retirement_Rates,5,FALSE)*Y215,0)</f>
        <v>0</v>
      </c>
      <c r="CE215" s="462">
        <f>IF(AND(AT215&lt;&gt;0,AJ215&lt;&gt;"PF"),LifeCHG*Y215,0)</f>
        <v>0</v>
      </c>
      <c r="CF215" s="462">
        <f>IF(AND(AT215&lt;&gt;0,AM215="Y"),UICHG*Y215,0)</f>
        <v>-230.74687999999998</v>
      </c>
      <c r="CG215" s="462">
        <f>IF(AND(AT215&lt;&gt;0,N215&lt;&gt;"NR"),DHRCHG*Y215,0)</f>
        <v>0</v>
      </c>
      <c r="CH215" s="462">
        <f>IF(AT215&lt;&gt;0,WCCHG*Y215,0)</f>
        <v>367.31136000000004</v>
      </c>
      <c r="CI215" s="462">
        <f>IF(OR(AND(AT215&lt;&gt;0,AJ215&lt;&gt;"PF",AN215&lt;&gt;"NE",AG215&lt;&gt;"A"),AND(AL215="E",OR(AT215=1,AT215=3))),SickCHG*Y215,0)</f>
        <v>0</v>
      </c>
      <c r="CJ215" s="462">
        <f t="shared" si="63"/>
        <v>136.56448000000006</v>
      </c>
      <c r="CK215" s="462" t="str">
        <f t="shared" si="64"/>
        <v/>
      </c>
      <c r="CL215" s="462" t="str">
        <f t="shared" si="65"/>
        <v/>
      </c>
      <c r="CM215" s="462" t="str">
        <f t="shared" si="66"/>
        <v/>
      </c>
      <c r="CN215" s="462" t="str">
        <f t="shared" si="67"/>
        <v>0243-00</v>
      </c>
    </row>
    <row r="216" spans="1:92" ht="15" thickBot="1" x14ac:dyDescent="0.35">
      <c r="A216" s="376" t="s">
        <v>161</v>
      </c>
      <c r="B216" s="376" t="s">
        <v>162</v>
      </c>
      <c r="C216" s="376" t="s">
        <v>803</v>
      </c>
      <c r="D216" s="376" t="s">
        <v>438</v>
      </c>
      <c r="E216" s="376" t="s">
        <v>273</v>
      </c>
      <c r="F216" s="377" t="s">
        <v>166</v>
      </c>
      <c r="G216" s="376" t="s">
        <v>432</v>
      </c>
      <c r="H216" s="378"/>
      <c r="I216" s="378"/>
      <c r="J216" s="376" t="s">
        <v>193</v>
      </c>
      <c r="K216" s="376" t="s">
        <v>439</v>
      </c>
      <c r="L216" s="376" t="s">
        <v>231</v>
      </c>
      <c r="M216" s="376" t="s">
        <v>171</v>
      </c>
      <c r="N216" s="376" t="s">
        <v>172</v>
      </c>
      <c r="O216" s="379">
        <v>1</v>
      </c>
      <c r="P216" s="460">
        <v>0.6</v>
      </c>
      <c r="Q216" s="460">
        <v>0.6</v>
      </c>
      <c r="R216" s="380">
        <v>80</v>
      </c>
      <c r="S216" s="460">
        <v>0.6</v>
      </c>
      <c r="T216" s="380">
        <v>19248.34</v>
      </c>
      <c r="U216" s="380">
        <v>600.52</v>
      </c>
      <c r="V216" s="380">
        <v>10355.09</v>
      </c>
      <c r="W216" s="380">
        <v>24111.360000000001</v>
      </c>
      <c r="X216" s="380">
        <v>12727.75</v>
      </c>
      <c r="Y216" s="380">
        <v>24111.360000000001</v>
      </c>
      <c r="Z216" s="380">
        <v>12797.68</v>
      </c>
      <c r="AA216" s="376" t="s">
        <v>804</v>
      </c>
      <c r="AB216" s="376" t="s">
        <v>435</v>
      </c>
      <c r="AC216" s="376" t="s">
        <v>698</v>
      </c>
      <c r="AD216" s="376" t="s">
        <v>176</v>
      </c>
      <c r="AE216" s="376" t="s">
        <v>439</v>
      </c>
      <c r="AF216" s="376" t="s">
        <v>236</v>
      </c>
      <c r="AG216" s="376" t="s">
        <v>178</v>
      </c>
      <c r="AH216" s="381">
        <v>19.32</v>
      </c>
      <c r="AI216" s="379">
        <v>1316</v>
      </c>
      <c r="AJ216" s="376" t="s">
        <v>179</v>
      </c>
      <c r="AK216" s="376" t="s">
        <v>180</v>
      </c>
      <c r="AL216" s="376" t="s">
        <v>181</v>
      </c>
      <c r="AM216" s="376" t="s">
        <v>182</v>
      </c>
      <c r="AN216" s="376" t="s">
        <v>68</v>
      </c>
      <c r="AO216" s="379">
        <v>80</v>
      </c>
      <c r="AP216" s="460">
        <v>1</v>
      </c>
      <c r="AQ216" s="460">
        <v>0.6</v>
      </c>
      <c r="AR216" s="458" t="s">
        <v>183</v>
      </c>
      <c r="AS216" s="462">
        <f t="shared" si="51"/>
        <v>0.6</v>
      </c>
      <c r="AT216">
        <f t="shared" si="52"/>
        <v>1</v>
      </c>
      <c r="AU216" s="462">
        <f>IF(AT216=0,"",IF(AND(AT216=1,M216="F",SUMIF(C2:C391,C216,AS2:AS391)&lt;=1),SUMIF(C2:C391,C216,AS2:AS391),IF(AND(AT216=1,M216="F",SUMIF(C2:C391,C216,AS2:AS391)&gt;1),1,"")))</f>
        <v>1</v>
      </c>
      <c r="AV216" s="462" t="str">
        <f>IF(AT216=0,"",IF(AND(AT216=3,M216="F",SUMIF(C2:C391,C216,AS2:AS391)&lt;=1),SUMIF(C2:C391,C216,AS2:AS391),IF(AND(AT216=3,M216="F",SUMIF(C2:C391,C216,AS2:AS391)&gt;1),1,"")))</f>
        <v/>
      </c>
      <c r="AW216" s="462">
        <f>SUMIF(C2:C391,C216,O2:O391)</f>
        <v>2</v>
      </c>
      <c r="AX216" s="462">
        <f>IF(AND(M216="F",AS216&lt;&gt;0),SUMIF(C2:C391,C216,W2:W391),0)</f>
        <v>40185.599999999999</v>
      </c>
      <c r="AY216" s="462">
        <f t="shared" si="53"/>
        <v>24111.360000000001</v>
      </c>
      <c r="AZ216" s="462" t="str">
        <f t="shared" si="54"/>
        <v/>
      </c>
      <c r="BA216" s="462">
        <f t="shared" si="55"/>
        <v>0</v>
      </c>
      <c r="BB216" s="462">
        <f>IF(AND(AT216=1,AK216="E",AU216&gt;=0.75,AW216=1),Health,IF(AND(AT216=1,AK216="E",AU216&gt;=0.75),Health*P216,IF(AND(AT216=1,AK216="E",AU216&gt;=0.5,AW216=1),PTHealth,IF(AND(AT216=1,AK216="E",AU216&gt;=0.5),PTHealth*P216,0))))</f>
        <v>6990</v>
      </c>
      <c r="BC216" s="462">
        <f>IF(AND(AT216=3,AK216="E",AV216&gt;=0.75,AW216=1),Health,IF(AND(AT216=3,AK216="E",AV216&gt;=0.75),Health*P216,IF(AND(AT216=3,AK216="E",AV216&gt;=0.5,AW216=1),PTHealth,IF(AND(AT216=3,AK216="E",AV216&gt;=0.5),PTHealth*P216,0))))</f>
        <v>0</v>
      </c>
      <c r="BD216" s="462">
        <f>IF(AND(AT216&lt;&gt;0,AX216&gt;=MAXSSDI),SSDI*MAXSSDI*P216,IF(AT216&lt;&gt;0,SSDI*W216,0))</f>
        <v>1494.9043200000001</v>
      </c>
      <c r="BE216" s="462">
        <f>IF(AT216&lt;&gt;0,SSHI*W216,0)</f>
        <v>349.61472000000003</v>
      </c>
      <c r="BF216" s="462">
        <f>IF(AND(AT216&lt;&gt;0,AN216&lt;&gt;"NE"),VLOOKUP(AN216,Retirement_Rates,3,FALSE)*W216,0)</f>
        <v>2878.8963840000001</v>
      </c>
      <c r="BG216" s="462">
        <f>IF(AND(AT216&lt;&gt;0,AJ216&lt;&gt;"PF"),Life*W216,0)</f>
        <v>173.84290560000002</v>
      </c>
      <c r="BH216" s="462">
        <f>IF(AND(AT216&lt;&gt;0,AM216="Y"),UI*W216,0)</f>
        <v>118.145664</v>
      </c>
      <c r="BI216" s="462">
        <f>IF(AND(AT216&lt;&gt;0,N216&lt;&gt;"NR"),DHR*W216,0)</f>
        <v>73.780761599999991</v>
      </c>
      <c r="BJ216" s="462">
        <f>IF(AT216&lt;&gt;0,WC*W216,0)</f>
        <v>648.59558400000003</v>
      </c>
      <c r="BK216" s="462">
        <f>IF(OR(AND(AT216&lt;&gt;0,AJ216&lt;&gt;"PF",AN216&lt;&gt;"NE",AG216&lt;&gt;"A"),AND(AL216="E",OR(AT216=1,AT216=3))),Sick*W216,0)</f>
        <v>0</v>
      </c>
      <c r="BL216" s="462">
        <f t="shared" si="56"/>
        <v>5737.7803392000005</v>
      </c>
      <c r="BM216" s="462">
        <f t="shared" si="57"/>
        <v>0</v>
      </c>
      <c r="BN216" s="462">
        <f>IF(AND(AT216=1,AK216="E",AU216&gt;=0.75,AW216=1),HealthBY,IF(AND(AT216=1,AK216="E",AU216&gt;=0.75),HealthBY*P216,IF(AND(AT216=1,AK216="E",AU216&gt;=0.5,AW216=1),PTHealthBY,IF(AND(AT216=1,AK216="E",AU216&gt;=0.5),PTHealthBY*P216,0))))</f>
        <v>6990</v>
      </c>
      <c r="BO216" s="462">
        <f>IF(AND(AT216=3,AK216="E",AV216&gt;=0.75,AW216=1),HealthBY,IF(AND(AT216=3,AK216="E",AV216&gt;=0.75),HealthBY*P216,IF(AND(AT216=3,AK216="E",AV216&gt;=0.5,AW216=1),PTHealthBY,IF(AND(AT216=3,AK216="E",AV216&gt;=0.5),PTHealthBY*P216,0))))</f>
        <v>0</v>
      </c>
      <c r="BP216" s="462">
        <f>IF(AND(AT216&lt;&gt;0,(AX216+BA216)&gt;=MAXSSDIBY),SSDIBY*MAXSSDIBY*P216,IF(AT216&lt;&gt;0,SSDIBY*W216,0))</f>
        <v>1494.9043200000001</v>
      </c>
      <c r="BQ216" s="462">
        <f>IF(AT216&lt;&gt;0,SSHIBY*W216,0)</f>
        <v>349.61472000000003</v>
      </c>
      <c r="BR216" s="462">
        <f>IF(AND(AT216&lt;&gt;0,AN216&lt;&gt;"NE"),VLOOKUP(AN216,Retirement_Rates,4,FALSE)*W216,0)</f>
        <v>2878.8963840000001</v>
      </c>
      <c r="BS216" s="462">
        <f>IF(AND(AT216&lt;&gt;0,AJ216&lt;&gt;"PF"),LifeBY*W216,0)</f>
        <v>173.84290560000002</v>
      </c>
      <c r="BT216" s="462">
        <f>IF(AND(AT216&lt;&gt;0,AM216="Y"),UIBY*W216,0)</f>
        <v>0</v>
      </c>
      <c r="BU216" s="462">
        <f>IF(AND(AT216&lt;&gt;0,N216&lt;&gt;"NR"),DHRBY*W216,0)</f>
        <v>73.780761599999991</v>
      </c>
      <c r="BV216" s="462">
        <f>IF(AT216&lt;&gt;0,WCBY*W216,0)</f>
        <v>836.66419200000007</v>
      </c>
      <c r="BW216" s="462">
        <f>IF(OR(AND(AT216&lt;&gt;0,AJ216&lt;&gt;"PF",AN216&lt;&gt;"NE",AG216&lt;&gt;"A"),AND(AL216="E",OR(AT216=1,AT216=3))),SickBY*W216,0)</f>
        <v>0</v>
      </c>
      <c r="BX216" s="462">
        <f t="shared" si="58"/>
        <v>5807.7032832000014</v>
      </c>
      <c r="BY216" s="462">
        <f t="shared" si="59"/>
        <v>0</v>
      </c>
      <c r="BZ216" s="462">
        <f t="shared" si="60"/>
        <v>0</v>
      </c>
      <c r="CA216" s="462">
        <f t="shared" si="61"/>
        <v>0</v>
      </c>
      <c r="CB216" s="462">
        <f t="shared" si="62"/>
        <v>0</v>
      </c>
      <c r="CC216" s="462">
        <f>IF(AT216&lt;&gt;0,SSHICHG*Y216,0)</f>
        <v>0</v>
      </c>
      <c r="CD216" s="462">
        <f>IF(AND(AT216&lt;&gt;0,AN216&lt;&gt;"NE"),VLOOKUP(AN216,Retirement_Rates,5,FALSE)*Y216,0)</f>
        <v>0</v>
      </c>
      <c r="CE216" s="462">
        <f>IF(AND(AT216&lt;&gt;0,AJ216&lt;&gt;"PF"),LifeCHG*Y216,0)</f>
        <v>0</v>
      </c>
      <c r="CF216" s="462">
        <f>IF(AND(AT216&lt;&gt;0,AM216="Y"),UICHG*Y216,0)</f>
        <v>-118.145664</v>
      </c>
      <c r="CG216" s="462">
        <f>IF(AND(AT216&lt;&gt;0,N216&lt;&gt;"NR"),DHRCHG*Y216,0)</f>
        <v>0</v>
      </c>
      <c r="CH216" s="462">
        <f>IF(AT216&lt;&gt;0,WCCHG*Y216,0)</f>
        <v>188.06860800000004</v>
      </c>
      <c r="CI216" s="462">
        <f>IF(OR(AND(AT216&lt;&gt;0,AJ216&lt;&gt;"PF",AN216&lt;&gt;"NE",AG216&lt;&gt;"A"),AND(AL216="E",OR(AT216=1,AT216=3))),SickCHG*Y216,0)</f>
        <v>0</v>
      </c>
      <c r="CJ216" s="462">
        <f t="shared" si="63"/>
        <v>69.922944000000044</v>
      </c>
      <c r="CK216" s="462" t="str">
        <f t="shared" si="64"/>
        <v/>
      </c>
      <c r="CL216" s="462" t="str">
        <f t="shared" si="65"/>
        <v/>
      </c>
      <c r="CM216" s="462" t="str">
        <f t="shared" si="66"/>
        <v/>
      </c>
      <c r="CN216" s="462" t="str">
        <f t="shared" si="67"/>
        <v>0243-00</v>
      </c>
    </row>
    <row r="217" spans="1:92" ht="15" thickBot="1" x14ac:dyDescent="0.35">
      <c r="A217" s="376" t="s">
        <v>161</v>
      </c>
      <c r="B217" s="376" t="s">
        <v>162</v>
      </c>
      <c r="C217" s="376" t="s">
        <v>805</v>
      </c>
      <c r="D217" s="376" t="s">
        <v>221</v>
      </c>
      <c r="E217" s="376" t="s">
        <v>273</v>
      </c>
      <c r="F217" s="377" t="s">
        <v>166</v>
      </c>
      <c r="G217" s="376" t="s">
        <v>432</v>
      </c>
      <c r="H217" s="378"/>
      <c r="I217" s="378"/>
      <c r="J217" s="376" t="s">
        <v>168</v>
      </c>
      <c r="K217" s="376" t="s">
        <v>222</v>
      </c>
      <c r="L217" s="376" t="s">
        <v>166</v>
      </c>
      <c r="M217" s="376" t="s">
        <v>171</v>
      </c>
      <c r="N217" s="376" t="s">
        <v>223</v>
      </c>
      <c r="O217" s="379">
        <v>0</v>
      </c>
      <c r="P217" s="460">
        <v>1</v>
      </c>
      <c r="Q217" s="460">
        <v>0</v>
      </c>
      <c r="R217" s="380">
        <v>0</v>
      </c>
      <c r="S217" s="460">
        <v>0</v>
      </c>
      <c r="T217" s="380">
        <v>61607.76</v>
      </c>
      <c r="U217" s="380">
        <v>3795.3</v>
      </c>
      <c r="V217" s="380">
        <v>9076.66</v>
      </c>
      <c r="W217" s="380">
        <v>65403.06</v>
      </c>
      <c r="X217" s="380">
        <v>9076.66</v>
      </c>
      <c r="Y217" s="380">
        <v>65403.06</v>
      </c>
      <c r="Z217" s="380">
        <v>9076.66</v>
      </c>
      <c r="AA217" s="378"/>
      <c r="AB217" s="376" t="s">
        <v>45</v>
      </c>
      <c r="AC217" s="376" t="s">
        <v>45</v>
      </c>
      <c r="AD217" s="378"/>
      <c r="AE217" s="378"/>
      <c r="AF217" s="378"/>
      <c r="AG217" s="378"/>
      <c r="AH217" s="379">
        <v>0</v>
      </c>
      <c r="AI217" s="379">
        <v>0</v>
      </c>
      <c r="AJ217" s="378"/>
      <c r="AK217" s="378"/>
      <c r="AL217" s="376" t="s">
        <v>181</v>
      </c>
      <c r="AM217" s="378"/>
      <c r="AN217" s="378"/>
      <c r="AO217" s="379">
        <v>0</v>
      </c>
      <c r="AP217" s="460">
        <v>0</v>
      </c>
      <c r="AQ217" s="460">
        <v>0</v>
      </c>
      <c r="AR217" s="459"/>
      <c r="AS217" s="462">
        <f t="shared" si="51"/>
        <v>0</v>
      </c>
      <c r="AT217">
        <f t="shared" si="52"/>
        <v>0</v>
      </c>
      <c r="AU217" s="462" t="str">
        <f>IF(AT217=0,"",IF(AND(AT217=1,M217="F",SUMIF(C2:C391,C217,AS2:AS391)&lt;=1),SUMIF(C2:C391,C217,AS2:AS391),IF(AND(AT217=1,M217="F",SUMIF(C2:C391,C217,AS2:AS391)&gt;1),1,"")))</f>
        <v/>
      </c>
      <c r="AV217" s="462" t="str">
        <f>IF(AT217=0,"",IF(AND(AT217=3,M217="F",SUMIF(C2:C391,C217,AS2:AS391)&lt;=1),SUMIF(C2:C391,C217,AS2:AS391),IF(AND(AT217=3,M217="F",SUMIF(C2:C391,C217,AS2:AS391)&gt;1),1,"")))</f>
        <v/>
      </c>
      <c r="AW217" s="462">
        <f>SUMIF(C2:C391,C217,O2:O391)</f>
        <v>0</v>
      </c>
      <c r="AX217" s="462">
        <f>IF(AND(M217="F",AS217&lt;&gt;0),SUMIF(C2:C391,C217,W2:W391),0)</f>
        <v>0</v>
      </c>
      <c r="AY217" s="462" t="str">
        <f t="shared" si="53"/>
        <v/>
      </c>
      <c r="AZ217" s="462" t="str">
        <f t="shared" si="54"/>
        <v/>
      </c>
      <c r="BA217" s="462">
        <f t="shared" si="55"/>
        <v>0</v>
      </c>
      <c r="BB217" s="462">
        <f>IF(AND(AT217=1,AK217="E",AU217&gt;=0.75,AW217=1),Health,IF(AND(AT217=1,AK217="E",AU217&gt;=0.75),Health*P217,IF(AND(AT217=1,AK217="E",AU217&gt;=0.5,AW217=1),PTHealth,IF(AND(AT217=1,AK217="E",AU217&gt;=0.5),PTHealth*P217,0))))</f>
        <v>0</v>
      </c>
      <c r="BC217" s="462">
        <f>IF(AND(AT217=3,AK217="E",AV217&gt;=0.75,AW217=1),Health,IF(AND(AT217=3,AK217="E",AV217&gt;=0.75),Health*P217,IF(AND(AT217=3,AK217="E",AV217&gt;=0.5,AW217=1),PTHealth,IF(AND(AT217=3,AK217="E",AV217&gt;=0.5),PTHealth*P217,0))))</f>
        <v>0</v>
      </c>
      <c r="BD217" s="462">
        <f>IF(AND(AT217&lt;&gt;0,AX217&gt;=MAXSSDI),SSDI*MAXSSDI*P217,IF(AT217&lt;&gt;0,SSDI*W217,0))</f>
        <v>0</v>
      </c>
      <c r="BE217" s="462">
        <f>IF(AT217&lt;&gt;0,SSHI*W217,0)</f>
        <v>0</v>
      </c>
      <c r="BF217" s="462">
        <f>IF(AND(AT217&lt;&gt;0,AN217&lt;&gt;"NE"),VLOOKUP(AN217,Retirement_Rates,3,FALSE)*W217,0)</f>
        <v>0</v>
      </c>
      <c r="BG217" s="462">
        <f>IF(AND(AT217&lt;&gt;0,AJ217&lt;&gt;"PF"),Life*W217,0)</f>
        <v>0</v>
      </c>
      <c r="BH217" s="462">
        <f>IF(AND(AT217&lt;&gt;0,AM217="Y"),UI*W217,0)</f>
        <v>0</v>
      </c>
      <c r="BI217" s="462">
        <f>IF(AND(AT217&lt;&gt;0,N217&lt;&gt;"NR"),DHR*W217,0)</f>
        <v>0</v>
      </c>
      <c r="BJ217" s="462">
        <f>IF(AT217&lt;&gt;0,WC*W217,0)</f>
        <v>0</v>
      </c>
      <c r="BK217" s="462">
        <f>IF(OR(AND(AT217&lt;&gt;0,AJ217&lt;&gt;"PF",AN217&lt;&gt;"NE",AG217&lt;&gt;"A"),AND(AL217="E",OR(AT217=1,AT217=3))),Sick*W217,0)</f>
        <v>0</v>
      </c>
      <c r="BL217" s="462">
        <f t="shared" si="56"/>
        <v>0</v>
      </c>
      <c r="BM217" s="462">
        <f t="shared" si="57"/>
        <v>0</v>
      </c>
      <c r="BN217" s="462">
        <f>IF(AND(AT217=1,AK217="E",AU217&gt;=0.75,AW217=1),HealthBY,IF(AND(AT217=1,AK217="E",AU217&gt;=0.75),HealthBY*P217,IF(AND(AT217=1,AK217="E",AU217&gt;=0.5,AW217=1),PTHealthBY,IF(AND(AT217=1,AK217="E",AU217&gt;=0.5),PTHealthBY*P217,0))))</f>
        <v>0</v>
      </c>
      <c r="BO217" s="462">
        <f>IF(AND(AT217=3,AK217="E",AV217&gt;=0.75,AW217=1),HealthBY,IF(AND(AT217=3,AK217="E",AV217&gt;=0.75),HealthBY*P217,IF(AND(AT217=3,AK217="E",AV217&gt;=0.5,AW217=1),PTHealthBY,IF(AND(AT217=3,AK217="E",AV217&gt;=0.5),PTHealthBY*P217,0))))</f>
        <v>0</v>
      </c>
      <c r="BP217" s="462">
        <f>IF(AND(AT217&lt;&gt;0,(AX217+BA217)&gt;=MAXSSDIBY),SSDIBY*MAXSSDIBY*P217,IF(AT217&lt;&gt;0,SSDIBY*W217,0))</f>
        <v>0</v>
      </c>
      <c r="BQ217" s="462">
        <f>IF(AT217&lt;&gt;0,SSHIBY*W217,0)</f>
        <v>0</v>
      </c>
      <c r="BR217" s="462">
        <f>IF(AND(AT217&lt;&gt;0,AN217&lt;&gt;"NE"),VLOOKUP(AN217,Retirement_Rates,4,FALSE)*W217,0)</f>
        <v>0</v>
      </c>
      <c r="BS217" s="462">
        <f>IF(AND(AT217&lt;&gt;0,AJ217&lt;&gt;"PF"),LifeBY*W217,0)</f>
        <v>0</v>
      </c>
      <c r="BT217" s="462">
        <f>IF(AND(AT217&lt;&gt;0,AM217="Y"),UIBY*W217,0)</f>
        <v>0</v>
      </c>
      <c r="BU217" s="462">
        <f>IF(AND(AT217&lt;&gt;0,N217&lt;&gt;"NR"),DHRBY*W217,0)</f>
        <v>0</v>
      </c>
      <c r="BV217" s="462">
        <f>IF(AT217&lt;&gt;0,WCBY*W217,0)</f>
        <v>0</v>
      </c>
      <c r="BW217" s="462">
        <f>IF(OR(AND(AT217&lt;&gt;0,AJ217&lt;&gt;"PF",AN217&lt;&gt;"NE",AG217&lt;&gt;"A"),AND(AL217="E",OR(AT217=1,AT217=3))),SickBY*W217,0)</f>
        <v>0</v>
      </c>
      <c r="BX217" s="462">
        <f t="shared" si="58"/>
        <v>0</v>
      </c>
      <c r="BY217" s="462">
        <f t="shared" si="59"/>
        <v>0</v>
      </c>
      <c r="BZ217" s="462">
        <f t="shared" si="60"/>
        <v>0</v>
      </c>
      <c r="CA217" s="462">
        <f t="shared" si="61"/>
        <v>0</v>
      </c>
      <c r="CB217" s="462">
        <f t="shared" si="62"/>
        <v>0</v>
      </c>
      <c r="CC217" s="462">
        <f>IF(AT217&lt;&gt;0,SSHICHG*Y217,0)</f>
        <v>0</v>
      </c>
      <c r="CD217" s="462">
        <f>IF(AND(AT217&lt;&gt;0,AN217&lt;&gt;"NE"),VLOOKUP(AN217,Retirement_Rates,5,FALSE)*Y217,0)</f>
        <v>0</v>
      </c>
      <c r="CE217" s="462">
        <f>IF(AND(AT217&lt;&gt;0,AJ217&lt;&gt;"PF"),LifeCHG*Y217,0)</f>
        <v>0</v>
      </c>
      <c r="CF217" s="462">
        <f>IF(AND(AT217&lt;&gt;0,AM217="Y"),UICHG*Y217,0)</f>
        <v>0</v>
      </c>
      <c r="CG217" s="462">
        <f>IF(AND(AT217&lt;&gt;0,N217&lt;&gt;"NR"),DHRCHG*Y217,0)</f>
        <v>0</v>
      </c>
      <c r="CH217" s="462">
        <f>IF(AT217&lt;&gt;0,WCCHG*Y217,0)</f>
        <v>0</v>
      </c>
      <c r="CI217" s="462">
        <f>IF(OR(AND(AT217&lt;&gt;0,AJ217&lt;&gt;"PF",AN217&lt;&gt;"NE",AG217&lt;&gt;"A"),AND(AL217="E",OR(AT217=1,AT217=3))),SickCHG*Y217,0)</f>
        <v>0</v>
      </c>
      <c r="CJ217" s="462">
        <f t="shared" si="63"/>
        <v>0</v>
      </c>
      <c r="CK217" s="462" t="str">
        <f t="shared" si="64"/>
        <v/>
      </c>
      <c r="CL217" s="462">
        <f t="shared" si="65"/>
        <v>65403.060000000005</v>
      </c>
      <c r="CM217" s="462">
        <f t="shared" si="66"/>
        <v>9076.66</v>
      </c>
      <c r="CN217" s="462" t="str">
        <f t="shared" si="67"/>
        <v>0243-00</v>
      </c>
    </row>
    <row r="218" spans="1:92" ht="15" thickBot="1" x14ac:dyDescent="0.35">
      <c r="A218" s="376" t="s">
        <v>161</v>
      </c>
      <c r="B218" s="376" t="s">
        <v>162</v>
      </c>
      <c r="C218" s="376" t="s">
        <v>554</v>
      </c>
      <c r="D218" s="376" t="s">
        <v>438</v>
      </c>
      <c r="E218" s="376" t="s">
        <v>273</v>
      </c>
      <c r="F218" s="377" t="s">
        <v>166</v>
      </c>
      <c r="G218" s="376" t="s">
        <v>432</v>
      </c>
      <c r="H218" s="378"/>
      <c r="I218" s="378"/>
      <c r="J218" s="376" t="s">
        <v>168</v>
      </c>
      <c r="K218" s="376" t="s">
        <v>439</v>
      </c>
      <c r="L218" s="376" t="s">
        <v>231</v>
      </c>
      <c r="M218" s="376" t="s">
        <v>171</v>
      </c>
      <c r="N218" s="376" t="s">
        <v>172</v>
      </c>
      <c r="O218" s="379">
        <v>1</v>
      </c>
      <c r="P218" s="460">
        <v>0</v>
      </c>
      <c r="Q218" s="460">
        <v>0</v>
      </c>
      <c r="R218" s="380">
        <v>80</v>
      </c>
      <c r="S218" s="460">
        <v>0</v>
      </c>
      <c r="T218" s="380">
        <v>9561.6</v>
      </c>
      <c r="U218" s="380">
        <v>0</v>
      </c>
      <c r="V218" s="380">
        <v>4623.08</v>
      </c>
      <c r="W218" s="380">
        <v>0</v>
      </c>
      <c r="X218" s="380">
        <v>0</v>
      </c>
      <c r="Y218" s="380">
        <v>0</v>
      </c>
      <c r="Z218" s="380">
        <v>0</v>
      </c>
      <c r="AA218" s="376" t="s">
        <v>555</v>
      </c>
      <c r="AB218" s="376" t="s">
        <v>556</v>
      </c>
      <c r="AC218" s="376" t="s">
        <v>557</v>
      </c>
      <c r="AD218" s="376" t="s">
        <v>231</v>
      </c>
      <c r="AE218" s="376" t="s">
        <v>439</v>
      </c>
      <c r="AF218" s="376" t="s">
        <v>236</v>
      </c>
      <c r="AG218" s="376" t="s">
        <v>178</v>
      </c>
      <c r="AH218" s="381">
        <v>20.05</v>
      </c>
      <c r="AI218" s="381">
        <v>14414.1</v>
      </c>
      <c r="AJ218" s="376" t="s">
        <v>179</v>
      </c>
      <c r="AK218" s="376" t="s">
        <v>180</v>
      </c>
      <c r="AL218" s="376" t="s">
        <v>181</v>
      </c>
      <c r="AM218" s="376" t="s">
        <v>182</v>
      </c>
      <c r="AN218" s="376" t="s">
        <v>68</v>
      </c>
      <c r="AO218" s="379">
        <v>80</v>
      </c>
      <c r="AP218" s="460">
        <v>1</v>
      </c>
      <c r="AQ218" s="460">
        <v>0</v>
      </c>
      <c r="AR218" s="458" t="s">
        <v>183</v>
      </c>
      <c r="AS218" s="462">
        <f t="shared" si="51"/>
        <v>0</v>
      </c>
      <c r="AT218">
        <f t="shared" si="52"/>
        <v>0</v>
      </c>
      <c r="AU218" s="462" t="str">
        <f>IF(AT218=0,"",IF(AND(AT218=1,M218="F",SUMIF(C2:C391,C218,AS2:AS391)&lt;=1),SUMIF(C2:C391,C218,AS2:AS391),IF(AND(AT218=1,M218="F",SUMIF(C2:C391,C218,AS2:AS391)&gt;1),1,"")))</f>
        <v/>
      </c>
      <c r="AV218" s="462" t="str">
        <f>IF(AT218=0,"",IF(AND(AT218=3,M218="F",SUMIF(C2:C391,C218,AS2:AS391)&lt;=1),SUMIF(C2:C391,C218,AS2:AS391),IF(AND(AT218=3,M218="F",SUMIF(C2:C391,C218,AS2:AS391)&gt;1),1,"")))</f>
        <v/>
      </c>
      <c r="AW218" s="462">
        <f>SUMIF(C2:C391,C218,O2:O391)</f>
        <v>2</v>
      </c>
      <c r="AX218" s="462">
        <f>IF(AND(M218="F",AS218&lt;&gt;0),SUMIF(C2:C391,C218,W2:W391),0)</f>
        <v>0</v>
      </c>
      <c r="AY218" s="462" t="str">
        <f t="shared" si="53"/>
        <v/>
      </c>
      <c r="AZ218" s="462" t="str">
        <f t="shared" si="54"/>
        <v/>
      </c>
      <c r="BA218" s="462">
        <f t="shared" si="55"/>
        <v>0</v>
      </c>
      <c r="BB218" s="462">
        <f>IF(AND(AT218=1,AK218="E",AU218&gt;=0.75,AW218=1),Health,IF(AND(AT218=1,AK218="E",AU218&gt;=0.75),Health*P218,IF(AND(AT218=1,AK218="E",AU218&gt;=0.5,AW218=1),PTHealth,IF(AND(AT218=1,AK218="E",AU218&gt;=0.5),PTHealth*P218,0))))</f>
        <v>0</v>
      </c>
      <c r="BC218" s="462">
        <f>IF(AND(AT218=3,AK218="E",AV218&gt;=0.75,AW218=1),Health,IF(AND(AT218=3,AK218="E",AV218&gt;=0.75),Health*P218,IF(AND(AT218=3,AK218="E",AV218&gt;=0.5,AW218=1),PTHealth,IF(AND(AT218=3,AK218="E",AV218&gt;=0.5),PTHealth*P218,0))))</f>
        <v>0</v>
      </c>
      <c r="BD218" s="462">
        <f>IF(AND(AT218&lt;&gt;0,AX218&gt;=MAXSSDI),SSDI*MAXSSDI*P218,IF(AT218&lt;&gt;0,SSDI*W218,0))</f>
        <v>0</v>
      </c>
      <c r="BE218" s="462">
        <f>IF(AT218&lt;&gt;0,SSHI*W218,0)</f>
        <v>0</v>
      </c>
      <c r="BF218" s="462">
        <f>IF(AND(AT218&lt;&gt;0,AN218&lt;&gt;"NE"),VLOOKUP(AN218,Retirement_Rates,3,FALSE)*W218,0)</f>
        <v>0</v>
      </c>
      <c r="BG218" s="462">
        <f>IF(AND(AT218&lt;&gt;0,AJ218&lt;&gt;"PF"),Life*W218,0)</f>
        <v>0</v>
      </c>
      <c r="BH218" s="462">
        <f>IF(AND(AT218&lt;&gt;0,AM218="Y"),UI*W218,0)</f>
        <v>0</v>
      </c>
      <c r="BI218" s="462">
        <f>IF(AND(AT218&lt;&gt;0,N218&lt;&gt;"NR"),DHR*W218,0)</f>
        <v>0</v>
      </c>
      <c r="BJ218" s="462">
        <f>IF(AT218&lt;&gt;0,WC*W218,0)</f>
        <v>0</v>
      </c>
      <c r="BK218" s="462">
        <f>IF(OR(AND(AT218&lt;&gt;0,AJ218&lt;&gt;"PF",AN218&lt;&gt;"NE",AG218&lt;&gt;"A"),AND(AL218="E",OR(AT218=1,AT218=3))),Sick*W218,0)</f>
        <v>0</v>
      </c>
      <c r="BL218" s="462">
        <f t="shared" si="56"/>
        <v>0</v>
      </c>
      <c r="BM218" s="462">
        <f t="shared" si="57"/>
        <v>0</v>
      </c>
      <c r="BN218" s="462">
        <f>IF(AND(AT218=1,AK218="E",AU218&gt;=0.75,AW218=1),HealthBY,IF(AND(AT218=1,AK218="E",AU218&gt;=0.75),HealthBY*P218,IF(AND(AT218=1,AK218="E",AU218&gt;=0.5,AW218=1),PTHealthBY,IF(AND(AT218=1,AK218="E",AU218&gt;=0.5),PTHealthBY*P218,0))))</f>
        <v>0</v>
      </c>
      <c r="BO218" s="462">
        <f>IF(AND(AT218=3,AK218="E",AV218&gt;=0.75,AW218=1),HealthBY,IF(AND(AT218=3,AK218="E",AV218&gt;=0.75),HealthBY*P218,IF(AND(AT218=3,AK218="E",AV218&gt;=0.5,AW218=1),PTHealthBY,IF(AND(AT218=3,AK218="E",AV218&gt;=0.5),PTHealthBY*P218,0))))</f>
        <v>0</v>
      </c>
      <c r="BP218" s="462">
        <f>IF(AND(AT218&lt;&gt;0,(AX218+BA218)&gt;=MAXSSDIBY),SSDIBY*MAXSSDIBY*P218,IF(AT218&lt;&gt;0,SSDIBY*W218,0))</f>
        <v>0</v>
      </c>
      <c r="BQ218" s="462">
        <f>IF(AT218&lt;&gt;0,SSHIBY*W218,0)</f>
        <v>0</v>
      </c>
      <c r="BR218" s="462">
        <f>IF(AND(AT218&lt;&gt;0,AN218&lt;&gt;"NE"),VLOOKUP(AN218,Retirement_Rates,4,FALSE)*W218,0)</f>
        <v>0</v>
      </c>
      <c r="BS218" s="462">
        <f>IF(AND(AT218&lt;&gt;0,AJ218&lt;&gt;"PF"),LifeBY*W218,0)</f>
        <v>0</v>
      </c>
      <c r="BT218" s="462">
        <f>IF(AND(AT218&lt;&gt;0,AM218="Y"),UIBY*W218,0)</f>
        <v>0</v>
      </c>
      <c r="BU218" s="462">
        <f>IF(AND(AT218&lt;&gt;0,N218&lt;&gt;"NR"),DHRBY*W218,0)</f>
        <v>0</v>
      </c>
      <c r="BV218" s="462">
        <f>IF(AT218&lt;&gt;0,WCBY*W218,0)</f>
        <v>0</v>
      </c>
      <c r="BW218" s="462">
        <f>IF(OR(AND(AT218&lt;&gt;0,AJ218&lt;&gt;"PF",AN218&lt;&gt;"NE",AG218&lt;&gt;"A"),AND(AL218="E",OR(AT218=1,AT218=3))),SickBY*W218,0)</f>
        <v>0</v>
      </c>
      <c r="BX218" s="462">
        <f t="shared" si="58"/>
        <v>0</v>
      </c>
      <c r="BY218" s="462">
        <f t="shared" si="59"/>
        <v>0</v>
      </c>
      <c r="BZ218" s="462">
        <f t="shared" si="60"/>
        <v>0</v>
      </c>
      <c r="CA218" s="462">
        <f t="shared" si="61"/>
        <v>0</v>
      </c>
      <c r="CB218" s="462">
        <f t="shared" si="62"/>
        <v>0</v>
      </c>
      <c r="CC218" s="462">
        <f>IF(AT218&lt;&gt;0,SSHICHG*Y218,0)</f>
        <v>0</v>
      </c>
      <c r="CD218" s="462">
        <f>IF(AND(AT218&lt;&gt;0,AN218&lt;&gt;"NE"),VLOOKUP(AN218,Retirement_Rates,5,FALSE)*Y218,0)</f>
        <v>0</v>
      </c>
      <c r="CE218" s="462">
        <f>IF(AND(AT218&lt;&gt;0,AJ218&lt;&gt;"PF"),LifeCHG*Y218,0)</f>
        <v>0</v>
      </c>
      <c r="CF218" s="462">
        <f>IF(AND(AT218&lt;&gt;0,AM218="Y"),UICHG*Y218,0)</f>
        <v>0</v>
      </c>
      <c r="CG218" s="462">
        <f>IF(AND(AT218&lt;&gt;0,N218&lt;&gt;"NR"),DHRCHG*Y218,0)</f>
        <v>0</v>
      </c>
      <c r="CH218" s="462">
        <f>IF(AT218&lt;&gt;0,WCCHG*Y218,0)</f>
        <v>0</v>
      </c>
      <c r="CI218" s="462">
        <f>IF(OR(AND(AT218&lt;&gt;0,AJ218&lt;&gt;"PF",AN218&lt;&gt;"NE",AG218&lt;&gt;"A"),AND(AL218="E",OR(AT218=1,AT218=3))),SickCHG*Y218,0)</f>
        <v>0</v>
      </c>
      <c r="CJ218" s="462">
        <f t="shared" si="63"/>
        <v>0</v>
      </c>
      <c r="CK218" s="462" t="str">
        <f t="shared" si="64"/>
        <v/>
      </c>
      <c r="CL218" s="462" t="str">
        <f t="shared" si="65"/>
        <v/>
      </c>
      <c r="CM218" s="462" t="str">
        <f t="shared" si="66"/>
        <v/>
      </c>
      <c r="CN218" s="462" t="str">
        <f t="shared" si="67"/>
        <v>0243-00</v>
      </c>
    </row>
    <row r="219" spans="1:92" ht="15" thickBot="1" x14ac:dyDescent="0.35">
      <c r="A219" s="376" t="s">
        <v>161</v>
      </c>
      <c r="B219" s="376" t="s">
        <v>162</v>
      </c>
      <c r="C219" s="376" t="s">
        <v>806</v>
      </c>
      <c r="D219" s="376" t="s">
        <v>453</v>
      </c>
      <c r="E219" s="376" t="s">
        <v>273</v>
      </c>
      <c r="F219" s="377" t="s">
        <v>166</v>
      </c>
      <c r="G219" s="376" t="s">
        <v>432</v>
      </c>
      <c r="H219" s="378"/>
      <c r="I219" s="378"/>
      <c r="J219" s="376" t="s">
        <v>168</v>
      </c>
      <c r="K219" s="376" t="s">
        <v>454</v>
      </c>
      <c r="L219" s="376" t="s">
        <v>170</v>
      </c>
      <c r="M219" s="376" t="s">
        <v>171</v>
      </c>
      <c r="N219" s="376" t="s">
        <v>172</v>
      </c>
      <c r="O219" s="379">
        <v>1</v>
      </c>
      <c r="P219" s="460">
        <v>1</v>
      </c>
      <c r="Q219" s="460">
        <v>1</v>
      </c>
      <c r="R219" s="380">
        <v>80</v>
      </c>
      <c r="S219" s="460">
        <v>1</v>
      </c>
      <c r="T219" s="380">
        <v>61467.4</v>
      </c>
      <c r="U219" s="380">
        <v>0</v>
      </c>
      <c r="V219" s="380">
        <v>25050.47</v>
      </c>
      <c r="W219" s="380">
        <v>61755.199999999997</v>
      </c>
      <c r="X219" s="380">
        <v>26345.87</v>
      </c>
      <c r="Y219" s="380">
        <v>61755.199999999997</v>
      </c>
      <c r="Z219" s="380">
        <v>26524.959999999999</v>
      </c>
      <c r="AA219" s="376" t="s">
        <v>807</v>
      </c>
      <c r="AB219" s="376" t="s">
        <v>686</v>
      </c>
      <c r="AC219" s="376" t="s">
        <v>808</v>
      </c>
      <c r="AD219" s="376" t="s">
        <v>557</v>
      </c>
      <c r="AE219" s="376" t="s">
        <v>454</v>
      </c>
      <c r="AF219" s="376" t="s">
        <v>177</v>
      </c>
      <c r="AG219" s="376" t="s">
        <v>178</v>
      </c>
      <c r="AH219" s="381">
        <v>29.69</v>
      </c>
      <c r="AI219" s="381">
        <v>72606.3</v>
      </c>
      <c r="AJ219" s="376" t="s">
        <v>179</v>
      </c>
      <c r="AK219" s="376" t="s">
        <v>180</v>
      </c>
      <c r="AL219" s="376" t="s">
        <v>181</v>
      </c>
      <c r="AM219" s="376" t="s">
        <v>182</v>
      </c>
      <c r="AN219" s="376" t="s">
        <v>68</v>
      </c>
      <c r="AO219" s="379">
        <v>80</v>
      </c>
      <c r="AP219" s="460">
        <v>1</v>
      </c>
      <c r="AQ219" s="460">
        <v>1</v>
      </c>
      <c r="AR219" s="458" t="s">
        <v>183</v>
      </c>
      <c r="AS219" s="462">
        <f t="shared" si="51"/>
        <v>1</v>
      </c>
      <c r="AT219">
        <f t="shared" si="52"/>
        <v>1</v>
      </c>
      <c r="AU219" s="462">
        <f>IF(AT219=0,"",IF(AND(AT219=1,M219="F",SUMIF(C2:C391,C219,AS2:AS391)&lt;=1),SUMIF(C2:C391,C219,AS2:AS391),IF(AND(AT219=1,M219="F",SUMIF(C2:C391,C219,AS2:AS391)&gt;1),1,"")))</f>
        <v>1</v>
      </c>
      <c r="AV219" s="462" t="str">
        <f>IF(AT219=0,"",IF(AND(AT219=3,M219="F",SUMIF(C2:C391,C219,AS2:AS391)&lt;=1),SUMIF(C2:C391,C219,AS2:AS391),IF(AND(AT219=3,M219="F",SUMIF(C2:C391,C219,AS2:AS391)&gt;1),1,"")))</f>
        <v/>
      </c>
      <c r="AW219" s="462">
        <f>SUMIF(C2:C391,C219,O2:O391)</f>
        <v>1</v>
      </c>
      <c r="AX219" s="462">
        <f>IF(AND(M219="F",AS219&lt;&gt;0),SUMIF(C2:C391,C219,W2:W391),0)</f>
        <v>61755.199999999997</v>
      </c>
      <c r="AY219" s="462">
        <f t="shared" si="53"/>
        <v>61755.199999999997</v>
      </c>
      <c r="AZ219" s="462" t="str">
        <f t="shared" si="54"/>
        <v/>
      </c>
      <c r="BA219" s="462">
        <f t="shared" si="55"/>
        <v>0</v>
      </c>
      <c r="BB219" s="462">
        <f>IF(AND(AT219=1,AK219="E",AU219&gt;=0.75,AW219=1),Health,IF(AND(AT219=1,AK219="E",AU219&gt;=0.75),Health*P219,IF(AND(AT219=1,AK219="E",AU219&gt;=0.5,AW219=1),PTHealth,IF(AND(AT219=1,AK219="E",AU219&gt;=0.5),PTHealth*P219,0))))</f>
        <v>11650</v>
      </c>
      <c r="BC219" s="462">
        <f>IF(AND(AT219=3,AK219="E",AV219&gt;=0.75,AW219=1),Health,IF(AND(AT219=3,AK219="E",AV219&gt;=0.75),Health*P219,IF(AND(AT219=3,AK219="E",AV219&gt;=0.5,AW219=1),PTHealth,IF(AND(AT219=3,AK219="E",AV219&gt;=0.5),PTHealth*P219,0))))</f>
        <v>0</v>
      </c>
      <c r="BD219" s="462">
        <f>IF(AND(AT219&lt;&gt;0,AX219&gt;=MAXSSDI),SSDI*MAXSSDI*P219,IF(AT219&lt;&gt;0,SSDI*W219,0))</f>
        <v>3828.8224</v>
      </c>
      <c r="BE219" s="462">
        <f>IF(AT219&lt;&gt;0,SSHI*W219,0)</f>
        <v>895.45040000000006</v>
      </c>
      <c r="BF219" s="462">
        <f>IF(AND(AT219&lt;&gt;0,AN219&lt;&gt;"NE"),VLOOKUP(AN219,Retirement_Rates,3,FALSE)*W219,0)</f>
        <v>7373.5708800000002</v>
      </c>
      <c r="BG219" s="462">
        <f>IF(AND(AT219&lt;&gt;0,AJ219&lt;&gt;"PF"),Life*W219,0)</f>
        <v>445.25499200000002</v>
      </c>
      <c r="BH219" s="462">
        <f>IF(AND(AT219&lt;&gt;0,AM219="Y"),UI*W219,0)</f>
        <v>302.60047999999995</v>
      </c>
      <c r="BI219" s="462">
        <f>IF(AND(AT219&lt;&gt;0,N219&lt;&gt;"NR"),DHR*W219,0)</f>
        <v>188.97091199999997</v>
      </c>
      <c r="BJ219" s="462">
        <f>IF(AT219&lt;&gt;0,WC*W219,0)</f>
        <v>1661.21488</v>
      </c>
      <c r="BK219" s="462">
        <f>IF(OR(AND(AT219&lt;&gt;0,AJ219&lt;&gt;"PF",AN219&lt;&gt;"NE",AG219&lt;&gt;"A"),AND(AL219="E",OR(AT219=1,AT219=3))),Sick*W219,0)</f>
        <v>0</v>
      </c>
      <c r="BL219" s="462">
        <f t="shared" si="56"/>
        <v>14695.884943999999</v>
      </c>
      <c r="BM219" s="462">
        <f t="shared" si="57"/>
        <v>0</v>
      </c>
      <c r="BN219" s="462">
        <f>IF(AND(AT219=1,AK219="E",AU219&gt;=0.75,AW219=1),HealthBY,IF(AND(AT219=1,AK219="E",AU219&gt;=0.75),HealthBY*P219,IF(AND(AT219=1,AK219="E",AU219&gt;=0.5,AW219=1),PTHealthBY,IF(AND(AT219=1,AK219="E",AU219&gt;=0.5),PTHealthBY*P219,0))))</f>
        <v>11650</v>
      </c>
      <c r="BO219" s="462">
        <f>IF(AND(AT219=3,AK219="E",AV219&gt;=0.75,AW219=1),HealthBY,IF(AND(AT219=3,AK219="E",AV219&gt;=0.75),HealthBY*P219,IF(AND(AT219=3,AK219="E",AV219&gt;=0.5,AW219=1),PTHealthBY,IF(AND(AT219=3,AK219="E",AV219&gt;=0.5),PTHealthBY*P219,0))))</f>
        <v>0</v>
      </c>
      <c r="BP219" s="462">
        <f>IF(AND(AT219&lt;&gt;0,(AX219+BA219)&gt;=MAXSSDIBY),SSDIBY*MAXSSDIBY*P219,IF(AT219&lt;&gt;0,SSDIBY*W219,0))</f>
        <v>3828.8224</v>
      </c>
      <c r="BQ219" s="462">
        <f>IF(AT219&lt;&gt;0,SSHIBY*W219,0)</f>
        <v>895.45040000000006</v>
      </c>
      <c r="BR219" s="462">
        <f>IF(AND(AT219&lt;&gt;0,AN219&lt;&gt;"NE"),VLOOKUP(AN219,Retirement_Rates,4,FALSE)*W219,0)</f>
        <v>7373.5708800000002</v>
      </c>
      <c r="BS219" s="462">
        <f>IF(AND(AT219&lt;&gt;0,AJ219&lt;&gt;"PF"),LifeBY*W219,0)</f>
        <v>445.25499200000002</v>
      </c>
      <c r="BT219" s="462">
        <f>IF(AND(AT219&lt;&gt;0,AM219="Y"),UIBY*W219,0)</f>
        <v>0</v>
      </c>
      <c r="BU219" s="462">
        <f>IF(AND(AT219&lt;&gt;0,N219&lt;&gt;"NR"),DHRBY*W219,0)</f>
        <v>188.97091199999997</v>
      </c>
      <c r="BV219" s="462">
        <f>IF(AT219&lt;&gt;0,WCBY*W219,0)</f>
        <v>2142.90544</v>
      </c>
      <c r="BW219" s="462">
        <f>IF(OR(AND(AT219&lt;&gt;0,AJ219&lt;&gt;"PF",AN219&lt;&gt;"NE",AG219&lt;&gt;"A"),AND(AL219="E",OR(AT219=1,AT219=3))),SickBY*W219,0)</f>
        <v>0</v>
      </c>
      <c r="BX219" s="462">
        <f t="shared" si="58"/>
        <v>14874.975024000001</v>
      </c>
      <c r="BY219" s="462">
        <f t="shared" si="59"/>
        <v>0</v>
      </c>
      <c r="BZ219" s="462">
        <f t="shared" si="60"/>
        <v>0</v>
      </c>
      <c r="CA219" s="462">
        <f t="shared" si="61"/>
        <v>0</v>
      </c>
      <c r="CB219" s="462">
        <f t="shared" si="62"/>
        <v>0</v>
      </c>
      <c r="CC219" s="462">
        <f>IF(AT219&lt;&gt;0,SSHICHG*Y219,0)</f>
        <v>0</v>
      </c>
      <c r="CD219" s="462">
        <f>IF(AND(AT219&lt;&gt;0,AN219&lt;&gt;"NE"),VLOOKUP(AN219,Retirement_Rates,5,FALSE)*Y219,0)</f>
        <v>0</v>
      </c>
      <c r="CE219" s="462">
        <f>IF(AND(AT219&lt;&gt;0,AJ219&lt;&gt;"PF"),LifeCHG*Y219,0)</f>
        <v>0</v>
      </c>
      <c r="CF219" s="462">
        <f>IF(AND(AT219&lt;&gt;0,AM219="Y"),UICHG*Y219,0)</f>
        <v>-302.60047999999995</v>
      </c>
      <c r="CG219" s="462">
        <f>IF(AND(AT219&lt;&gt;0,N219&lt;&gt;"NR"),DHRCHG*Y219,0)</f>
        <v>0</v>
      </c>
      <c r="CH219" s="462">
        <f>IF(AT219&lt;&gt;0,WCCHG*Y219,0)</f>
        <v>481.69056000000006</v>
      </c>
      <c r="CI219" s="462">
        <f>IF(OR(AND(AT219&lt;&gt;0,AJ219&lt;&gt;"PF",AN219&lt;&gt;"NE",AG219&lt;&gt;"A"),AND(AL219="E",OR(AT219=1,AT219=3))),SickCHG*Y219,0)</f>
        <v>0</v>
      </c>
      <c r="CJ219" s="462">
        <f t="shared" si="63"/>
        <v>179.09008000000011</v>
      </c>
      <c r="CK219" s="462" t="str">
        <f t="shared" si="64"/>
        <v/>
      </c>
      <c r="CL219" s="462" t="str">
        <f t="shared" si="65"/>
        <v/>
      </c>
      <c r="CM219" s="462" t="str">
        <f t="shared" si="66"/>
        <v/>
      </c>
      <c r="CN219" s="462" t="str">
        <f t="shared" si="67"/>
        <v>0243-00</v>
      </c>
    </row>
    <row r="220" spans="1:92" ht="15" thickBot="1" x14ac:dyDescent="0.35">
      <c r="A220" s="376" t="s">
        <v>161</v>
      </c>
      <c r="B220" s="376" t="s">
        <v>162</v>
      </c>
      <c r="C220" s="376" t="s">
        <v>809</v>
      </c>
      <c r="D220" s="376" t="s">
        <v>460</v>
      </c>
      <c r="E220" s="376" t="s">
        <v>273</v>
      </c>
      <c r="F220" s="377" t="s">
        <v>166</v>
      </c>
      <c r="G220" s="376" t="s">
        <v>432</v>
      </c>
      <c r="H220" s="378"/>
      <c r="I220" s="378"/>
      <c r="J220" s="376" t="s">
        <v>193</v>
      </c>
      <c r="K220" s="376" t="s">
        <v>461</v>
      </c>
      <c r="L220" s="376" t="s">
        <v>240</v>
      </c>
      <c r="M220" s="376" t="s">
        <v>171</v>
      </c>
      <c r="N220" s="376" t="s">
        <v>172</v>
      </c>
      <c r="O220" s="379">
        <v>1</v>
      </c>
      <c r="P220" s="460">
        <v>0.6</v>
      </c>
      <c r="Q220" s="460">
        <v>0.6</v>
      </c>
      <c r="R220" s="380">
        <v>80</v>
      </c>
      <c r="S220" s="460">
        <v>0.6</v>
      </c>
      <c r="T220" s="380">
        <v>21709.9</v>
      </c>
      <c r="U220" s="380">
        <v>0</v>
      </c>
      <c r="V220" s="380">
        <v>9929.4599999999991</v>
      </c>
      <c r="W220" s="380">
        <v>27605.759999999998</v>
      </c>
      <c r="X220" s="380">
        <v>13559.31</v>
      </c>
      <c r="Y220" s="380">
        <v>27605.759999999998</v>
      </c>
      <c r="Z220" s="380">
        <v>13639.37</v>
      </c>
      <c r="AA220" s="376" t="s">
        <v>810</v>
      </c>
      <c r="AB220" s="376" t="s">
        <v>811</v>
      </c>
      <c r="AC220" s="376" t="s">
        <v>812</v>
      </c>
      <c r="AD220" s="376" t="s">
        <v>813</v>
      </c>
      <c r="AE220" s="376" t="s">
        <v>461</v>
      </c>
      <c r="AF220" s="376" t="s">
        <v>244</v>
      </c>
      <c r="AG220" s="376" t="s">
        <v>178</v>
      </c>
      <c r="AH220" s="381">
        <v>22.12</v>
      </c>
      <c r="AI220" s="381">
        <v>5270.9</v>
      </c>
      <c r="AJ220" s="376" t="s">
        <v>179</v>
      </c>
      <c r="AK220" s="376" t="s">
        <v>180</v>
      </c>
      <c r="AL220" s="376" t="s">
        <v>181</v>
      </c>
      <c r="AM220" s="376" t="s">
        <v>182</v>
      </c>
      <c r="AN220" s="376" t="s">
        <v>68</v>
      </c>
      <c r="AO220" s="379">
        <v>80</v>
      </c>
      <c r="AP220" s="460">
        <v>1</v>
      </c>
      <c r="AQ220" s="460">
        <v>0.6</v>
      </c>
      <c r="AR220" s="458" t="s">
        <v>183</v>
      </c>
      <c r="AS220" s="462">
        <f t="shared" si="51"/>
        <v>0.6</v>
      </c>
      <c r="AT220">
        <f t="shared" si="52"/>
        <v>1</v>
      </c>
      <c r="AU220" s="462">
        <f>IF(AT220=0,"",IF(AND(AT220=1,M220="F",SUMIF(C2:C391,C220,AS2:AS391)&lt;=1),SUMIF(C2:C391,C220,AS2:AS391),IF(AND(AT220=1,M220="F",SUMIF(C2:C391,C220,AS2:AS391)&gt;1),1,"")))</f>
        <v>1</v>
      </c>
      <c r="AV220" s="462" t="str">
        <f>IF(AT220=0,"",IF(AND(AT220=3,M220="F",SUMIF(C2:C391,C220,AS2:AS391)&lt;=1),SUMIF(C2:C391,C220,AS2:AS391),IF(AND(AT220=3,M220="F",SUMIF(C2:C391,C220,AS2:AS391)&gt;1),1,"")))</f>
        <v/>
      </c>
      <c r="AW220" s="462">
        <f>SUMIF(C2:C391,C220,O2:O391)</f>
        <v>2</v>
      </c>
      <c r="AX220" s="462">
        <f>IF(AND(M220="F",AS220&lt;&gt;0),SUMIF(C2:C391,C220,W2:W391),0)</f>
        <v>46009.599999999999</v>
      </c>
      <c r="AY220" s="462">
        <f t="shared" si="53"/>
        <v>27605.759999999998</v>
      </c>
      <c r="AZ220" s="462" t="str">
        <f t="shared" si="54"/>
        <v/>
      </c>
      <c r="BA220" s="462">
        <f t="shared" si="55"/>
        <v>0</v>
      </c>
      <c r="BB220" s="462">
        <f>IF(AND(AT220=1,AK220="E",AU220&gt;=0.75,AW220=1),Health,IF(AND(AT220=1,AK220="E",AU220&gt;=0.75),Health*P220,IF(AND(AT220=1,AK220="E",AU220&gt;=0.5,AW220=1),PTHealth,IF(AND(AT220=1,AK220="E",AU220&gt;=0.5),PTHealth*P220,0))))</f>
        <v>6990</v>
      </c>
      <c r="BC220" s="462">
        <f>IF(AND(AT220=3,AK220="E",AV220&gt;=0.75,AW220=1),Health,IF(AND(AT220=3,AK220="E",AV220&gt;=0.75),Health*P220,IF(AND(AT220=3,AK220="E",AV220&gt;=0.5,AW220=1),PTHealth,IF(AND(AT220=3,AK220="E",AV220&gt;=0.5),PTHealth*P220,0))))</f>
        <v>0</v>
      </c>
      <c r="BD220" s="462">
        <f>IF(AND(AT220&lt;&gt;0,AX220&gt;=MAXSSDI),SSDI*MAXSSDI*P220,IF(AT220&lt;&gt;0,SSDI*W220,0))</f>
        <v>1711.5571199999999</v>
      </c>
      <c r="BE220" s="462">
        <f>IF(AT220&lt;&gt;0,SSHI*W220,0)</f>
        <v>400.28352000000001</v>
      </c>
      <c r="BF220" s="462">
        <f>IF(AND(AT220&lt;&gt;0,AN220&lt;&gt;"NE"),VLOOKUP(AN220,Retirement_Rates,3,FALSE)*W220,0)</f>
        <v>3296.1277439999999</v>
      </c>
      <c r="BG220" s="462">
        <f>IF(AND(AT220&lt;&gt;0,AJ220&lt;&gt;"PF"),Life*W220,0)</f>
        <v>199.0375296</v>
      </c>
      <c r="BH220" s="462">
        <f>IF(AND(AT220&lt;&gt;0,AM220="Y"),UI*W220,0)</f>
        <v>135.26822399999998</v>
      </c>
      <c r="BI220" s="462">
        <f>IF(AND(AT220&lt;&gt;0,N220&lt;&gt;"NR"),DHR*W220,0)</f>
        <v>84.473625599999991</v>
      </c>
      <c r="BJ220" s="462">
        <f>IF(AT220&lt;&gt;0,WC*W220,0)</f>
        <v>742.59494399999994</v>
      </c>
      <c r="BK220" s="462">
        <f>IF(OR(AND(AT220&lt;&gt;0,AJ220&lt;&gt;"PF",AN220&lt;&gt;"NE",AG220&lt;&gt;"A"),AND(AL220="E",OR(AT220=1,AT220=3))),Sick*W220,0)</f>
        <v>0</v>
      </c>
      <c r="BL220" s="462">
        <f t="shared" si="56"/>
        <v>6569.3427071999995</v>
      </c>
      <c r="BM220" s="462">
        <f t="shared" si="57"/>
        <v>0</v>
      </c>
      <c r="BN220" s="462">
        <f>IF(AND(AT220=1,AK220="E",AU220&gt;=0.75,AW220=1),HealthBY,IF(AND(AT220=1,AK220="E",AU220&gt;=0.75),HealthBY*P220,IF(AND(AT220=1,AK220="E",AU220&gt;=0.5,AW220=1),PTHealthBY,IF(AND(AT220=1,AK220="E",AU220&gt;=0.5),PTHealthBY*P220,0))))</f>
        <v>6990</v>
      </c>
      <c r="BO220" s="462">
        <f>IF(AND(AT220=3,AK220="E",AV220&gt;=0.75,AW220=1),HealthBY,IF(AND(AT220=3,AK220="E",AV220&gt;=0.75),HealthBY*P220,IF(AND(AT220=3,AK220="E",AV220&gt;=0.5,AW220=1),PTHealthBY,IF(AND(AT220=3,AK220="E",AV220&gt;=0.5),PTHealthBY*P220,0))))</f>
        <v>0</v>
      </c>
      <c r="BP220" s="462">
        <f>IF(AND(AT220&lt;&gt;0,(AX220+BA220)&gt;=MAXSSDIBY),SSDIBY*MAXSSDIBY*P220,IF(AT220&lt;&gt;0,SSDIBY*W220,0))</f>
        <v>1711.5571199999999</v>
      </c>
      <c r="BQ220" s="462">
        <f>IF(AT220&lt;&gt;0,SSHIBY*W220,0)</f>
        <v>400.28352000000001</v>
      </c>
      <c r="BR220" s="462">
        <f>IF(AND(AT220&lt;&gt;0,AN220&lt;&gt;"NE"),VLOOKUP(AN220,Retirement_Rates,4,FALSE)*W220,0)</f>
        <v>3296.1277439999999</v>
      </c>
      <c r="BS220" s="462">
        <f>IF(AND(AT220&lt;&gt;0,AJ220&lt;&gt;"PF"),LifeBY*W220,0)</f>
        <v>199.0375296</v>
      </c>
      <c r="BT220" s="462">
        <f>IF(AND(AT220&lt;&gt;0,AM220="Y"),UIBY*W220,0)</f>
        <v>0</v>
      </c>
      <c r="BU220" s="462">
        <f>IF(AND(AT220&lt;&gt;0,N220&lt;&gt;"NR"),DHRBY*W220,0)</f>
        <v>84.473625599999991</v>
      </c>
      <c r="BV220" s="462">
        <f>IF(AT220&lt;&gt;0,WCBY*W220,0)</f>
        <v>957.91987199999994</v>
      </c>
      <c r="BW220" s="462">
        <f>IF(OR(AND(AT220&lt;&gt;0,AJ220&lt;&gt;"PF",AN220&lt;&gt;"NE",AG220&lt;&gt;"A"),AND(AL220="E",OR(AT220=1,AT220=3))),SickBY*W220,0)</f>
        <v>0</v>
      </c>
      <c r="BX220" s="462">
        <f t="shared" si="58"/>
        <v>6649.3994112</v>
      </c>
      <c r="BY220" s="462">
        <f t="shared" si="59"/>
        <v>0</v>
      </c>
      <c r="BZ220" s="462">
        <f t="shared" si="60"/>
        <v>0</v>
      </c>
      <c r="CA220" s="462">
        <f t="shared" si="61"/>
        <v>0</v>
      </c>
      <c r="CB220" s="462">
        <f t="shared" si="62"/>
        <v>0</v>
      </c>
      <c r="CC220" s="462">
        <f>IF(AT220&lt;&gt;0,SSHICHG*Y220,0)</f>
        <v>0</v>
      </c>
      <c r="CD220" s="462">
        <f>IF(AND(AT220&lt;&gt;0,AN220&lt;&gt;"NE"),VLOOKUP(AN220,Retirement_Rates,5,FALSE)*Y220,0)</f>
        <v>0</v>
      </c>
      <c r="CE220" s="462">
        <f>IF(AND(AT220&lt;&gt;0,AJ220&lt;&gt;"PF"),LifeCHG*Y220,0)</f>
        <v>0</v>
      </c>
      <c r="CF220" s="462">
        <f>IF(AND(AT220&lt;&gt;0,AM220="Y"),UICHG*Y220,0)</f>
        <v>-135.26822399999998</v>
      </c>
      <c r="CG220" s="462">
        <f>IF(AND(AT220&lt;&gt;0,N220&lt;&gt;"NR"),DHRCHG*Y220,0)</f>
        <v>0</v>
      </c>
      <c r="CH220" s="462">
        <f>IF(AT220&lt;&gt;0,WCCHG*Y220,0)</f>
        <v>215.32492800000003</v>
      </c>
      <c r="CI220" s="462">
        <f>IF(OR(AND(AT220&lt;&gt;0,AJ220&lt;&gt;"PF",AN220&lt;&gt;"NE",AG220&lt;&gt;"A"),AND(AL220="E",OR(AT220=1,AT220=3))),SickCHG*Y220,0)</f>
        <v>0</v>
      </c>
      <c r="CJ220" s="462">
        <f t="shared" si="63"/>
        <v>80.056704000000053</v>
      </c>
      <c r="CK220" s="462" t="str">
        <f t="shared" si="64"/>
        <v/>
      </c>
      <c r="CL220" s="462" t="str">
        <f t="shared" si="65"/>
        <v/>
      </c>
      <c r="CM220" s="462" t="str">
        <f t="shared" si="66"/>
        <v/>
      </c>
      <c r="CN220" s="462" t="str">
        <f t="shared" si="67"/>
        <v>0243-00</v>
      </c>
    </row>
    <row r="221" spans="1:92" ht="15" thickBot="1" x14ac:dyDescent="0.35">
      <c r="A221" s="376" t="s">
        <v>161</v>
      </c>
      <c r="B221" s="376" t="s">
        <v>162</v>
      </c>
      <c r="C221" s="376" t="s">
        <v>814</v>
      </c>
      <c r="D221" s="376" t="s">
        <v>601</v>
      </c>
      <c r="E221" s="376" t="s">
        <v>273</v>
      </c>
      <c r="F221" s="377" t="s">
        <v>166</v>
      </c>
      <c r="G221" s="376" t="s">
        <v>432</v>
      </c>
      <c r="H221" s="378"/>
      <c r="I221" s="378"/>
      <c r="J221" s="376" t="s">
        <v>168</v>
      </c>
      <c r="K221" s="376" t="s">
        <v>602</v>
      </c>
      <c r="L221" s="376" t="s">
        <v>395</v>
      </c>
      <c r="M221" s="376" t="s">
        <v>171</v>
      </c>
      <c r="N221" s="376" t="s">
        <v>172</v>
      </c>
      <c r="O221" s="379">
        <v>1</v>
      </c>
      <c r="P221" s="460">
        <v>1</v>
      </c>
      <c r="Q221" s="460">
        <v>1</v>
      </c>
      <c r="R221" s="380">
        <v>80</v>
      </c>
      <c r="S221" s="460">
        <v>1</v>
      </c>
      <c r="T221" s="380">
        <v>37638.629999999997</v>
      </c>
      <c r="U221" s="380">
        <v>35.659999999999997</v>
      </c>
      <c r="V221" s="380">
        <v>19360.75</v>
      </c>
      <c r="W221" s="380">
        <v>37835.199999999997</v>
      </c>
      <c r="X221" s="380">
        <v>20653.62</v>
      </c>
      <c r="Y221" s="380">
        <v>37835.199999999997</v>
      </c>
      <c r="Z221" s="380">
        <v>20763.349999999999</v>
      </c>
      <c r="AA221" s="376" t="s">
        <v>815</v>
      </c>
      <c r="AB221" s="376" t="s">
        <v>816</v>
      </c>
      <c r="AC221" s="376" t="s">
        <v>242</v>
      </c>
      <c r="AD221" s="376" t="s">
        <v>170</v>
      </c>
      <c r="AE221" s="376" t="s">
        <v>602</v>
      </c>
      <c r="AF221" s="376" t="s">
        <v>399</v>
      </c>
      <c r="AG221" s="376" t="s">
        <v>178</v>
      </c>
      <c r="AH221" s="381">
        <v>18.190000000000001</v>
      </c>
      <c r="AI221" s="381">
        <v>26528.7</v>
      </c>
      <c r="AJ221" s="376" t="s">
        <v>179</v>
      </c>
      <c r="AK221" s="376" t="s">
        <v>180</v>
      </c>
      <c r="AL221" s="376" t="s">
        <v>181</v>
      </c>
      <c r="AM221" s="376" t="s">
        <v>182</v>
      </c>
      <c r="AN221" s="376" t="s">
        <v>68</v>
      </c>
      <c r="AO221" s="379">
        <v>80</v>
      </c>
      <c r="AP221" s="460">
        <v>1</v>
      </c>
      <c r="AQ221" s="460">
        <v>1</v>
      </c>
      <c r="AR221" s="458" t="s">
        <v>183</v>
      </c>
      <c r="AS221" s="462">
        <f t="shared" si="51"/>
        <v>1</v>
      </c>
      <c r="AT221">
        <f t="shared" si="52"/>
        <v>1</v>
      </c>
      <c r="AU221" s="462">
        <f>IF(AT221=0,"",IF(AND(AT221=1,M221="F",SUMIF(C2:C391,C221,AS2:AS391)&lt;=1),SUMIF(C2:C391,C221,AS2:AS391),IF(AND(AT221=1,M221="F",SUMIF(C2:C391,C221,AS2:AS391)&gt;1),1,"")))</f>
        <v>1</v>
      </c>
      <c r="AV221" s="462" t="str">
        <f>IF(AT221=0,"",IF(AND(AT221=3,M221="F",SUMIF(C2:C391,C221,AS2:AS391)&lt;=1),SUMIF(C2:C391,C221,AS2:AS391),IF(AND(AT221=3,M221="F",SUMIF(C2:C391,C221,AS2:AS391)&gt;1),1,"")))</f>
        <v/>
      </c>
      <c r="AW221" s="462">
        <f>SUMIF(C2:C391,C221,O2:O391)</f>
        <v>1</v>
      </c>
      <c r="AX221" s="462">
        <f>IF(AND(M221="F",AS221&lt;&gt;0),SUMIF(C2:C391,C221,W2:W391),0)</f>
        <v>37835.199999999997</v>
      </c>
      <c r="AY221" s="462">
        <f t="shared" si="53"/>
        <v>37835.199999999997</v>
      </c>
      <c r="AZ221" s="462" t="str">
        <f t="shared" si="54"/>
        <v/>
      </c>
      <c r="BA221" s="462">
        <f t="shared" si="55"/>
        <v>0</v>
      </c>
      <c r="BB221" s="462">
        <f>IF(AND(AT221=1,AK221="E",AU221&gt;=0.75,AW221=1),Health,IF(AND(AT221=1,AK221="E",AU221&gt;=0.75),Health*P221,IF(AND(AT221=1,AK221="E",AU221&gt;=0.5,AW221=1),PTHealth,IF(AND(AT221=1,AK221="E",AU221&gt;=0.5),PTHealth*P221,0))))</f>
        <v>11650</v>
      </c>
      <c r="BC221" s="462">
        <f>IF(AND(AT221=3,AK221="E",AV221&gt;=0.75,AW221=1),Health,IF(AND(AT221=3,AK221="E",AV221&gt;=0.75),Health*P221,IF(AND(AT221=3,AK221="E",AV221&gt;=0.5,AW221=1),PTHealth,IF(AND(AT221=3,AK221="E",AV221&gt;=0.5),PTHealth*P221,0))))</f>
        <v>0</v>
      </c>
      <c r="BD221" s="462">
        <f>IF(AND(AT221&lt;&gt;0,AX221&gt;=MAXSSDI),SSDI*MAXSSDI*P221,IF(AT221&lt;&gt;0,SSDI*W221,0))</f>
        <v>2345.7823999999996</v>
      </c>
      <c r="BE221" s="462">
        <f>IF(AT221&lt;&gt;0,SSHI*W221,0)</f>
        <v>548.61040000000003</v>
      </c>
      <c r="BF221" s="462">
        <f>IF(AND(AT221&lt;&gt;0,AN221&lt;&gt;"NE"),VLOOKUP(AN221,Retirement_Rates,3,FALSE)*W221,0)</f>
        <v>4517.5228799999995</v>
      </c>
      <c r="BG221" s="462">
        <f>IF(AND(AT221&lt;&gt;0,AJ221&lt;&gt;"PF"),Life*W221,0)</f>
        <v>272.79179199999999</v>
      </c>
      <c r="BH221" s="462">
        <f>IF(AND(AT221&lt;&gt;0,AM221="Y"),UI*W221,0)</f>
        <v>185.39247999999998</v>
      </c>
      <c r="BI221" s="462">
        <f>IF(AND(AT221&lt;&gt;0,N221&lt;&gt;"NR"),DHR*W221,0)</f>
        <v>115.77571199999998</v>
      </c>
      <c r="BJ221" s="462">
        <f>IF(AT221&lt;&gt;0,WC*W221,0)</f>
        <v>1017.7668799999999</v>
      </c>
      <c r="BK221" s="462">
        <f>IF(OR(AND(AT221&lt;&gt;0,AJ221&lt;&gt;"PF",AN221&lt;&gt;"NE",AG221&lt;&gt;"A"),AND(AL221="E",OR(AT221=1,AT221=3))),Sick*W221,0)</f>
        <v>0</v>
      </c>
      <c r="BL221" s="462">
        <f t="shared" si="56"/>
        <v>9003.6425439999985</v>
      </c>
      <c r="BM221" s="462">
        <f t="shared" si="57"/>
        <v>0</v>
      </c>
      <c r="BN221" s="462">
        <f>IF(AND(AT221=1,AK221="E",AU221&gt;=0.75,AW221=1),HealthBY,IF(AND(AT221=1,AK221="E",AU221&gt;=0.75),HealthBY*P221,IF(AND(AT221=1,AK221="E",AU221&gt;=0.5,AW221=1),PTHealthBY,IF(AND(AT221=1,AK221="E",AU221&gt;=0.5),PTHealthBY*P221,0))))</f>
        <v>11650</v>
      </c>
      <c r="BO221" s="462">
        <f>IF(AND(AT221=3,AK221="E",AV221&gt;=0.75,AW221=1),HealthBY,IF(AND(AT221=3,AK221="E",AV221&gt;=0.75),HealthBY*P221,IF(AND(AT221=3,AK221="E",AV221&gt;=0.5,AW221=1),PTHealthBY,IF(AND(AT221=3,AK221="E",AV221&gt;=0.5),PTHealthBY*P221,0))))</f>
        <v>0</v>
      </c>
      <c r="BP221" s="462">
        <f>IF(AND(AT221&lt;&gt;0,(AX221+BA221)&gt;=MAXSSDIBY),SSDIBY*MAXSSDIBY*P221,IF(AT221&lt;&gt;0,SSDIBY*W221,0))</f>
        <v>2345.7823999999996</v>
      </c>
      <c r="BQ221" s="462">
        <f>IF(AT221&lt;&gt;0,SSHIBY*W221,0)</f>
        <v>548.61040000000003</v>
      </c>
      <c r="BR221" s="462">
        <f>IF(AND(AT221&lt;&gt;0,AN221&lt;&gt;"NE"),VLOOKUP(AN221,Retirement_Rates,4,FALSE)*W221,0)</f>
        <v>4517.5228799999995</v>
      </c>
      <c r="BS221" s="462">
        <f>IF(AND(AT221&lt;&gt;0,AJ221&lt;&gt;"PF"),LifeBY*W221,0)</f>
        <v>272.79179199999999</v>
      </c>
      <c r="BT221" s="462">
        <f>IF(AND(AT221&lt;&gt;0,AM221="Y"),UIBY*W221,0)</f>
        <v>0</v>
      </c>
      <c r="BU221" s="462">
        <f>IF(AND(AT221&lt;&gt;0,N221&lt;&gt;"NR"),DHRBY*W221,0)</f>
        <v>115.77571199999998</v>
      </c>
      <c r="BV221" s="462">
        <f>IF(AT221&lt;&gt;0,WCBY*W221,0)</f>
        <v>1312.8814399999999</v>
      </c>
      <c r="BW221" s="462">
        <f>IF(OR(AND(AT221&lt;&gt;0,AJ221&lt;&gt;"PF",AN221&lt;&gt;"NE",AG221&lt;&gt;"A"),AND(AL221="E",OR(AT221=1,AT221=3))),SickBY*W221,0)</f>
        <v>0</v>
      </c>
      <c r="BX221" s="462">
        <f t="shared" si="58"/>
        <v>9113.364623999998</v>
      </c>
      <c r="BY221" s="462">
        <f t="shared" si="59"/>
        <v>0</v>
      </c>
      <c r="BZ221" s="462">
        <f t="shared" si="60"/>
        <v>0</v>
      </c>
      <c r="CA221" s="462">
        <f t="shared" si="61"/>
        <v>0</v>
      </c>
      <c r="CB221" s="462">
        <f t="shared" si="62"/>
        <v>0</v>
      </c>
      <c r="CC221" s="462">
        <f>IF(AT221&lt;&gt;0,SSHICHG*Y221,0)</f>
        <v>0</v>
      </c>
      <c r="CD221" s="462">
        <f>IF(AND(AT221&lt;&gt;0,AN221&lt;&gt;"NE"),VLOOKUP(AN221,Retirement_Rates,5,FALSE)*Y221,0)</f>
        <v>0</v>
      </c>
      <c r="CE221" s="462">
        <f>IF(AND(AT221&lt;&gt;0,AJ221&lt;&gt;"PF"),LifeCHG*Y221,0)</f>
        <v>0</v>
      </c>
      <c r="CF221" s="462">
        <f>IF(AND(AT221&lt;&gt;0,AM221="Y"),UICHG*Y221,0)</f>
        <v>-185.39247999999998</v>
      </c>
      <c r="CG221" s="462">
        <f>IF(AND(AT221&lt;&gt;0,N221&lt;&gt;"NR"),DHRCHG*Y221,0)</f>
        <v>0</v>
      </c>
      <c r="CH221" s="462">
        <f>IF(AT221&lt;&gt;0,WCCHG*Y221,0)</f>
        <v>295.11456000000004</v>
      </c>
      <c r="CI221" s="462">
        <f>IF(OR(AND(AT221&lt;&gt;0,AJ221&lt;&gt;"PF",AN221&lt;&gt;"NE",AG221&lt;&gt;"A"),AND(AL221="E",OR(AT221=1,AT221=3))),SickCHG*Y221,0)</f>
        <v>0</v>
      </c>
      <c r="CJ221" s="462">
        <f t="shared" si="63"/>
        <v>109.72208000000006</v>
      </c>
      <c r="CK221" s="462" t="str">
        <f t="shared" si="64"/>
        <v/>
      </c>
      <c r="CL221" s="462" t="str">
        <f t="shared" si="65"/>
        <v/>
      </c>
      <c r="CM221" s="462" t="str">
        <f t="shared" si="66"/>
        <v/>
      </c>
      <c r="CN221" s="462" t="str">
        <f t="shared" si="67"/>
        <v>0243-00</v>
      </c>
    </row>
    <row r="222" spans="1:92" ht="15" thickBot="1" x14ac:dyDescent="0.35">
      <c r="A222" s="376" t="s">
        <v>161</v>
      </c>
      <c r="B222" s="376" t="s">
        <v>162</v>
      </c>
      <c r="C222" s="376" t="s">
        <v>817</v>
      </c>
      <c r="D222" s="376" t="s">
        <v>438</v>
      </c>
      <c r="E222" s="376" t="s">
        <v>273</v>
      </c>
      <c r="F222" s="377" t="s">
        <v>166</v>
      </c>
      <c r="G222" s="376" t="s">
        <v>432</v>
      </c>
      <c r="H222" s="378"/>
      <c r="I222" s="378"/>
      <c r="J222" s="376" t="s">
        <v>168</v>
      </c>
      <c r="K222" s="376" t="s">
        <v>439</v>
      </c>
      <c r="L222" s="376" t="s">
        <v>231</v>
      </c>
      <c r="M222" s="376" t="s">
        <v>171</v>
      </c>
      <c r="N222" s="376" t="s">
        <v>172</v>
      </c>
      <c r="O222" s="379">
        <v>1</v>
      </c>
      <c r="P222" s="460">
        <v>1</v>
      </c>
      <c r="Q222" s="460">
        <v>1</v>
      </c>
      <c r="R222" s="380">
        <v>80</v>
      </c>
      <c r="S222" s="460">
        <v>1</v>
      </c>
      <c r="T222" s="380">
        <v>41388.32</v>
      </c>
      <c r="U222" s="380">
        <v>0</v>
      </c>
      <c r="V222" s="380">
        <v>21233.93</v>
      </c>
      <c r="W222" s="380">
        <v>40892.800000000003</v>
      </c>
      <c r="X222" s="380">
        <v>21381.23</v>
      </c>
      <c r="Y222" s="380">
        <v>40892.800000000003</v>
      </c>
      <c r="Z222" s="380">
        <v>21499.83</v>
      </c>
      <c r="AA222" s="376" t="s">
        <v>818</v>
      </c>
      <c r="AB222" s="376" t="s">
        <v>819</v>
      </c>
      <c r="AC222" s="376" t="s">
        <v>820</v>
      </c>
      <c r="AD222" s="376" t="s">
        <v>176</v>
      </c>
      <c r="AE222" s="376" t="s">
        <v>439</v>
      </c>
      <c r="AF222" s="376" t="s">
        <v>236</v>
      </c>
      <c r="AG222" s="376" t="s">
        <v>178</v>
      </c>
      <c r="AH222" s="381">
        <v>19.66</v>
      </c>
      <c r="AI222" s="381">
        <v>8671.6</v>
      </c>
      <c r="AJ222" s="376" t="s">
        <v>179</v>
      </c>
      <c r="AK222" s="376" t="s">
        <v>180</v>
      </c>
      <c r="AL222" s="376" t="s">
        <v>181</v>
      </c>
      <c r="AM222" s="376" t="s">
        <v>182</v>
      </c>
      <c r="AN222" s="376" t="s">
        <v>68</v>
      </c>
      <c r="AO222" s="379">
        <v>80</v>
      </c>
      <c r="AP222" s="460">
        <v>1</v>
      </c>
      <c r="AQ222" s="460">
        <v>1</v>
      </c>
      <c r="AR222" s="458" t="s">
        <v>183</v>
      </c>
      <c r="AS222" s="462">
        <f t="shared" si="51"/>
        <v>1</v>
      </c>
      <c r="AT222">
        <f t="shared" si="52"/>
        <v>1</v>
      </c>
      <c r="AU222" s="462">
        <f>IF(AT222=0,"",IF(AND(AT222=1,M222="F",SUMIF(C2:C391,C222,AS2:AS391)&lt;=1),SUMIF(C2:C391,C222,AS2:AS391),IF(AND(AT222=1,M222="F",SUMIF(C2:C391,C222,AS2:AS391)&gt;1),1,"")))</f>
        <v>1</v>
      </c>
      <c r="AV222" s="462" t="str">
        <f>IF(AT222=0,"",IF(AND(AT222=3,M222="F",SUMIF(C2:C391,C222,AS2:AS391)&lt;=1),SUMIF(C2:C391,C222,AS2:AS391),IF(AND(AT222=3,M222="F",SUMIF(C2:C391,C222,AS2:AS391)&gt;1),1,"")))</f>
        <v/>
      </c>
      <c r="AW222" s="462">
        <f>SUMIF(C2:C391,C222,O2:O391)</f>
        <v>1</v>
      </c>
      <c r="AX222" s="462">
        <f>IF(AND(M222="F",AS222&lt;&gt;0),SUMIF(C2:C391,C222,W2:W391),0)</f>
        <v>40892.800000000003</v>
      </c>
      <c r="AY222" s="462">
        <f t="shared" si="53"/>
        <v>40892.800000000003</v>
      </c>
      <c r="AZ222" s="462" t="str">
        <f t="shared" si="54"/>
        <v/>
      </c>
      <c r="BA222" s="462">
        <f t="shared" si="55"/>
        <v>0</v>
      </c>
      <c r="BB222" s="462">
        <f>IF(AND(AT222=1,AK222="E",AU222&gt;=0.75,AW222=1),Health,IF(AND(AT222=1,AK222="E",AU222&gt;=0.75),Health*P222,IF(AND(AT222=1,AK222="E",AU222&gt;=0.5,AW222=1),PTHealth,IF(AND(AT222=1,AK222="E",AU222&gt;=0.5),PTHealth*P222,0))))</f>
        <v>11650</v>
      </c>
      <c r="BC222" s="462">
        <f>IF(AND(AT222=3,AK222="E",AV222&gt;=0.75,AW222=1),Health,IF(AND(AT222=3,AK222="E",AV222&gt;=0.75),Health*P222,IF(AND(AT222=3,AK222="E",AV222&gt;=0.5,AW222=1),PTHealth,IF(AND(AT222=3,AK222="E",AV222&gt;=0.5),PTHealth*P222,0))))</f>
        <v>0</v>
      </c>
      <c r="BD222" s="462">
        <f>IF(AND(AT222&lt;&gt;0,AX222&gt;=MAXSSDI),SSDI*MAXSSDI*P222,IF(AT222&lt;&gt;0,SSDI*W222,0))</f>
        <v>2535.3536000000004</v>
      </c>
      <c r="BE222" s="462">
        <f>IF(AT222&lt;&gt;0,SSHI*W222,0)</f>
        <v>592.94560000000013</v>
      </c>
      <c r="BF222" s="462">
        <f>IF(AND(AT222&lt;&gt;0,AN222&lt;&gt;"NE"),VLOOKUP(AN222,Retirement_Rates,3,FALSE)*W222,0)</f>
        <v>4882.6003200000005</v>
      </c>
      <c r="BG222" s="462">
        <f>IF(AND(AT222&lt;&gt;0,AJ222&lt;&gt;"PF"),Life*W222,0)</f>
        <v>294.83708800000005</v>
      </c>
      <c r="BH222" s="462">
        <f>IF(AND(AT222&lt;&gt;0,AM222="Y"),UI*W222,0)</f>
        <v>200.37472</v>
      </c>
      <c r="BI222" s="462">
        <f>IF(AND(AT222&lt;&gt;0,N222&lt;&gt;"NR"),DHR*W222,0)</f>
        <v>125.131968</v>
      </c>
      <c r="BJ222" s="462">
        <f>IF(AT222&lt;&gt;0,WC*W222,0)</f>
        <v>1100.0163200000002</v>
      </c>
      <c r="BK222" s="462">
        <f>IF(OR(AND(AT222&lt;&gt;0,AJ222&lt;&gt;"PF",AN222&lt;&gt;"NE",AG222&lt;&gt;"A"),AND(AL222="E",OR(AT222=1,AT222=3))),Sick*W222,0)</f>
        <v>0</v>
      </c>
      <c r="BL222" s="462">
        <f t="shared" si="56"/>
        <v>9731.2596160000012</v>
      </c>
      <c r="BM222" s="462">
        <f t="shared" si="57"/>
        <v>0</v>
      </c>
      <c r="BN222" s="462">
        <f>IF(AND(AT222=1,AK222="E",AU222&gt;=0.75,AW222=1),HealthBY,IF(AND(AT222=1,AK222="E",AU222&gt;=0.75),HealthBY*P222,IF(AND(AT222=1,AK222="E",AU222&gt;=0.5,AW222=1),PTHealthBY,IF(AND(AT222=1,AK222="E",AU222&gt;=0.5),PTHealthBY*P222,0))))</f>
        <v>11650</v>
      </c>
      <c r="BO222" s="462">
        <f>IF(AND(AT222=3,AK222="E",AV222&gt;=0.75,AW222=1),HealthBY,IF(AND(AT222=3,AK222="E",AV222&gt;=0.75),HealthBY*P222,IF(AND(AT222=3,AK222="E",AV222&gt;=0.5,AW222=1),PTHealthBY,IF(AND(AT222=3,AK222="E",AV222&gt;=0.5),PTHealthBY*P222,0))))</f>
        <v>0</v>
      </c>
      <c r="BP222" s="462">
        <f>IF(AND(AT222&lt;&gt;0,(AX222+BA222)&gt;=MAXSSDIBY),SSDIBY*MAXSSDIBY*P222,IF(AT222&lt;&gt;0,SSDIBY*W222,0))</f>
        <v>2535.3536000000004</v>
      </c>
      <c r="BQ222" s="462">
        <f>IF(AT222&lt;&gt;0,SSHIBY*W222,0)</f>
        <v>592.94560000000013</v>
      </c>
      <c r="BR222" s="462">
        <f>IF(AND(AT222&lt;&gt;0,AN222&lt;&gt;"NE"),VLOOKUP(AN222,Retirement_Rates,4,FALSE)*W222,0)</f>
        <v>4882.6003200000005</v>
      </c>
      <c r="BS222" s="462">
        <f>IF(AND(AT222&lt;&gt;0,AJ222&lt;&gt;"PF"),LifeBY*W222,0)</f>
        <v>294.83708800000005</v>
      </c>
      <c r="BT222" s="462">
        <f>IF(AND(AT222&lt;&gt;0,AM222="Y"),UIBY*W222,0)</f>
        <v>0</v>
      </c>
      <c r="BU222" s="462">
        <f>IF(AND(AT222&lt;&gt;0,N222&lt;&gt;"NR"),DHRBY*W222,0)</f>
        <v>125.131968</v>
      </c>
      <c r="BV222" s="462">
        <f>IF(AT222&lt;&gt;0,WCBY*W222,0)</f>
        <v>1418.9801600000001</v>
      </c>
      <c r="BW222" s="462">
        <f>IF(OR(AND(AT222&lt;&gt;0,AJ222&lt;&gt;"PF",AN222&lt;&gt;"NE",AG222&lt;&gt;"A"),AND(AL222="E",OR(AT222=1,AT222=3))),SickBY*W222,0)</f>
        <v>0</v>
      </c>
      <c r="BX222" s="462">
        <f t="shared" si="58"/>
        <v>9849.8487359999999</v>
      </c>
      <c r="BY222" s="462">
        <f t="shared" si="59"/>
        <v>0</v>
      </c>
      <c r="BZ222" s="462">
        <f t="shared" si="60"/>
        <v>0</v>
      </c>
      <c r="CA222" s="462">
        <f t="shared" si="61"/>
        <v>0</v>
      </c>
      <c r="CB222" s="462">
        <f t="shared" si="62"/>
        <v>0</v>
      </c>
      <c r="CC222" s="462">
        <f>IF(AT222&lt;&gt;0,SSHICHG*Y222,0)</f>
        <v>0</v>
      </c>
      <c r="CD222" s="462">
        <f>IF(AND(AT222&lt;&gt;0,AN222&lt;&gt;"NE"),VLOOKUP(AN222,Retirement_Rates,5,FALSE)*Y222,0)</f>
        <v>0</v>
      </c>
      <c r="CE222" s="462">
        <f>IF(AND(AT222&lt;&gt;0,AJ222&lt;&gt;"PF"),LifeCHG*Y222,0)</f>
        <v>0</v>
      </c>
      <c r="CF222" s="462">
        <f>IF(AND(AT222&lt;&gt;0,AM222="Y"),UICHG*Y222,0)</f>
        <v>-200.37472</v>
      </c>
      <c r="CG222" s="462">
        <f>IF(AND(AT222&lt;&gt;0,N222&lt;&gt;"NR"),DHRCHG*Y222,0)</f>
        <v>0</v>
      </c>
      <c r="CH222" s="462">
        <f>IF(AT222&lt;&gt;0,WCCHG*Y222,0)</f>
        <v>318.96384000000006</v>
      </c>
      <c r="CI222" s="462">
        <f>IF(OR(AND(AT222&lt;&gt;0,AJ222&lt;&gt;"PF",AN222&lt;&gt;"NE",AG222&lt;&gt;"A"),AND(AL222="E",OR(AT222=1,AT222=3))),SickCHG*Y222,0)</f>
        <v>0</v>
      </c>
      <c r="CJ222" s="462">
        <f t="shared" si="63"/>
        <v>118.58912000000007</v>
      </c>
      <c r="CK222" s="462" t="str">
        <f t="shared" si="64"/>
        <v/>
      </c>
      <c r="CL222" s="462" t="str">
        <f t="shared" si="65"/>
        <v/>
      </c>
      <c r="CM222" s="462" t="str">
        <f t="shared" si="66"/>
        <v/>
      </c>
      <c r="CN222" s="462" t="str">
        <f t="shared" si="67"/>
        <v>0243-00</v>
      </c>
    </row>
    <row r="223" spans="1:92" ht="15" thickBot="1" x14ac:dyDescent="0.35">
      <c r="A223" s="376" t="s">
        <v>161</v>
      </c>
      <c r="B223" s="376" t="s">
        <v>162</v>
      </c>
      <c r="C223" s="376" t="s">
        <v>388</v>
      </c>
      <c r="D223" s="376" t="s">
        <v>354</v>
      </c>
      <c r="E223" s="376" t="s">
        <v>273</v>
      </c>
      <c r="F223" s="377" t="s">
        <v>166</v>
      </c>
      <c r="G223" s="376" t="s">
        <v>432</v>
      </c>
      <c r="H223" s="378"/>
      <c r="I223" s="378"/>
      <c r="J223" s="376" t="s">
        <v>168</v>
      </c>
      <c r="K223" s="376" t="s">
        <v>355</v>
      </c>
      <c r="L223" s="376" t="s">
        <v>178</v>
      </c>
      <c r="M223" s="376" t="s">
        <v>171</v>
      </c>
      <c r="N223" s="376" t="s">
        <v>172</v>
      </c>
      <c r="O223" s="379">
        <v>1</v>
      </c>
      <c r="P223" s="460">
        <v>0</v>
      </c>
      <c r="Q223" s="460">
        <v>0</v>
      </c>
      <c r="R223" s="380">
        <v>80</v>
      </c>
      <c r="S223" s="460">
        <v>0</v>
      </c>
      <c r="T223" s="380">
        <v>2924.25</v>
      </c>
      <c r="U223" s="380">
        <v>0</v>
      </c>
      <c r="V223" s="380">
        <v>1833.47</v>
      </c>
      <c r="W223" s="380">
        <v>0</v>
      </c>
      <c r="X223" s="380">
        <v>0</v>
      </c>
      <c r="Y223" s="380">
        <v>0</v>
      </c>
      <c r="Z223" s="380">
        <v>0</v>
      </c>
      <c r="AA223" s="376" t="s">
        <v>389</v>
      </c>
      <c r="AB223" s="376" t="s">
        <v>390</v>
      </c>
      <c r="AC223" s="376" t="s">
        <v>391</v>
      </c>
      <c r="AD223" s="376" t="s">
        <v>176</v>
      </c>
      <c r="AE223" s="376" t="s">
        <v>355</v>
      </c>
      <c r="AF223" s="376" t="s">
        <v>190</v>
      </c>
      <c r="AG223" s="376" t="s">
        <v>178</v>
      </c>
      <c r="AH223" s="381">
        <v>15.66</v>
      </c>
      <c r="AI223" s="381">
        <v>5959.7</v>
      </c>
      <c r="AJ223" s="376" t="s">
        <v>179</v>
      </c>
      <c r="AK223" s="376" t="s">
        <v>180</v>
      </c>
      <c r="AL223" s="376" t="s">
        <v>181</v>
      </c>
      <c r="AM223" s="376" t="s">
        <v>182</v>
      </c>
      <c r="AN223" s="376" t="s">
        <v>68</v>
      </c>
      <c r="AO223" s="379">
        <v>80</v>
      </c>
      <c r="AP223" s="460">
        <v>1</v>
      </c>
      <c r="AQ223" s="460">
        <v>0</v>
      </c>
      <c r="AR223" s="458" t="s">
        <v>183</v>
      </c>
      <c r="AS223" s="462">
        <f t="shared" si="51"/>
        <v>0</v>
      </c>
      <c r="AT223">
        <f t="shared" si="52"/>
        <v>0</v>
      </c>
      <c r="AU223" s="462" t="str">
        <f>IF(AT223=0,"",IF(AND(AT223=1,M223="F",SUMIF(C2:C391,C223,AS2:AS391)&lt;=1),SUMIF(C2:C391,C223,AS2:AS391),IF(AND(AT223=1,M223="F",SUMIF(C2:C391,C223,AS2:AS391)&gt;1),1,"")))</f>
        <v/>
      </c>
      <c r="AV223" s="462" t="str">
        <f>IF(AT223=0,"",IF(AND(AT223=3,M223="F",SUMIF(C2:C391,C223,AS2:AS391)&lt;=1),SUMIF(C2:C391,C223,AS2:AS391),IF(AND(AT223=3,M223="F",SUMIF(C2:C391,C223,AS2:AS391)&gt;1),1,"")))</f>
        <v/>
      </c>
      <c r="AW223" s="462">
        <f>SUMIF(C2:C391,C223,O2:O391)</f>
        <v>2</v>
      </c>
      <c r="AX223" s="462">
        <f>IF(AND(M223="F",AS223&lt;&gt;0),SUMIF(C2:C391,C223,W2:W391),0)</f>
        <v>0</v>
      </c>
      <c r="AY223" s="462" t="str">
        <f t="shared" si="53"/>
        <v/>
      </c>
      <c r="AZ223" s="462" t="str">
        <f t="shared" si="54"/>
        <v/>
      </c>
      <c r="BA223" s="462">
        <f t="shared" si="55"/>
        <v>0</v>
      </c>
      <c r="BB223" s="462">
        <f>IF(AND(AT223=1,AK223="E",AU223&gt;=0.75,AW223=1),Health,IF(AND(AT223=1,AK223="E",AU223&gt;=0.75),Health*P223,IF(AND(AT223=1,AK223="E",AU223&gt;=0.5,AW223=1),PTHealth,IF(AND(AT223=1,AK223="E",AU223&gt;=0.5),PTHealth*P223,0))))</f>
        <v>0</v>
      </c>
      <c r="BC223" s="462">
        <f>IF(AND(AT223=3,AK223="E",AV223&gt;=0.75,AW223=1),Health,IF(AND(AT223=3,AK223="E",AV223&gt;=0.75),Health*P223,IF(AND(AT223=3,AK223="E",AV223&gt;=0.5,AW223=1),PTHealth,IF(AND(AT223=3,AK223="E",AV223&gt;=0.5),PTHealth*P223,0))))</f>
        <v>0</v>
      </c>
      <c r="BD223" s="462">
        <f>IF(AND(AT223&lt;&gt;0,AX223&gt;=MAXSSDI),SSDI*MAXSSDI*P223,IF(AT223&lt;&gt;0,SSDI*W223,0))</f>
        <v>0</v>
      </c>
      <c r="BE223" s="462">
        <f>IF(AT223&lt;&gt;0,SSHI*W223,0)</f>
        <v>0</v>
      </c>
      <c r="BF223" s="462">
        <f>IF(AND(AT223&lt;&gt;0,AN223&lt;&gt;"NE"),VLOOKUP(AN223,Retirement_Rates,3,FALSE)*W223,0)</f>
        <v>0</v>
      </c>
      <c r="BG223" s="462">
        <f>IF(AND(AT223&lt;&gt;0,AJ223&lt;&gt;"PF"),Life*W223,0)</f>
        <v>0</v>
      </c>
      <c r="BH223" s="462">
        <f>IF(AND(AT223&lt;&gt;0,AM223="Y"),UI*W223,0)</f>
        <v>0</v>
      </c>
      <c r="BI223" s="462">
        <f>IF(AND(AT223&lt;&gt;0,N223&lt;&gt;"NR"),DHR*W223,0)</f>
        <v>0</v>
      </c>
      <c r="BJ223" s="462">
        <f>IF(AT223&lt;&gt;0,WC*W223,0)</f>
        <v>0</v>
      </c>
      <c r="BK223" s="462">
        <f>IF(OR(AND(AT223&lt;&gt;0,AJ223&lt;&gt;"PF",AN223&lt;&gt;"NE",AG223&lt;&gt;"A"),AND(AL223="E",OR(AT223=1,AT223=3))),Sick*W223,0)</f>
        <v>0</v>
      </c>
      <c r="BL223" s="462">
        <f t="shared" si="56"/>
        <v>0</v>
      </c>
      <c r="BM223" s="462">
        <f t="shared" si="57"/>
        <v>0</v>
      </c>
      <c r="BN223" s="462">
        <f>IF(AND(AT223=1,AK223="E",AU223&gt;=0.75,AW223=1),HealthBY,IF(AND(AT223=1,AK223="E",AU223&gt;=0.75),HealthBY*P223,IF(AND(AT223=1,AK223="E",AU223&gt;=0.5,AW223=1),PTHealthBY,IF(AND(AT223=1,AK223="E",AU223&gt;=0.5),PTHealthBY*P223,0))))</f>
        <v>0</v>
      </c>
      <c r="BO223" s="462">
        <f>IF(AND(AT223=3,AK223="E",AV223&gt;=0.75,AW223=1),HealthBY,IF(AND(AT223=3,AK223="E",AV223&gt;=0.75),HealthBY*P223,IF(AND(AT223=3,AK223="E",AV223&gt;=0.5,AW223=1),PTHealthBY,IF(AND(AT223=3,AK223="E",AV223&gt;=0.5),PTHealthBY*P223,0))))</f>
        <v>0</v>
      </c>
      <c r="BP223" s="462">
        <f>IF(AND(AT223&lt;&gt;0,(AX223+BA223)&gt;=MAXSSDIBY),SSDIBY*MAXSSDIBY*P223,IF(AT223&lt;&gt;0,SSDIBY*W223,0))</f>
        <v>0</v>
      </c>
      <c r="BQ223" s="462">
        <f>IF(AT223&lt;&gt;0,SSHIBY*W223,0)</f>
        <v>0</v>
      </c>
      <c r="BR223" s="462">
        <f>IF(AND(AT223&lt;&gt;0,AN223&lt;&gt;"NE"),VLOOKUP(AN223,Retirement_Rates,4,FALSE)*W223,0)</f>
        <v>0</v>
      </c>
      <c r="BS223" s="462">
        <f>IF(AND(AT223&lt;&gt;0,AJ223&lt;&gt;"PF"),LifeBY*W223,0)</f>
        <v>0</v>
      </c>
      <c r="BT223" s="462">
        <f>IF(AND(AT223&lt;&gt;0,AM223="Y"),UIBY*W223,0)</f>
        <v>0</v>
      </c>
      <c r="BU223" s="462">
        <f>IF(AND(AT223&lt;&gt;0,N223&lt;&gt;"NR"),DHRBY*W223,0)</f>
        <v>0</v>
      </c>
      <c r="BV223" s="462">
        <f>IF(AT223&lt;&gt;0,WCBY*W223,0)</f>
        <v>0</v>
      </c>
      <c r="BW223" s="462">
        <f>IF(OR(AND(AT223&lt;&gt;0,AJ223&lt;&gt;"PF",AN223&lt;&gt;"NE",AG223&lt;&gt;"A"),AND(AL223="E",OR(AT223=1,AT223=3))),SickBY*W223,0)</f>
        <v>0</v>
      </c>
      <c r="BX223" s="462">
        <f t="shared" si="58"/>
        <v>0</v>
      </c>
      <c r="BY223" s="462">
        <f t="shared" si="59"/>
        <v>0</v>
      </c>
      <c r="BZ223" s="462">
        <f t="shared" si="60"/>
        <v>0</v>
      </c>
      <c r="CA223" s="462">
        <f t="shared" si="61"/>
        <v>0</v>
      </c>
      <c r="CB223" s="462">
        <f t="shared" si="62"/>
        <v>0</v>
      </c>
      <c r="CC223" s="462">
        <f>IF(AT223&lt;&gt;0,SSHICHG*Y223,0)</f>
        <v>0</v>
      </c>
      <c r="CD223" s="462">
        <f>IF(AND(AT223&lt;&gt;0,AN223&lt;&gt;"NE"),VLOOKUP(AN223,Retirement_Rates,5,FALSE)*Y223,0)</f>
        <v>0</v>
      </c>
      <c r="CE223" s="462">
        <f>IF(AND(AT223&lt;&gt;0,AJ223&lt;&gt;"PF"),LifeCHG*Y223,0)</f>
        <v>0</v>
      </c>
      <c r="CF223" s="462">
        <f>IF(AND(AT223&lt;&gt;0,AM223="Y"),UICHG*Y223,0)</f>
        <v>0</v>
      </c>
      <c r="CG223" s="462">
        <f>IF(AND(AT223&lt;&gt;0,N223&lt;&gt;"NR"),DHRCHG*Y223,0)</f>
        <v>0</v>
      </c>
      <c r="CH223" s="462">
        <f>IF(AT223&lt;&gt;0,WCCHG*Y223,0)</f>
        <v>0</v>
      </c>
      <c r="CI223" s="462">
        <f>IF(OR(AND(AT223&lt;&gt;0,AJ223&lt;&gt;"PF",AN223&lt;&gt;"NE",AG223&lt;&gt;"A"),AND(AL223="E",OR(AT223=1,AT223=3))),SickCHG*Y223,0)</f>
        <v>0</v>
      </c>
      <c r="CJ223" s="462">
        <f t="shared" si="63"/>
        <v>0</v>
      </c>
      <c r="CK223" s="462" t="str">
        <f t="shared" si="64"/>
        <v/>
      </c>
      <c r="CL223" s="462" t="str">
        <f t="shared" si="65"/>
        <v/>
      </c>
      <c r="CM223" s="462" t="str">
        <f t="shared" si="66"/>
        <v/>
      </c>
      <c r="CN223" s="462" t="str">
        <f t="shared" si="67"/>
        <v>0243-00</v>
      </c>
    </row>
    <row r="224" spans="1:92" ht="15" thickBot="1" x14ac:dyDescent="0.35">
      <c r="A224" s="376" t="s">
        <v>161</v>
      </c>
      <c r="B224" s="376" t="s">
        <v>162</v>
      </c>
      <c r="C224" s="376" t="s">
        <v>821</v>
      </c>
      <c r="D224" s="376" t="s">
        <v>438</v>
      </c>
      <c r="E224" s="376" t="s">
        <v>273</v>
      </c>
      <c r="F224" s="377" t="s">
        <v>166</v>
      </c>
      <c r="G224" s="376" t="s">
        <v>432</v>
      </c>
      <c r="H224" s="378"/>
      <c r="I224" s="378"/>
      <c r="J224" s="376" t="s">
        <v>168</v>
      </c>
      <c r="K224" s="376" t="s">
        <v>439</v>
      </c>
      <c r="L224" s="376" t="s">
        <v>231</v>
      </c>
      <c r="M224" s="376" t="s">
        <v>171</v>
      </c>
      <c r="N224" s="376" t="s">
        <v>172</v>
      </c>
      <c r="O224" s="379">
        <v>1</v>
      </c>
      <c r="P224" s="460">
        <v>1</v>
      </c>
      <c r="Q224" s="460">
        <v>1</v>
      </c>
      <c r="R224" s="380">
        <v>80</v>
      </c>
      <c r="S224" s="460">
        <v>1</v>
      </c>
      <c r="T224" s="380">
        <v>41755.360000000001</v>
      </c>
      <c r="U224" s="380">
        <v>0</v>
      </c>
      <c r="V224" s="380">
        <v>22410.29</v>
      </c>
      <c r="W224" s="380">
        <v>40185.599999999999</v>
      </c>
      <c r="X224" s="380">
        <v>21212.93</v>
      </c>
      <c r="Y224" s="380">
        <v>40185.599999999999</v>
      </c>
      <c r="Z224" s="380">
        <v>21329.48</v>
      </c>
      <c r="AA224" s="376" t="s">
        <v>822</v>
      </c>
      <c r="AB224" s="376" t="s">
        <v>823</v>
      </c>
      <c r="AC224" s="376" t="s">
        <v>824</v>
      </c>
      <c r="AD224" s="376" t="s">
        <v>215</v>
      </c>
      <c r="AE224" s="376" t="s">
        <v>439</v>
      </c>
      <c r="AF224" s="376" t="s">
        <v>236</v>
      </c>
      <c r="AG224" s="376" t="s">
        <v>178</v>
      </c>
      <c r="AH224" s="381">
        <v>19.32</v>
      </c>
      <c r="AI224" s="381">
        <v>1367.3</v>
      </c>
      <c r="AJ224" s="376" t="s">
        <v>179</v>
      </c>
      <c r="AK224" s="376" t="s">
        <v>180</v>
      </c>
      <c r="AL224" s="376" t="s">
        <v>181</v>
      </c>
      <c r="AM224" s="376" t="s">
        <v>182</v>
      </c>
      <c r="AN224" s="376" t="s">
        <v>68</v>
      </c>
      <c r="AO224" s="379">
        <v>80</v>
      </c>
      <c r="AP224" s="460">
        <v>1</v>
      </c>
      <c r="AQ224" s="460">
        <v>1</v>
      </c>
      <c r="AR224" s="458" t="s">
        <v>183</v>
      </c>
      <c r="AS224" s="462">
        <f t="shared" si="51"/>
        <v>1</v>
      </c>
      <c r="AT224">
        <f t="shared" si="52"/>
        <v>1</v>
      </c>
      <c r="AU224" s="462">
        <f>IF(AT224=0,"",IF(AND(AT224=1,M224="F",SUMIF(C2:C391,C224,AS2:AS391)&lt;=1),SUMIF(C2:C391,C224,AS2:AS391),IF(AND(AT224=1,M224="F",SUMIF(C2:C391,C224,AS2:AS391)&gt;1),1,"")))</f>
        <v>1</v>
      </c>
      <c r="AV224" s="462" t="str">
        <f>IF(AT224=0,"",IF(AND(AT224=3,M224="F",SUMIF(C2:C391,C224,AS2:AS391)&lt;=1),SUMIF(C2:C391,C224,AS2:AS391),IF(AND(AT224=3,M224="F",SUMIF(C2:C391,C224,AS2:AS391)&gt;1),1,"")))</f>
        <v/>
      </c>
      <c r="AW224" s="462">
        <f>SUMIF(C2:C391,C224,O2:O391)</f>
        <v>1</v>
      </c>
      <c r="AX224" s="462">
        <f>IF(AND(M224="F",AS224&lt;&gt;0),SUMIF(C2:C391,C224,W2:W391),0)</f>
        <v>40185.599999999999</v>
      </c>
      <c r="AY224" s="462">
        <f t="shared" si="53"/>
        <v>40185.599999999999</v>
      </c>
      <c r="AZ224" s="462" t="str">
        <f t="shared" si="54"/>
        <v/>
      </c>
      <c r="BA224" s="462">
        <f t="shared" si="55"/>
        <v>0</v>
      </c>
      <c r="BB224" s="462">
        <f>IF(AND(AT224=1,AK224="E",AU224&gt;=0.75,AW224=1),Health,IF(AND(AT224=1,AK224="E",AU224&gt;=0.75),Health*P224,IF(AND(AT224=1,AK224="E",AU224&gt;=0.5,AW224=1),PTHealth,IF(AND(AT224=1,AK224="E",AU224&gt;=0.5),PTHealth*P224,0))))</f>
        <v>11650</v>
      </c>
      <c r="BC224" s="462">
        <f>IF(AND(AT224=3,AK224="E",AV224&gt;=0.75,AW224=1),Health,IF(AND(AT224=3,AK224="E",AV224&gt;=0.75),Health*P224,IF(AND(AT224=3,AK224="E",AV224&gt;=0.5,AW224=1),PTHealth,IF(AND(AT224=3,AK224="E",AV224&gt;=0.5),PTHealth*P224,0))))</f>
        <v>0</v>
      </c>
      <c r="BD224" s="462">
        <f>IF(AND(AT224&lt;&gt;0,AX224&gt;=MAXSSDI),SSDI*MAXSSDI*P224,IF(AT224&lt;&gt;0,SSDI*W224,0))</f>
        <v>2491.5072</v>
      </c>
      <c r="BE224" s="462">
        <f>IF(AT224&lt;&gt;0,SSHI*W224,0)</f>
        <v>582.69119999999998</v>
      </c>
      <c r="BF224" s="462">
        <f>IF(AND(AT224&lt;&gt;0,AN224&lt;&gt;"NE"),VLOOKUP(AN224,Retirement_Rates,3,FALSE)*W224,0)</f>
        <v>4798.1606400000001</v>
      </c>
      <c r="BG224" s="462">
        <f>IF(AND(AT224&lt;&gt;0,AJ224&lt;&gt;"PF"),Life*W224,0)</f>
        <v>289.73817600000001</v>
      </c>
      <c r="BH224" s="462">
        <f>IF(AND(AT224&lt;&gt;0,AM224="Y"),UI*W224,0)</f>
        <v>196.90943999999999</v>
      </c>
      <c r="BI224" s="462">
        <f>IF(AND(AT224&lt;&gt;0,N224&lt;&gt;"NR"),DHR*W224,0)</f>
        <v>122.96793599999998</v>
      </c>
      <c r="BJ224" s="462">
        <f>IF(AT224&lt;&gt;0,WC*W224,0)</f>
        <v>1080.9926399999999</v>
      </c>
      <c r="BK224" s="462">
        <f>IF(OR(AND(AT224&lt;&gt;0,AJ224&lt;&gt;"PF",AN224&lt;&gt;"NE",AG224&lt;&gt;"A"),AND(AL224="E",OR(AT224=1,AT224=3))),Sick*W224,0)</f>
        <v>0</v>
      </c>
      <c r="BL224" s="462">
        <f t="shared" si="56"/>
        <v>9562.9672319999991</v>
      </c>
      <c r="BM224" s="462">
        <f t="shared" si="57"/>
        <v>0</v>
      </c>
      <c r="BN224" s="462">
        <f>IF(AND(AT224=1,AK224="E",AU224&gt;=0.75,AW224=1),HealthBY,IF(AND(AT224=1,AK224="E",AU224&gt;=0.75),HealthBY*P224,IF(AND(AT224=1,AK224="E",AU224&gt;=0.5,AW224=1),PTHealthBY,IF(AND(AT224=1,AK224="E",AU224&gt;=0.5),PTHealthBY*P224,0))))</f>
        <v>11650</v>
      </c>
      <c r="BO224" s="462">
        <f>IF(AND(AT224=3,AK224="E",AV224&gt;=0.75,AW224=1),HealthBY,IF(AND(AT224=3,AK224="E",AV224&gt;=0.75),HealthBY*P224,IF(AND(AT224=3,AK224="E",AV224&gt;=0.5,AW224=1),PTHealthBY,IF(AND(AT224=3,AK224="E",AV224&gt;=0.5),PTHealthBY*P224,0))))</f>
        <v>0</v>
      </c>
      <c r="BP224" s="462">
        <f>IF(AND(AT224&lt;&gt;0,(AX224+BA224)&gt;=MAXSSDIBY),SSDIBY*MAXSSDIBY*P224,IF(AT224&lt;&gt;0,SSDIBY*W224,0))</f>
        <v>2491.5072</v>
      </c>
      <c r="BQ224" s="462">
        <f>IF(AT224&lt;&gt;0,SSHIBY*W224,0)</f>
        <v>582.69119999999998</v>
      </c>
      <c r="BR224" s="462">
        <f>IF(AND(AT224&lt;&gt;0,AN224&lt;&gt;"NE"),VLOOKUP(AN224,Retirement_Rates,4,FALSE)*W224,0)</f>
        <v>4798.1606400000001</v>
      </c>
      <c r="BS224" s="462">
        <f>IF(AND(AT224&lt;&gt;0,AJ224&lt;&gt;"PF"),LifeBY*W224,0)</f>
        <v>289.73817600000001</v>
      </c>
      <c r="BT224" s="462">
        <f>IF(AND(AT224&lt;&gt;0,AM224="Y"),UIBY*W224,0)</f>
        <v>0</v>
      </c>
      <c r="BU224" s="462">
        <f>IF(AND(AT224&lt;&gt;0,N224&lt;&gt;"NR"),DHRBY*W224,0)</f>
        <v>122.96793599999998</v>
      </c>
      <c r="BV224" s="462">
        <f>IF(AT224&lt;&gt;0,WCBY*W224,0)</f>
        <v>1394.4403199999999</v>
      </c>
      <c r="BW224" s="462">
        <f>IF(OR(AND(AT224&lt;&gt;0,AJ224&lt;&gt;"PF",AN224&lt;&gt;"NE",AG224&lt;&gt;"A"),AND(AL224="E",OR(AT224=1,AT224=3))),SickBY*W224,0)</f>
        <v>0</v>
      </c>
      <c r="BX224" s="462">
        <f t="shared" si="58"/>
        <v>9679.5054719999989</v>
      </c>
      <c r="BY224" s="462">
        <f t="shared" si="59"/>
        <v>0</v>
      </c>
      <c r="BZ224" s="462">
        <f t="shared" si="60"/>
        <v>0</v>
      </c>
      <c r="CA224" s="462">
        <f t="shared" si="61"/>
        <v>0</v>
      </c>
      <c r="CB224" s="462">
        <f t="shared" si="62"/>
        <v>0</v>
      </c>
      <c r="CC224" s="462">
        <f>IF(AT224&lt;&gt;0,SSHICHG*Y224,0)</f>
        <v>0</v>
      </c>
      <c r="CD224" s="462">
        <f>IF(AND(AT224&lt;&gt;0,AN224&lt;&gt;"NE"),VLOOKUP(AN224,Retirement_Rates,5,FALSE)*Y224,0)</f>
        <v>0</v>
      </c>
      <c r="CE224" s="462">
        <f>IF(AND(AT224&lt;&gt;0,AJ224&lt;&gt;"PF"),LifeCHG*Y224,0)</f>
        <v>0</v>
      </c>
      <c r="CF224" s="462">
        <f>IF(AND(AT224&lt;&gt;0,AM224="Y"),UICHG*Y224,0)</f>
        <v>-196.90943999999999</v>
      </c>
      <c r="CG224" s="462">
        <f>IF(AND(AT224&lt;&gt;0,N224&lt;&gt;"NR"),DHRCHG*Y224,0)</f>
        <v>0</v>
      </c>
      <c r="CH224" s="462">
        <f>IF(AT224&lt;&gt;0,WCCHG*Y224,0)</f>
        <v>313.44768000000005</v>
      </c>
      <c r="CI224" s="462">
        <f>IF(OR(AND(AT224&lt;&gt;0,AJ224&lt;&gt;"PF",AN224&lt;&gt;"NE",AG224&lt;&gt;"A"),AND(AL224="E",OR(AT224=1,AT224=3))),SickCHG*Y224,0)</f>
        <v>0</v>
      </c>
      <c r="CJ224" s="462">
        <f t="shared" si="63"/>
        <v>116.53824000000006</v>
      </c>
      <c r="CK224" s="462" t="str">
        <f t="shared" si="64"/>
        <v/>
      </c>
      <c r="CL224" s="462" t="str">
        <f t="shared" si="65"/>
        <v/>
      </c>
      <c r="CM224" s="462" t="str">
        <f t="shared" si="66"/>
        <v/>
      </c>
      <c r="CN224" s="462" t="str">
        <f t="shared" si="67"/>
        <v>0243-00</v>
      </c>
    </row>
    <row r="225" spans="1:92" ht="15" thickBot="1" x14ac:dyDescent="0.35">
      <c r="A225" s="376" t="s">
        <v>161</v>
      </c>
      <c r="B225" s="376" t="s">
        <v>162</v>
      </c>
      <c r="C225" s="376" t="s">
        <v>825</v>
      </c>
      <c r="D225" s="376" t="s">
        <v>185</v>
      </c>
      <c r="E225" s="376" t="s">
        <v>273</v>
      </c>
      <c r="F225" s="377" t="s">
        <v>166</v>
      </c>
      <c r="G225" s="376" t="s">
        <v>432</v>
      </c>
      <c r="H225" s="378"/>
      <c r="I225" s="378"/>
      <c r="J225" s="376" t="s">
        <v>168</v>
      </c>
      <c r="K225" s="376" t="s">
        <v>186</v>
      </c>
      <c r="L225" s="376" t="s">
        <v>178</v>
      </c>
      <c r="M225" s="376" t="s">
        <v>171</v>
      </c>
      <c r="N225" s="376" t="s">
        <v>172</v>
      </c>
      <c r="O225" s="379">
        <v>1</v>
      </c>
      <c r="P225" s="460">
        <v>1</v>
      </c>
      <c r="Q225" s="460">
        <v>1</v>
      </c>
      <c r="R225" s="380">
        <v>40</v>
      </c>
      <c r="S225" s="460">
        <v>0.5</v>
      </c>
      <c r="T225" s="380">
        <v>16233.64</v>
      </c>
      <c r="U225" s="380">
        <v>0</v>
      </c>
      <c r="V225" s="380">
        <v>13339.51</v>
      </c>
      <c r="W225" s="380">
        <v>16286.4</v>
      </c>
      <c r="X225" s="380">
        <v>15525.64</v>
      </c>
      <c r="Y225" s="380">
        <v>16286.4</v>
      </c>
      <c r="Z225" s="380">
        <v>15572.87</v>
      </c>
      <c r="AA225" s="376" t="s">
        <v>826</v>
      </c>
      <c r="AB225" s="376" t="s">
        <v>827</v>
      </c>
      <c r="AC225" s="376" t="s">
        <v>828</v>
      </c>
      <c r="AD225" s="376" t="s">
        <v>176</v>
      </c>
      <c r="AE225" s="376" t="s">
        <v>186</v>
      </c>
      <c r="AF225" s="376" t="s">
        <v>190</v>
      </c>
      <c r="AG225" s="376" t="s">
        <v>178</v>
      </c>
      <c r="AH225" s="381">
        <v>15.66</v>
      </c>
      <c r="AI225" s="381">
        <v>4644.7</v>
      </c>
      <c r="AJ225" s="376" t="s">
        <v>249</v>
      </c>
      <c r="AK225" s="376" t="s">
        <v>180</v>
      </c>
      <c r="AL225" s="376" t="s">
        <v>181</v>
      </c>
      <c r="AM225" s="376" t="s">
        <v>182</v>
      </c>
      <c r="AN225" s="376" t="s">
        <v>68</v>
      </c>
      <c r="AO225" s="379">
        <v>40</v>
      </c>
      <c r="AP225" s="460">
        <v>1</v>
      </c>
      <c r="AQ225" s="460">
        <v>0.5</v>
      </c>
      <c r="AR225" s="458" t="s">
        <v>183</v>
      </c>
      <c r="AS225" s="462">
        <f t="shared" si="51"/>
        <v>0.5</v>
      </c>
      <c r="AT225">
        <f t="shared" si="52"/>
        <v>1</v>
      </c>
      <c r="AU225" s="462">
        <f>IF(AT225=0,"",IF(AND(AT225=1,M225="F",SUMIF(C2:C391,C225,AS2:AS391)&lt;=1),SUMIF(C2:C391,C225,AS2:AS391),IF(AND(AT225=1,M225="F",SUMIF(C2:C391,C225,AS2:AS391)&gt;1),1,"")))</f>
        <v>0.5</v>
      </c>
      <c r="AV225" s="462" t="str">
        <f>IF(AT225=0,"",IF(AND(AT225=3,M225="F",SUMIF(C2:C391,C225,AS2:AS391)&lt;=1),SUMIF(C2:C391,C225,AS2:AS391),IF(AND(AT225=3,M225="F",SUMIF(C2:C391,C225,AS2:AS391)&gt;1),1,"")))</f>
        <v/>
      </c>
      <c r="AW225" s="462">
        <f>SUMIF(C2:C391,C225,O2:O391)</f>
        <v>1</v>
      </c>
      <c r="AX225" s="462">
        <f>IF(AND(M225="F",AS225&lt;&gt;0),SUMIF(C2:C391,C225,W2:W391),0)</f>
        <v>16286.4</v>
      </c>
      <c r="AY225" s="462">
        <f t="shared" si="53"/>
        <v>16286.4</v>
      </c>
      <c r="AZ225" s="462" t="str">
        <f t="shared" si="54"/>
        <v/>
      </c>
      <c r="BA225" s="462">
        <f t="shared" si="55"/>
        <v>0</v>
      </c>
      <c r="BB225" s="462">
        <f>IF(AND(AT225=1,AK225="E",AU225&gt;=0.75,AW225=1),Health,IF(AND(AT225=1,AK225="E",AU225&gt;=0.75),Health*P225,IF(AND(AT225=1,AK225="E",AU225&gt;=0.5,AW225=1),PTHealth,IF(AND(AT225=1,AK225="E",AU225&gt;=0.5),PTHealth*P225,0))))</f>
        <v>9320</v>
      </c>
      <c r="BC225" s="462">
        <f>IF(AND(AT225=3,AK225="E",AV225&gt;=0.75,AW225=1),Health,IF(AND(AT225=3,AK225="E",AV225&gt;=0.75),Health*P225,IF(AND(AT225=3,AK225="E",AV225&gt;=0.5,AW225=1),PTHealth,IF(AND(AT225=3,AK225="E",AV225&gt;=0.5),PTHealth*P225,0))))</f>
        <v>0</v>
      </c>
      <c r="BD225" s="462">
        <f>IF(AND(AT225&lt;&gt;0,AX225&gt;=MAXSSDI),SSDI*MAXSSDI*P225,IF(AT225&lt;&gt;0,SSDI*W225,0))</f>
        <v>1009.7568</v>
      </c>
      <c r="BE225" s="462">
        <f>IF(AT225&lt;&gt;0,SSHI*W225,0)</f>
        <v>236.15280000000001</v>
      </c>
      <c r="BF225" s="462">
        <f>IF(AND(AT225&lt;&gt;0,AN225&lt;&gt;"NE"),VLOOKUP(AN225,Retirement_Rates,3,FALSE)*W225,0)</f>
        <v>1944.5961600000001</v>
      </c>
      <c r="BG225" s="462">
        <f>IF(AND(AT225&lt;&gt;0,AJ225&lt;&gt;"PF"),Life*W225,0)</f>
        <v>117.424944</v>
      </c>
      <c r="BH225" s="462">
        <f>IF(AND(AT225&lt;&gt;0,AM225="Y"),UI*W225,0)</f>
        <v>79.803359999999998</v>
      </c>
      <c r="BI225" s="462">
        <f>IF(AND(AT225&lt;&gt;0,N225&lt;&gt;"NR"),DHR*W225,0)</f>
        <v>49.836383999999995</v>
      </c>
      <c r="BJ225" s="462">
        <f>IF(AT225&lt;&gt;0,WC*W225,0)</f>
        <v>438.10415999999998</v>
      </c>
      <c r="BK225" s="462">
        <f>IF(OR(AND(AT225&lt;&gt;0,AJ225&lt;&gt;"PF",AN225&lt;&gt;"NE",AG225&lt;&gt;"A"),AND(AL225="E",OR(AT225=1,AT225=3))),Sick*W225,0)</f>
        <v>0</v>
      </c>
      <c r="BL225" s="462">
        <f t="shared" si="56"/>
        <v>3875.6746079999998</v>
      </c>
      <c r="BM225" s="462">
        <f t="shared" si="57"/>
        <v>0</v>
      </c>
      <c r="BN225" s="462">
        <f>IF(AND(AT225=1,AK225="E",AU225&gt;=0.75,AW225=1),HealthBY,IF(AND(AT225=1,AK225="E",AU225&gt;=0.75),HealthBY*P225,IF(AND(AT225=1,AK225="E",AU225&gt;=0.5,AW225=1),PTHealthBY,IF(AND(AT225=1,AK225="E",AU225&gt;=0.5),PTHealthBY*P225,0))))</f>
        <v>9320</v>
      </c>
      <c r="BO225" s="462">
        <f>IF(AND(AT225=3,AK225="E",AV225&gt;=0.75,AW225=1),HealthBY,IF(AND(AT225=3,AK225="E",AV225&gt;=0.75),HealthBY*P225,IF(AND(AT225=3,AK225="E",AV225&gt;=0.5,AW225=1),PTHealthBY,IF(AND(AT225=3,AK225="E",AV225&gt;=0.5),PTHealthBY*P225,0))))</f>
        <v>0</v>
      </c>
      <c r="BP225" s="462">
        <f>IF(AND(AT225&lt;&gt;0,(AX225+BA225)&gt;=MAXSSDIBY),SSDIBY*MAXSSDIBY*P225,IF(AT225&lt;&gt;0,SSDIBY*W225,0))</f>
        <v>1009.7568</v>
      </c>
      <c r="BQ225" s="462">
        <f>IF(AT225&lt;&gt;0,SSHIBY*W225,0)</f>
        <v>236.15280000000001</v>
      </c>
      <c r="BR225" s="462">
        <f>IF(AND(AT225&lt;&gt;0,AN225&lt;&gt;"NE"),VLOOKUP(AN225,Retirement_Rates,4,FALSE)*W225,0)</f>
        <v>1944.5961600000001</v>
      </c>
      <c r="BS225" s="462">
        <f>IF(AND(AT225&lt;&gt;0,AJ225&lt;&gt;"PF"),LifeBY*W225,0)</f>
        <v>117.424944</v>
      </c>
      <c r="BT225" s="462">
        <f>IF(AND(AT225&lt;&gt;0,AM225="Y"),UIBY*W225,0)</f>
        <v>0</v>
      </c>
      <c r="BU225" s="462">
        <f>IF(AND(AT225&lt;&gt;0,N225&lt;&gt;"NR"),DHRBY*W225,0)</f>
        <v>49.836383999999995</v>
      </c>
      <c r="BV225" s="462">
        <f>IF(AT225&lt;&gt;0,WCBY*W225,0)</f>
        <v>565.13808000000006</v>
      </c>
      <c r="BW225" s="462">
        <f>IF(OR(AND(AT225&lt;&gt;0,AJ225&lt;&gt;"PF",AN225&lt;&gt;"NE",AG225&lt;&gt;"A"),AND(AL225="E",OR(AT225=1,AT225=3))),SickBY*W225,0)</f>
        <v>0</v>
      </c>
      <c r="BX225" s="462">
        <f t="shared" si="58"/>
        <v>3922.9051680000002</v>
      </c>
      <c r="BY225" s="462">
        <f t="shared" si="59"/>
        <v>0</v>
      </c>
      <c r="BZ225" s="462">
        <f t="shared" si="60"/>
        <v>0</v>
      </c>
      <c r="CA225" s="462">
        <f t="shared" si="61"/>
        <v>0</v>
      </c>
      <c r="CB225" s="462">
        <f t="shared" si="62"/>
        <v>0</v>
      </c>
      <c r="CC225" s="462">
        <f>IF(AT225&lt;&gt;0,SSHICHG*Y225,0)</f>
        <v>0</v>
      </c>
      <c r="CD225" s="462">
        <f>IF(AND(AT225&lt;&gt;0,AN225&lt;&gt;"NE"),VLOOKUP(AN225,Retirement_Rates,5,FALSE)*Y225,0)</f>
        <v>0</v>
      </c>
      <c r="CE225" s="462">
        <f>IF(AND(AT225&lt;&gt;0,AJ225&lt;&gt;"PF"),LifeCHG*Y225,0)</f>
        <v>0</v>
      </c>
      <c r="CF225" s="462">
        <f>IF(AND(AT225&lt;&gt;0,AM225="Y"),UICHG*Y225,0)</f>
        <v>-79.803359999999998</v>
      </c>
      <c r="CG225" s="462">
        <f>IF(AND(AT225&lt;&gt;0,N225&lt;&gt;"NR"),DHRCHG*Y225,0)</f>
        <v>0</v>
      </c>
      <c r="CH225" s="462">
        <f>IF(AT225&lt;&gt;0,WCCHG*Y225,0)</f>
        <v>127.03392000000002</v>
      </c>
      <c r="CI225" s="462">
        <f>IF(OR(AND(AT225&lt;&gt;0,AJ225&lt;&gt;"PF",AN225&lt;&gt;"NE",AG225&lt;&gt;"A"),AND(AL225="E",OR(AT225=1,AT225=3))),SickCHG*Y225,0)</f>
        <v>0</v>
      </c>
      <c r="CJ225" s="462">
        <f t="shared" si="63"/>
        <v>47.230560000000025</v>
      </c>
      <c r="CK225" s="462" t="str">
        <f t="shared" si="64"/>
        <v/>
      </c>
      <c r="CL225" s="462" t="str">
        <f t="shared" si="65"/>
        <v/>
      </c>
      <c r="CM225" s="462" t="str">
        <f t="shared" si="66"/>
        <v/>
      </c>
      <c r="CN225" s="462" t="str">
        <f t="shared" si="67"/>
        <v>0243-00</v>
      </c>
    </row>
    <row r="226" spans="1:92" ht="15" thickBot="1" x14ac:dyDescent="0.35">
      <c r="A226" s="376" t="s">
        <v>161</v>
      </c>
      <c r="B226" s="376" t="s">
        <v>162</v>
      </c>
      <c r="C226" s="376" t="s">
        <v>829</v>
      </c>
      <c r="D226" s="376" t="s">
        <v>453</v>
      </c>
      <c r="E226" s="376" t="s">
        <v>273</v>
      </c>
      <c r="F226" s="377" t="s">
        <v>166</v>
      </c>
      <c r="G226" s="376" t="s">
        <v>432</v>
      </c>
      <c r="H226" s="378"/>
      <c r="I226" s="378"/>
      <c r="J226" s="376" t="s">
        <v>193</v>
      </c>
      <c r="K226" s="376" t="s">
        <v>454</v>
      </c>
      <c r="L226" s="376" t="s">
        <v>170</v>
      </c>
      <c r="M226" s="376" t="s">
        <v>225</v>
      </c>
      <c r="N226" s="376" t="s">
        <v>172</v>
      </c>
      <c r="O226" s="379">
        <v>0</v>
      </c>
      <c r="P226" s="460">
        <v>0.6</v>
      </c>
      <c r="Q226" s="460">
        <v>0.6</v>
      </c>
      <c r="R226" s="380">
        <v>80</v>
      </c>
      <c r="S226" s="460">
        <v>0.6</v>
      </c>
      <c r="T226" s="380">
        <v>38151.660000000003</v>
      </c>
      <c r="U226" s="380">
        <v>0</v>
      </c>
      <c r="V226" s="380">
        <v>15371.22</v>
      </c>
      <c r="W226" s="380">
        <v>36279.360000000001</v>
      </c>
      <c r="X226" s="380">
        <v>15890.35</v>
      </c>
      <c r="Y226" s="380">
        <v>36279.360000000001</v>
      </c>
      <c r="Z226" s="380">
        <v>15708.96</v>
      </c>
      <c r="AA226" s="378"/>
      <c r="AB226" s="376" t="s">
        <v>45</v>
      </c>
      <c r="AC226" s="376" t="s">
        <v>45</v>
      </c>
      <c r="AD226" s="378"/>
      <c r="AE226" s="378"/>
      <c r="AF226" s="378"/>
      <c r="AG226" s="378"/>
      <c r="AH226" s="379">
        <v>0</v>
      </c>
      <c r="AI226" s="379">
        <v>0</v>
      </c>
      <c r="AJ226" s="378"/>
      <c r="AK226" s="378"/>
      <c r="AL226" s="376" t="s">
        <v>181</v>
      </c>
      <c r="AM226" s="378"/>
      <c r="AN226" s="378"/>
      <c r="AO226" s="379">
        <v>0</v>
      </c>
      <c r="AP226" s="460">
        <v>0</v>
      </c>
      <c r="AQ226" s="460">
        <v>0</v>
      </c>
      <c r="AR226" s="459"/>
      <c r="AS226" s="462">
        <f t="shared" si="51"/>
        <v>0</v>
      </c>
      <c r="AT226">
        <f t="shared" si="52"/>
        <v>0</v>
      </c>
      <c r="AU226" s="462" t="str">
        <f>IF(AT226=0,"",IF(AND(AT226=1,M226="F",SUMIF(C2:C391,C226,AS2:AS391)&lt;=1),SUMIF(C2:C391,C226,AS2:AS391),IF(AND(AT226=1,M226="F",SUMIF(C2:C391,C226,AS2:AS391)&gt;1),1,"")))</f>
        <v/>
      </c>
      <c r="AV226" s="462" t="str">
        <f>IF(AT226=0,"",IF(AND(AT226=3,M226="F",SUMIF(C2:C391,C226,AS2:AS391)&lt;=1),SUMIF(C2:C391,C226,AS2:AS391),IF(AND(AT226=3,M226="F",SUMIF(C2:C391,C226,AS2:AS391)&gt;1),1,"")))</f>
        <v/>
      </c>
      <c r="AW226" s="462">
        <f>SUMIF(C2:C391,C226,O2:O391)</f>
        <v>0</v>
      </c>
      <c r="AX226" s="462">
        <f>IF(AND(M226="F",AS226&lt;&gt;0),SUMIF(C2:C391,C226,W2:W391),0)</f>
        <v>0</v>
      </c>
      <c r="AY226" s="462" t="str">
        <f t="shared" si="53"/>
        <v/>
      </c>
      <c r="AZ226" s="462" t="str">
        <f t="shared" si="54"/>
        <v/>
      </c>
      <c r="BA226" s="462">
        <f t="shared" si="55"/>
        <v>0</v>
      </c>
      <c r="BB226" s="462">
        <f>IF(AND(AT226=1,AK226="E",AU226&gt;=0.75,AW226=1),Health,IF(AND(AT226=1,AK226="E",AU226&gt;=0.75),Health*P226,IF(AND(AT226=1,AK226="E",AU226&gt;=0.5,AW226=1),PTHealth,IF(AND(AT226=1,AK226="E",AU226&gt;=0.5),PTHealth*P226,0))))</f>
        <v>0</v>
      </c>
      <c r="BC226" s="462">
        <f>IF(AND(AT226=3,AK226="E",AV226&gt;=0.75,AW226=1),Health,IF(AND(AT226=3,AK226="E",AV226&gt;=0.75),Health*P226,IF(AND(AT226=3,AK226="E",AV226&gt;=0.5,AW226=1),PTHealth,IF(AND(AT226=3,AK226="E",AV226&gt;=0.5),PTHealth*P226,0))))</f>
        <v>0</v>
      </c>
      <c r="BD226" s="462">
        <f>IF(AND(AT226&lt;&gt;0,AX226&gt;=MAXSSDI),SSDI*MAXSSDI*P226,IF(AT226&lt;&gt;0,SSDI*W226,0))</f>
        <v>0</v>
      </c>
      <c r="BE226" s="462">
        <f>IF(AT226&lt;&gt;0,SSHI*W226,0)</f>
        <v>0</v>
      </c>
      <c r="BF226" s="462">
        <f>IF(AND(AT226&lt;&gt;0,AN226&lt;&gt;"NE"),VLOOKUP(AN226,Retirement_Rates,3,FALSE)*W226,0)</f>
        <v>0</v>
      </c>
      <c r="BG226" s="462">
        <f>IF(AND(AT226&lt;&gt;0,AJ226&lt;&gt;"PF"),Life*W226,0)</f>
        <v>0</v>
      </c>
      <c r="BH226" s="462">
        <f>IF(AND(AT226&lt;&gt;0,AM226="Y"),UI*W226,0)</f>
        <v>0</v>
      </c>
      <c r="BI226" s="462">
        <f>IF(AND(AT226&lt;&gt;0,N226&lt;&gt;"NR"),DHR*W226,0)</f>
        <v>0</v>
      </c>
      <c r="BJ226" s="462">
        <f>IF(AT226&lt;&gt;0,WC*W226,0)</f>
        <v>0</v>
      </c>
      <c r="BK226" s="462">
        <f>IF(OR(AND(AT226&lt;&gt;0,AJ226&lt;&gt;"PF",AN226&lt;&gt;"NE",AG226&lt;&gt;"A"),AND(AL226="E",OR(AT226=1,AT226=3))),Sick*W226,0)</f>
        <v>0</v>
      </c>
      <c r="BL226" s="462">
        <f t="shared" si="56"/>
        <v>0</v>
      </c>
      <c r="BM226" s="462">
        <f t="shared" si="57"/>
        <v>0</v>
      </c>
      <c r="BN226" s="462">
        <f>IF(AND(AT226=1,AK226="E",AU226&gt;=0.75,AW226=1),HealthBY,IF(AND(AT226=1,AK226="E",AU226&gt;=0.75),HealthBY*P226,IF(AND(AT226=1,AK226="E",AU226&gt;=0.5,AW226=1),PTHealthBY,IF(AND(AT226=1,AK226="E",AU226&gt;=0.5),PTHealthBY*P226,0))))</f>
        <v>0</v>
      </c>
      <c r="BO226" s="462">
        <f>IF(AND(AT226=3,AK226="E",AV226&gt;=0.75,AW226=1),HealthBY,IF(AND(AT226=3,AK226="E",AV226&gt;=0.75),HealthBY*P226,IF(AND(AT226=3,AK226="E",AV226&gt;=0.5,AW226=1),PTHealthBY,IF(AND(AT226=3,AK226="E",AV226&gt;=0.5),PTHealthBY*P226,0))))</f>
        <v>0</v>
      </c>
      <c r="BP226" s="462">
        <f>IF(AND(AT226&lt;&gt;0,(AX226+BA226)&gt;=MAXSSDIBY),SSDIBY*MAXSSDIBY*P226,IF(AT226&lt;&gt;0,SSDIBY*W226,0))</f>
        <v>0</v>
      </c>
      <c r="BQ226" s="462">
        <f>IF(AT226&lt;&gt;0,SSHIBY*W226,0)</f>
        <v>0</v>
      </c>
      <c r="BR226" s="462">
        <f>IF(AND(AT226&lt;&gt;0,AN226&lt;&gt;"NE"),VLOOKUP(AN226,Retirement_Rates,4,FALSE)*W226,0)</f>
        <v>0</v>
      </c>
      <c r="BS226" s="462">
        <f>IF(AND(AT226&lt;&gt;0,AJ226&lt;&gt;"PF"),LifeBY*W226,0)</f>
        <v>0</v>
      </c>
      <c r="BT226" s="462">
        <f>IF(AND(AT226&lt;&gt;0,AM226="Y"),UIBY*W226,0)</f>
        <v>0</v>
      </c>
      <c r="BU226" s="462">
        <f>IF(AND(AT226&lt;&gt;0,N226&lt;&gt;"NR"),DHRBY*W226,0)</f>
        <v>0</v>
      </c>
      <c r="BV226" s="462">
        <f>IF(AT226&lt;&gt;0,WCBY*W226,0)</f>
        <v>0</v>
      </c>
      <c r="BW226" s="462">
        <f>IF(OR(AND(AT226&lt;&gt;0,AJ226&lt;&gt;"PF",AN226&lt;&gt;"NE",AG226&lt;&gt;"A"),AND(AL226="E",OR(AT226=1,AT226=3))),SickBY*W226,0)</f>
        <v>0</v>
      </c>
      <c r="BX226" s="462">
        <f t="shared" si="58"/>
        <v>0</v>
      </c>
      <c r="BY226" s="462">
        <f t="shared" si="59"/>
        <v>0</v>
      </c>
      <c r="BZ226" s="462">
        <f t="shared" si="60"/>
        <v>0</v>
      </c>
      <c r="CA226" s="462">
        <f t="shared" si="61"/>
        <v>0</v>
      </c>
      <c r="CB226" s="462">
        <f t="shared" si="62"/>
        <v>0</v>
      </c>
      <c r="CC226" s="462">
        <f>IF(AT226&lt;&gt;0,SSHICHG*Y226,0)</f>
        <v>0</v>
      </c>
      <c r="CD226" s="462">
        <f>IF(AND(AT226&lt;&gt;0,AN226&lt;&gt;"NE"),VLOOKUP(AN226,Retirement_Rates,5,FALSE)*Y226,0)</f>
        <v>0</v>
      </c>
      <c r="CE226" s="462">
        <f>IF(AND(AT226&lt;&gt;0,AJ226&lt;&gt;"PF"),LifeCHG*Y226,0)</f>
        <v>0</v>
      </c>
      <c r="CF226" s="462">
        <f>IF(AND(AT226&lt;&gt;0,AM226="Y"),UICHG*Y226,0)</f>
        <v>0</v>
      </c>
      <c r="CG226" s="462">
        <f>IF(AND(AT226&lt;&gt;0,N226&lt;&gt;"NR"),DHRCHG*Y226,0)</f>
        <v>0</v>
      </c>
      <c r="CH226" s="462">
        <f>IF(AT226&lt;&gt;0,WCCHG*Y226,0)</f>
        <v>0</v>
      </c>
      <c r="CI226" s="462">
        <f>IF(OR(AND(AT226&lt;&gt;0,AJ226&lt;&gt;"PF",AN226&lt;&gt;"NE",AG226&lt;&gt;"A"),AND(AL226="E",OR(AT226=1,AT226=3))),SickCHG*Y226,0)</f>
        <v>0</v>
      </c>
      <c r="CJ226" s="462">
        <f t="shared" si="63"/>
        <v>0</v>
      </c>
      <c r="CK226" s="462" t="str">
        <f t="shared" si="64"/>
        <v/>
      </c>
      <c r="CL226" s="462" t="str">
        <f t="shared" si="65"/>
        <v/>
      </c>
      <c r="CM226" s="462" t="str">
        <f t="shared" si="66"/>
        <v/>
      </c>
      <c r="CN226" s="462" t="str">
        <f t="shared" si="67"/>
        <v>0243-00</v>
      </c>
    </row>
    <row r="227" spans="1:92" ht="15" thickBot="1" x14ac:dyDescent="0.35">
      <c r="A227" s="376" t="s">
        <v>161</v>
      </c>
      <c r="B227" s="376" t="s">
        <v>162</v>
      </c>
      <c r="C227" s="376" t="s">
        <v>830</v>
      </c>
      <c r="D227" s="376" t="s">
        <v>221</v>
      </c>
      <c r="E227" s="376" t="s">
        <v>273</v>
      </c>
      <c r="F227" s="377" t="s">
        <v>166</v>
      </c>
      <c r="G227" s="376" t="s">
        <v>432</v>
      </c>
      <c r="H227" s="378"/>
      <c r="I227" s="378"/>
      <c r="J227" s="376" t="s">
        <v>168</v>
      </c>
      <c r="K227" s="376" t="s">
        <v>222</v>
      </c>
      <c r="L227" s="376" t="s">
        <v>166</v>
      </c>
      <c r="M227" s="376" t="s">
        <v>171</v>
      </c>
      <c r="N227" s="376" t="s">
        <v>223</v>
      </c>
      <c r="O227" s="379">
        <v>0</v>
      </c>
      <c r="P227" s="460">
        <v>0</v>
      </c>
      <c r="Q227" s="460">
        <v>0</v>
      </c>
      <c r="R227" s="380">
        <v>0</v>
      </c>
      <c r="S227" s="460">
        <v>0</v>
      </c>
      <c r="T227" s="380">
        <v>48100</v>
      </c>
      <c r="U227" s="380">
        <v>1020</v>
      </c>
      <c r="V227" s="380">
        <v>6917.39</v>
      </c>
      <c r="W227" s="380">
        <v>0</v>
      </c>
      <c r="X227" s="380">
        <v>0</v>
      </c>
      <c r="Y227" s="380">
        <v>0</v>
      </c>
      <c r="Z227" s="380">
        <v>0</v>
      </c>
      <c r="AA227" s="378"/>
      <c r="AB227" s="376" t="s">
        <v>45</v>
      </c>
      <c r="AC227" s="376" t="s">
        <v>45</v>
      </c>
      <c r="AD227" s="378"/>
      <c r="AE227" s="378"/>
      <c r="AF227" s="378"/>
      <c r="AG227" s="378"/>
      <c r="AH227" s="379">
        <v>0</v>
      </c>
      <c r="AI227" s="379">
        <v>0</v>
      </c>
      <c r="AJ227" s="378"/>
      <c r="AK227" s="378"/>
      <c r="AL227" s="376" t="s">
        <v>181</v>
      </c>
      <c r="AM227" s="378"/>
      <c r="AN227" s="378"/>
      <c r="AO227" s="379">
        <v>0</v>
      </c>
      <c r="AP227" s="460">
        <v>0</v>
      </c>
      <c r="AQ227" s="460">
        <v>0</v>
      </c>
      <c r="AR227" s="459"/>
      <c r="AS227" s="462">
        <f t="shared" si="51"/>
        <v>0</v>
      </c>
      <c r="AT227">
        <f t="shared" si="52"/>
        <v>0</v>
      </c>
      <c r="AU227" s="462" t="str">
        <f>IF(AT227=0,"",IF(AND(AT227=1,M227="F",SUMIF(C2:C391,C227,AS2:AS391)&lt;=1),SUMIF(C2:C391,C227,AS2:AS391),IF(AND(AT227=1,M227="F",SUMIF(C2:C391,C227,AS2:AS391)&gt;1),1,"")))</f>
        <v/>
      </c>
      <c r="AV227" s="462" t="str">
        <f>IF(AT227=0,"",IF(AND(AT227=3,M227="F",SUMIF(C2:C391,C227,AS2:AS391)&lt;=1),SUMIF(C2:C391,C227,AS2:AS391),IF(AND(AT227=3,M227="F",SUMIF(C2:C391,C227,AS2:AS391)&gt;1),1,"")))</f>
        <v/>
      </c>
      <c r="AW227" s="462">
        <f>SUMIF(C2:C391,C227,O2:O391)</f>
        <v>0</v>
      </c>
      <c r="AX227" s="462">
        <f>IF(AND(M227="F",AS227&lt;&gt;0),SUMIF(C2:C391,C227,W2:W391),0)</f>
        <v>0</v>
      </c>
      <c r="AY227" s="462" t="str">
        <f t="shared" si="53"/>
        <v/>
      </c>
      <c r="AZ227" s="462" t="str">
        <f t="shared" si="54"/>
        <v/>
      </c>
      <c r="BA227" s="462">
        <f t="shared" si="55"/>
        <v>0</v>
      </c>
      <c r="BB227" s="462">
        <f>IF(AND(AT227=1,AK227="E",AU227&gt;=0.75,AW227=1),Health,IF(AND(AT227=1,AK227="E",AU227&gt;=0.75),Health*P227,IF(AND(AT227=1,AK227="E",AU227&gt;=0.5,AW227=1),PTHealth,IF(AND(AT227=1,AK227="E",AU227&gt;=0.5),PTHealth*P227,0))))</f>
        <v>0</v>
      </c>
      <c r="BC227" s="462">
        <f>IF(AND(AT227=3,AK227="E",AV227&gt;=0.75,AW227=1),Health,IF(AND(AT227=3,AK227="E",AV227&gt;=0.75),Health*P227,IF(AND(AT227=3,AK227="E",AV227&gt;=0.5,AW227=1),PTHealth,IF(AND(AT227=3,AK227="E",AV227&gt;=0.5),PTHealth*P227,0))))</f>
        <v>0</v>
      </c>
      <c r="BD227" s="462">
        <f>IF(AND(AT227&lt;&gt;0,AX227&gt;=MAXSSDI),SSDI*MAXSSDI*P227,IF(AT227&lt;&gt;0,SSDI*W227,0))</f>
        <v>0</v>
      </c>
      <c r="BE227" s="462">
        <f>IF(AT227&lt;&gt;0,SSHI*W227,0)</f>
        <v>0</v>
      </c>
      <c r="BF227" s="462">
        <f>IF(AND(AT227&lt;&gt;0,AN227&lt;&gt;"NE"),VLOOKUP(AN227,Retirement_Rates,3,FALSE)*W227,0)</f>
        <v>0</v>
      </c>
      <c r="BG227" s="462">
        <f>IF(AND(AT227&lt;&gt;0,AJ227&lt;&gt;"PF"),Life*W227,0)</f>
        <v>0</v>
      </c>
      <c r="BH227" s="462">
        <f>IF(AND(AT227&lt;&gt;0,AM227="Y"),UI*W227,0)</f>
        <v>0</v>
      </c>
      <c r="BI227" s="462">
        <f>IF(AND(AT227&lt;&gt;0,N227&lt;&gt;"NR"),DHR*W227,0)</f>
        <v>0</v>
      </c>
      <c r="BJ227" s="462">
        <f>IF(AT227&lt;&gt;0,WC*W227,0)</f>
        <v>0</v>
      </c>
      <c r="BK227" s="462">
        <f>IF(OR(AND(AT227&lt;&gt;0,AJ227&lt;&gt;"PF",AN227&lt;&gt;"NE",AG227&lt;&gt;"A"),AND(AL227="E",OR(AT227=1,AT227=3))),Sick*W227,0)</f>
        <v>0</v>
      </c>
      <c r="BL227" s="462">
        <f t="shared" si="56"/>
        <v>0</v>
      </c>
      <c r="BM227" s="462">
        <f t="shared" si="57"/>
        <v>0</v>
      </c>
      <c r="BN227" s="462">
        <f>IF(AND(AT227=1,AK227="E",AU227&gt;=0.75,AW227=1),HealthBY,IF(AND(AT227=1,AK227="E",AU227&gt;=0.75),HealthBY*P227,IF(AND(AT227=1,AK227="E",AU227&gt;=0.5,AW227=1),PTHealthBY,IF(AND(AT227=1,AK227="E",AU227&gt;=0.5),PTHealthBY*P227,0))))</f>
        <v>0</v>
      </c>
      <c r="BO227" s="462">
        <f>IF(AND(AT227=3,AK227="E",AV227&gt;=0.75,AW227=1),HealthBY,IF(AND(AT227=3,AK227="E",AV227&gt;=0.75),HealthBY*P227,IF(AND(AT227=3,AK227="E",AV227&gt;=0.5,AW227=1),PTHealthBY,IF(AND(AT227=3,AK227="E",AV227&gt;=0.5),PTHealthBY*P227,0))))</f>
        <v>0</v>
      </c>
      <c r="BP227" s="462">
        <f>IF(AND(AT227&lt;&gt;0,(AX227+BA227)&gt;=MAXSSDIBY),SSDIBY*MAXSSDIBY*P227,IF(AT227&lt;&gt;0,SSDIBY*W227,0))</f>
        <v>0</v>
      </c>
      <c r="BQ227" s="462">
        <f>IF(AT227&lt;&gt;0,SSHIBY*W227,0)</f>
        <v>0</v>
      </c>
      <c r="BR227" s="462">
        <f>IF(AND(AT227&lt;&gt;0,AN227&lt;&gt;"NE"),VLOOKUP(AN227,Retirement_Rates,4,FALSE)*W227,0)</f>
        <v>0</v>
      </c>
      <c r="BS227" s="462">
        <f>IF(AND(AT227&lt;&gt;0,AJ227&lt;&gt;"PF"),LifeBY*W227,0)</f>
        <v>0</v>
      </c>
      <c r="BT227" s="462">
        <f>IF(AND(AT227&lt;&gt;0,AM227="Y"),UIBY*W227,0)</f>
        <v>0</v>
      </c>
      <c r="BU227" s="462">
        <f>IF(AND(AT227&lt;&gt;0,N227&lt;&gt;"NR"),DHRBY*W227,0)</f>
        <v>0</v>
      </c>
      <c r="BV227" s="462">
        <f>IF(AT227&lt;&gt;0,WCBY*W227,0)</f>
        <v>0</v>
      </c>
      <c r="BW227" s="462">
        <f>IF(OR(AND(AT227&lt;&gt;0,AJ227&lt;&gt;"PF",AN227&lt;&gt;"NE",AG227&lt;&gt;"A"),AND(AL227="E",OR(AT227=1,AT227=3))),SickBY*W227,0)</f>
        <v>0</v>
      </c>
      <c r="BX227" s="462">
        <f t="shared" si="58"/>
        <v>0</v>
      </c>
      <c r="BY227" s="462">
        <f t="shared" si="59"/>
        <v>0</v>
      </c>
      <c r="BZ227" s="462">
        <f t="shared" si="60"/>
        <v>0</v>
      </c>
      <c r="CA227" s="462">
        <f t="shared" si="61"/>
        <v>0</v>
      </c>
      <c r="CB227" s="462">
        <f t="shared" si="62"/>
        <v>0</v>
      </c>
      <c r="CC227" s="462">
        <f>IF(AT227&lt;&gt;0,SSHICHG*Y227,0)</f>
        <v>0</v>
      </c>
      <c r="CD227" s="462">
        <f>IF(AND(AT227&lt;&gt;0,AN227&lt;&gt;"NE"),VLOOKUP(AN227,Retirement_Rates,5,FALSE)*Y227,0)</f>
        <v>0</v>
      </c>
      <c r="CE227" s="462">
        <f>IF(AND(AT227&lt;&gt;0,AJ227&lt;&gt;"PF"),LifeCHG*Y227,0)</f>
        <v>0</v>
      </c>
      <c r="CF227" s="462">
        <f>IF(AND(AT227&lt;&gt;0,AM227="Y"),UICHG*Y227,0)</f>
        <v>0</v>
      </c>
      <c r="CG227" s="462">
        <f>IF(AND(AT227&lt;&gt;0,N227&lt;&gt;"NR"),DHRCHG*Y227,0)</f>
        <v>0</v>
      </c>
      <c r="CH227" s="462">
        <f>IF(AT227&lt;&gt;0,WCCHG*Y227,0)</f>
        <v>0</v>
      </c>
      <c r="CI227" s="462">
        <f>IF(OR(AND(AT227&lt;&gt;0,AJ227&lt;&gt;"PF",AN227&lt;&gt;"NE",AG227&lt;&gt;"A"),AND(AL227="E",OR(AT227=1,AT227=3))),SickCHG*Y227,0)</f>
        <v>0</v>
      </c>
      <c r="CJ227" s="462">
        <f t="shared" si="63"/>
        <v>0</v>
      </c>
      <c r="CK227" s="462" t="str">
        <f t="shared" si="64"/>
        <v/>
      </c>
      <c r="CL227" s="462">
        <f t="shared" si="65"/>
        <v>49120</v>
      </c>
      <c r="CM227" s="462">
        <f t="shared" si="66"/>
        <v>6917.39</v>
      </c>
      <c r="CN227" s="462" t="str">
        <f t="shared" si="67"/>
        <v>0243-00</v>
      </c>
    </row>
    <row r="228" spans="1:92" ht="15" thickBot="1" x14ac:dyDescent="0.35">
      <c r="A228" s="376" t="s">
        <v>161</v>
      </c>
      <c r="B228" s="376" t="s">
        <v>162</v>
      </c>
      <c r="C228" s="376" t="s">
        <v>831</v>
      </c>
      <c r="D228" s="376" t="s">
        <v>185</v>
      </c>
      <c r="E228" s="376" t="s">
        <v>273</v>
      </c>
      <c r="F228" s="377" t="s">
        <v>166</v>
      </c>
      <c r="G228" s="376" t="s">
        <v>432</v>
      </c>
      <c r="H228" s="378"/>
      <c r="I228" s="378"/>
      <c r="J228" s="376" t="s">
        <v>168</v>
      </c>
      <c r="K228" s="376" t="s">
        <v>186</v>
      </c>
      <c r="L228" s="376" t="s">
        <v>178</v>
      </c>
      <c r="M228" s="376" t="s">
        <v>171</v>
      </c>
      <c r="N228" s="376" t="s">
        <v>172</v>
      </c>
      <c r="O228" s="379">
        <v>1</v>
      </c>
      <c r="P228" s="460">
        <v>1</v>
      </c>
      <c r="Q228" s="460">
        <v>1</v>
      </c>
      <c r="R228" s="380">
        <v>80</v>
      </c>
      <c r="S228" s="460">
        <v>1</v>
      </c>
      <c r="T228" s="380">
        <v>33223.96</v>
      </c>
      <c r="U228" s="380">
        <v>0</v>
      </c>
      <c r="V228" s="380">
        <v>18490.37</v>
      </c>
      <c r="W228" s="380">
        <v>32676.799999999999</v>
      </c>
      <c r="X228" s="380">
        <v>19426.060000000001</v>
      </c>
      <c r="Y228" s="380">
        <v>32676.799999999999</v>
      </c>
      <c r="Z228" s="380">
        <v>19520.830000000002</v>
      </c>
      <c r="AA228" s="376" t="s">
        <v>832</v>
      </c>
      <c r="AB228" s="376" t="s">
        <v>833</v>
      </c>
      <c r="AC228" s="376" t="s">
        <v>834</v>
      </c>
      <c r="AD228" s="376" t="s">
        <v>395</v>
      </c>
      <c r="AE228" s="376" t="s">
        <v>186</v>
      </c>
      <c r="AF228" s="376" t="s">
        <v>190</v>
      </c>
      <c r="AG228" s="376" t="s">
        <v>178</v>
      </c>
      <c r="AH228" s="381">
        <v>15.71</v>
      </c>
      <c r="AI228" s="381">
        <v>24460.9</v>
      </c>
      <c r="AJ228" s="376" t="s">
        <v>179</v>
      </c>
      <c r="AK228" s="376" t="s">
        <v>180</v>
      </c>
      <c r="AL228" s="376" t="s">
        <v>181</v>
      </c>
      <c r="AM228" s="376" t="s">
        <v>182</v>
      </c>
      <c r="AN228" s="376" t="s">
        <v>68</v>
      </c>
      <c r="AO228" s="379">
        <v>80</v>
      </c>
      <c r="AP228" s="460">
        <v>1</v>
      </c>
      <c r="AQ228" s="460">
        <v>1</v>
      </c>
      <c r="AR228" s="458" t="s">
        <v>183</v>
      </c>
      <c r="AS228" s="462">
        <f t="shared" si="51"/>
        <v>1</v>
      </c>
      <c r="AT228">
        <f t="shared" si="52"/>
        <v>1</v>
      </c>
      <c r="AU228" s="462">
        <f>IF(AT228=0,"",IF(AND(AT228=1,M228="F",SUMIF(C2:C391,C228,AS2:AS391)&lt;=1),SUMIF(C2:C391,C228,AS2:AS391),IF(AND(AT228=1,M228="F",SUMIF(C2:C391,C228,AS2:AS391)&gt;1),1,"")))</f>
        <v>1</v>
      </c>
      <c r="AV228" s="462" t="str">
        <f>IF(AT228=0,"",IF(AND(AT228=3,M228="F",SUMIF(C2:C391,C228,AS2:AS391)&lt;=1),SUMIF(C2:C391,C228,AS2:AS391),IF(AND(AT228=3,M228="F",SUMIF(C2:C391,C228,AS2:AS391)&gt;1),1,"")))</f>
        <v/>
      </c>
      <c r="AW228" s="462">
        <f>SUMIF(C2:C391,C228,O2:O391)</f>
        <v>1</v>
      </c>
      <c r="AX228" s="462">
        <f>IF(AND(M228="F",AS228&lt;&gt;0),SUMIF(C2:C391,C228,W2:W391),0)</f>
        <v>32676.799999999999</v>
      </c>
      <c r="AY228" s="462">
        <f t="shared" si="53"/>
        <v>32676.799999999999</v>
      </c>
      <c r="AZ228" s="462" t="str">
        <f t="shared" si="54"/>
        <v/>
      </c>
      <c r="BA228" s="462">
        <f t="shared" si="55"/>
        <v>0</v>
      </c>
      <c r="BB228" s="462">
        <f>IF(AND(AT228=1,AK228="E",AU228&gt;=0.75,AW228=1),Health,IF(AND(AT228=1,AK228="E",AU228&gt;=0.75),Health*P228,IF(AND(AT228=1,AK228="E",AU228&gt;=0.5,AW228=1),PTHealth,IF(AND(AT228=1,AK228="E",AU228&gt;=0.5),PTHealth*P228,0))))</f>
        <v>11650</v>
      </c>
      <c r="BC228" s="462">
        <f>IF(AND(AT228=3,AK228="E",AV228&gt;=0.75,AW228=1),Health,IF(AND(AT228=3,AK228="E",AV228&gt;=0.75),Health*P228,IF(AND(AT228=3,AK228="E",AV228&gt;=0.5,AW228=1),PTHealth,IF(AND(AT228=3,AK228="E",AV228&gt;=0.5),PTHealth*P228,0))))</f>
        <v>0</v>
      </c>
      <c r="BD228" s="462">
        <f>IF(AND(AT228&lt;&gt;0,AX228&gt;=MAXSSDI),SSDI*MAXSSDI*P228,IF(AT228&lt;&gt;0,SSDI*W228,0))</f>
        <v>2025.9615999999999</v>
      </c>
      <c r="BE228" s="462">
        <f>IF(AT228&lt;&gt;0,SSHI*W228,0)</f>
        <v>473.81360000000001</v>
      </c>
      <c r="BF228" s="462">
        <f>IF(AND(AT228&lt;&gt;0,AN228&lt;&gt;"NE"),VLOOKUP(AN228,Retirement_Rates,3,FALSE)*W228,0)</f>
        <v>3901.6099200000003</v>
      </c>
      <c r="BG228" s="462">
        <f>IF(AND(AT228&lt;&gt;0,AJ228&lt;&gt;"PF"),Life*W228,0)</f>
        <v>235.599728</v>
      </c>
      <c r="BH228" s="462">
        <f>IF(AND(AT228&lt;&gt;0,AM228="Y"),UI*W228,0)</f>
        <v>160.11632</v>
      </c>
      <c r="BI228" s="462">
        <f>IF(AND(AT228&lt;&gt;0,N228&lt;&gt;"NR"),DHR*W228,0)</f>
        <v>99.991007999999994</v>
      </c>
      <c r="BJ228" s="462">
        <f>IF(AT228&lt;&gt;0,WC*W228,0)</f>
        <v>879.00591999999995</v>
      </c>
      <c r="BK228" s="462">
        <f>IF(OR(AND(AT228&lt;&gt;0,AJ228&lt;&gt;"PF",AN228&lt;&gt;"NE",AG228&lt;&gt;"A"),AND(AL228="E",OR(AT228=1,AT228=3))),Sick*W228,0)</f>
        <v>0</v>
      </c>
      <c r="BL228" s="462">
        <f t="shared" si="56"/>
        <v>7776.0980960000006</v>
      </c>
      <c r="BM228" s="462">
        <f t="shared" si="57"/>
        <v>0</v>
      </c>
      <c r="BN228" s="462">
        <f>IF(AND(AT228=1,AK228="E",AU228&gt;=0.75,AW228=1),HealthBY,IF(AND(AT228=1,AK228="E",AU228&gt;=0.75),HealthBY*P228,IF(AND(AT228=1,AK228="E",AU228&gt;=0.5,AW228=1),PTHealthBY,IF(AND(AT228=1,AK228="E",AU228&gt;=0.5),PTHealthBY*P228,0))))</f>
        <v>11650</v>
      </c>
      <c r="BO228" s="462">
        <f>IF(AND(AT228=3,AK228="E",AV228&gt;=0.75,AW228=1),HealthBY,IF(AND(AT228=3,AK228="E",AV228&gt;=0.75),HealthBY*P228,IF(AND(AT228=3,AK228="E",AV228&gt;=0.5,AW228=1),PTHealthBY,IF(AND(AT228=3,AK228="E",AV228&gt;=0.5),PTHealthBY*P228,0))))</f>
        <v>0</v>
      </c>
      <c r="BP228" s="462">
        <f>IF(AND(AT228&lt;&gt;0,(AX228+BA228)&gt;=MAXSSDIBY),SSDIBY*MAXSSDIBY*P228,IF(AT228&lt;&gt;0,SSDIBY*W228,0))</f>
        <v>2025.9615999999999</v>
      </c>
      <c r="BQ228" s="462">
        <f>IF(AT228&lt;&gt;0,SSHIBY*W228,0)</f>
        <v>473.81360000000001</v>
      </c>
      <c r="BR228" s="462">
        <f>IF(AND(AT228&lt;&gt;0,AN228&lt;&gt;"NE"),VLOOKUP(AN228,Retirement_Rates,4,FALSE)*W228,0)</f>
        <v>3901.6099200000003</v>
      </c>
      <c r="BS228" s="462">
        <f>IF(AND(AT228&lt;&gt;0,AJ228&lt;&gt;"PF"),LifeBY*W228,0)</f>
        <v>235.599728</v>
      </c>
      <c r="BT228" s="462">
        <f>IF(AND(AT228&lt;&gt;0,AM228="Y"),UIBY*W228,0)</f>
        <v>0</v>
      </c>
      <c r="BU228" s="462">
        <f>IF(AND(AT228&lt;&gt;0,N228&lt;&gt;"NR"),DHRBY*W228,0)</f>
        <v>99.991007999999994</v>
      </c>
      <c r="BV228" s="462">
        <f>IF(AT228&lt;&gt;0,WCBY*W228,0)</f>
        <v>1133.8849600000001</v>
      </c>
      <c r="BW228" s="462">
        <f>IF(OR(AND(AT228&lt;&gt;0,AJ228&lt;&gt;"PF",AN228&lt;&gt;"NE",AG228&lt;&gt;"A"),AND(AL228="E",OR(AT228=1,AT228=3))),SickBY*W228,0)</f>
        <v>0</v>
      </c>
      <c r="BX228" s="462">
        <f t="shared" si="58"/>
        <v>7870.8608160000013</v>
      </c>
      <c r="BY228" s="462">
        <f t="shared" si="59"/>
        <v>0</v>
      </c>
      <c r="BZ228" s="462">
        <f t="shared" si="60"/>
        <v>0</v>
      </c>
      <c r="CA228" s="462">
        <f t="shared" si="61"/>
        <v>0</v>
      </c>
      <c r="CB228" s="462">
        <f t="shared" si="62"/>
        <v>0</v>
      </c>
      <c r="CC228" s="462">
        <f>IF(AT228&lt;&gt;0,SSHICHG*Y228,0)</f>
        <v>0</v>
      </c>
      <c r="CD228" s="462">
        <f>IF(AND(AT228&lt;&gt;0,AN228&lt;&gt;"NE"),VLOOKUP(AN228,Retirement_Rates,5,FALSE)*Y228,0)</f>
        <v>0</v>
      </c>
      <c r="CE228" s="462">
        <f>IF(AND(AT228&lt;&gt;0,AJ228&lt;&gt;"PF"),LifeCHG*Y228,0)</f>
        <v>0</v>
      </c>
      <c r="CF228" s="462">
        <f>IF(AND(AT228&lt;&gt;0,AM228="Y"),UICHG*Y228,0)</f>
        <v>-160.11632</v>
      </c>
      <c r="CG228" s="462">
        <f>IF(AND(AT228&lt;&gt;0,N228&lt;&gt;"NR"),DHRCHG*Y228,0)</f>
        <v>0</v>
      </c>
      <c r="CH228" s="462">
        <f>IF(AT228&lt;&gt;0,WCCHG*Y228,0)</f>
        <v>254.87904000000003</v>
      </c>
      <c r="CI228" s="462">
        <f>IF(OR(AND(AT228&lt;&gt;0,AJ228&lt;&gt;"PF",AN228&lt;&gt;"NE",AG228&lt;&gt;"A"),AND(AL228="E",OR(AT228=1,AT228=3))),SickCHG*Y228,0)</f>
        <v>0</v>
      </c>
      <c r="CJ228" s="462">
        <f t="shared" si="63"/>
        <v>94.76272000000003</v>
      </c>
      <c r="CK228" s="462" t="str">
        <f t="shared" si="64"/>
        <v/>
      </c>
      <c r="CL228" s="462" t="str">
        <f t="shared" si="65"/>
        <v/>
      </c>
      <c r="CM228" s="462" t="str">
        <f t="shared" si="66"/>
        <v/>
      </c>
      <c r="CN228" s="462" t="str">
        <f t="shared" si="67"/>
        <v>0243-00</v>
      </c>
    </row>
    <row r="229" spans="1:92" ht="15" thickBot="1" x14ac:dyDescent="0.35">
      <c r="A229" s="376" t="s">
        <v>161</v>
      </c>
      <c r="B229" s="376" t="s">
        <v>162</v>
      </c>
      <c r="C229" s="376" t="s">
        <v>835</v>
      </c>
      <c r="D229" s="376" t="s">
        <v>221</v>
      </c>
      <c r="E229" s="376" t="s">
        <v>273</v>
      </c>
      <c r="F229" s="377" t="s">
        <v>166</v>
      </c>
      <c r="G229" s="376" t="s">
        <v>432</v>
      </c>
      <c r="H229" s="378"/>
      <c r="I229" s="378"/>
      <c r="J229" s="376" t="s">
        <v>168</v>
      </c>
      <c r="K229" s="376" t="s">
        <v>222</v>
      </c>
      <c r="L229" s="376" t="s">
        <v>166</v>
      </c>
      <c r="M229" s="376" t="s">
        <v>171</v>
      </c>
      <c r="N229" s="376" t="s">
        <v>223</v>
      </c>
      <c r="O229" s="379">
        <v>0</v>
      </c>
      <c r="P229" s="460">
        <v>1</v>
      </c>
      <c r="Q229" s="460">
        <v>0</v>
      </c>
      <c r="R229" s="380">
        <v>0</v>
      </c>
      <c r="S229" s="460">
        <v>0</v>
      </c>
      <c r="T229" s="380">
        <v>40865.5</v>
      </c>
      <c r="U229" s="380">
        <v>1053.75</v>
      </c>
      <c r="V229" s="380">
        <v>6870.63</v>
      </c>
      <c r="W229" s="380">
        <v>41919.25</v>
      </c>
      <c r="X229" s="380">
        <v>6870.63</v>
      </c>
      <c r="Y229" s="380">
        <v>41919.25</v>
      </c>
      <c r="Z229" s="380">
        <v>6870.63</v>
      </c>
      <c r="AA229" s="378"/>
      <c r="AB229" s="376" t="s">
        <v>45</v>
      </c>
      <c r="AC229" s="376" t="s">
        <v>45</v>
      </c>
      <c r="AD229" s="378"/>
      <c r="AE229" s="378"/>
      <c r="AF229" s="378"/>
      <c r="AG229" s="378"/>
      <c r="AH229" s="379">
        <v>0</v>
      </c>
      <c r="AI229" s="379">
        <v>0</v>
      </c>
      <c r="AJ229" s="378"/>
      <c r="AK229" s="378"/>
      <c r="AL229" s="376" t="s">
        <v>181</v>
      </c>
      <c r="AM229" s="378"/>
      <c r="AN229" s="378"/>
      <c r="AO229" s="379">
        <v>0</v>
      </c>
      <c r="AP229" s="460">
        <v>0</v>
      </c>
      <c r="AQ229" s="460">
        <v>0</v>
      </c>
      <c r="AR229" s="459"/>
      <c r="AS229" s="462">
        <f t="shared" si="51"/>
        <v>0</v>
      </c>
      <c r="AT229">
        <f t="shared" si="52"/>
        <v>0</v>
      </c>
      <c r="AU229" s="462" t="str">
        <f>IF(AT229=0,"",IF(AND(AT229=1,M229="F",SUMIF(C2:C391,C229,AS2:AS391)&lt;=1),SUMIF(C2:C391,C229,AS2:AS391),IF(AND(AT229=1,M229="F",SUMIF(C2:C391,C229,AS2:AS391)&gt;1),1,"")))</f>
        <v/>
      </c>
      <c r="AV229" s="462" t="str">
        <f>IF(AT229=0,"",IF(AND(AT229=3,M229="F",SUMIF(C2:C391,C229,AS2:AS391)&lt;=1),SUMIF(C2:C391,C229,AS2:AS391),IF(AND(AT229=3,M229="F",SUMIF(C2:C391,C229,AS2:AS391)&gt;1),1,"")))</f>
        <v/>
      </c>
      <c r="AW229" s="462">
        <f>SUMIF(C2:C391,C229,O2:O391)</f>
        <v>0</v>
      </c>
      <c r="AX229" s="462">
        <f>IF(AND(M229="F",AS229&lt;&gt;0),SUMIF(C2:C391,C229,W2:W391),0)</f>
        <v>0</v>
      </c>
      <c r="AY229" s="462" t="str">
        <f t="shared" si="53"/>
        <v/>
      </c>
      <c r="AZ229" s="462" t="str">
        <f t="shared" si="54"/>
        <v/>
      </c>
      <c r="BA229" s="462">
        <f t="shared" si="55"/>
        <v>0</v>
      </c>
      <c r="BB229" s="462">
        <f>IF(AND(AT229=1,AK229="E",AU229&gt;=0.75,AW229=1),Health,IF(AND(AT229=1,AK229="E",AU229&gt;=0.75),Health*P229,IF(AND(AT229=1,AK229="E",AU229&gt;=0.5,AW229=1),PTHealth,IF(AND(AT229=1,AK229="E",AU229&gt;=0.5),PTHealth*P229,0))))</f>
        <v>0</v>
      </c>
      <c r="BC229" s="462">
        <f>IF(AND(AT229=3,AK229="E",AV229&gt;=0.75,AW229=1),Health,IF(AND(AT229=3,AK229="E",AV229&gt;=0.75),Health*P229,IF(AND(AT229=3,AK229="E",AV229&gt;=0.5,AW229=1),PTHealth,IF(AND(AT229=3,AK229="E",AV229&gt;=0.5),PTHealth*P229,0))))</f>
        <v>0</v>
      </c>
      <c r="BD229" s="462">
        <f>IF(AND(AT229&lt;&gt;0,AX229&gt;=MAXSSDI),SSDI*MAXSSDI*P229,IF(AT229&lt;&gt;0,SSDI*W229,0))</f>
        <v>0</v>
      </c>
      <c r="BE229" s="462">
        <f>IF(AT229&lt;&gt;0,SSHI*W229,0)</f>
        <v>0</v>
      </c>
      <c r="BF229" s="462">
        <f>IF(AND(AT229&lt;&gt;0,AN229&lt;&gt;"NE"),VLOOKUP(AN229,Retirement_Rates,3,FALSE)*W229,0)</f>
        <v>0</v>
      </c>
      <c r="BG229" s="462">
        <f>IF(AND(AT229&lt;&gt;0,AJ229&lt;&gt;"PF"),Life*W229,0)</f>
        <v>0</v>
      </c>
      <c r="BH229" s="462">
        <f>IF(AND(AT229&lt;&gt;0,AM229="Y"),UI*W229,0)</f>
        <v>0</v>
      </c>
      <c r="BI229" s="462">
        <f>IF(AND(AT229&lt;&gt;0,N229&lt;&gt;"NR"),DHR*W229,0)</f>
        <v>0</v>
      </c>
      <c r="BJ229" s="462">
        <f>IF(AT229&lt;&gt;0,WC*W229,0)</f>
        <v>0</v>
      </c>
      <c r="BK229" s="462">
        <f>IF(OR(AND(AT229&lt;&gt;0,AJ229&lt;&gt;"PF",AN229&lt;&gt;"NE",AG229&lt;&gt;"A"),AND(AL229="E",OR(AT229=1,AT229=3))),Sick*W229,0)</f>
        <v>0</v>
      </c>
      <c r="BL229" s="462">
        <f t="shared" si="56"/>
        <v>0</v>
      </c>
      <c r="BM229" s="462">
        <f t="shared" si="57"/>
        <v>0</v>
      </c>
      <c r="BN229" s="462">
        <f>IF(AND(AT229=1,AK229="E",AU229&gt;=0.75,AW229=1),HealthBY,IF(AND(AT229=1,AK229="E",AU229&gt;=0.75),HealthBY*P229,IF(AND(AT229=1,AK229="E",AU229&gt;=0.5,AW229=1),PTHealthBY,IF(AND(AT229=1,AK229="E",AU229&gt;=0.5),PTHealthBY*P229,0))))</f>
        <v>0</v>
      </c>
      <c r="BO229" s="462">
        <f>IF(AND(AT229=3,AK229="E",AV229&gt;=0.75,AW229=1),HealthBY,IF(AND(AT229=3,AK229="E",AV229&gt;=0.75),HealthBY*P229,IF(AND(AT229=3,AK229="E",AV229&gt;=0.5,AW229=1),PTHealthBY,IF(AND(AT229=3,AK229="E",AV229&gt;=0.5),PTHealthBY*P229,0))))</f>
        <v>0</v>
      </c>
      <c r="BP229" s="462">
        <f>IF(AND(AT229&lt;&gt;0,(AX229+BA229)&gt;=MAXSSDIBY),SSDIBY*MAXSSDIBY*P229,IF(AT229&lt;&gt;0,SSDIBY*W229,0))</f>
        <v>0</v>
      </c>
      <c r="BQ229" s="462">
        <f>IF(AT229&lt;&gt;0,SSHIBY*W229,0)</f>
        <v>0</v>
      </c>
      <c r="BR229" s="462">
        <f>IF(AND(AT229&lt;&gt;0,AN229&lt;&gt;"NE"),VLOOKUP(AN229,Retirement_Rates,4,FALSE)*W229,0)</f>
        <v>0</v>
      </c>
      <c r="BS229" s="462">
        <f>IF(AND(AT229&lt;&gt;0,AJ229&lt;&gt;"PF"),LifeBY*W229,0)</f>
        <v>0</v>
      </c>
      <c r="BT229" s="462">
        <f>IF(AND(AT229&lt;&gt;0,AM229="Y"),UIBY*W229,0)</f>
        <v>0</v>
      </c>
      <c r="BU229" s="462">
        <f>IF(AND(AT229&lt;&gt;0,N229&lt;&gt;"NR"),DHRBY*W229,0)</f>
        <v>0</v>
      </c>
      <c r="BV229" s="462">
        <f>IF(AT229&lt;&gt;0,WCBY*W229,0)</f>
        <v>0</v>
      </c>
      <c r="BW229" s="462">
        <f>IF(OR(AND(AT229&lt;&gt;0,AJ229&lt;&gt;"PF",AN229&lt;&gt;"NE",AG229&lt;&gt;"A"),AND(AL229="E",OR(AT229=1,AT229=3))),SickBY*W229,0)</f>
        <v>0</v>
      </c>
      <c r="BX229" s="462">
        <f t="shared" si="58"/>
        <v>0</v>
      </c>
      <c r="BY229" s="462">
        <f t="shared" si="59"/>
        <v>0</v>
      </c>
      <c r="BZ229" s="462">
        <f t="shared" si="60"/>
        <v>0</v>
      </c>
      <c r="CA229" s="462">
        <f t="shared" si="61"/>
        <v>0</v>
      </c>
      <c r="CB229" s="462">
        <f t="shared" si="62"/>
        <v>0</v>
      </c>
      <c r="CC229" s="462">
        <f>IF(AT229&lt;&gt;0,SSHICHG*Y229,0)</f>
        <v>0</v>
      </c>
      <c r="CD229" s="462">
        <f>IF(AND(AT229&lt;&gt;0,AN229&lt;&gt;"NE"),VLOOKUP(AN229,Retirement_Rates,5,FALSE)*Y229,0)</f>
        <v>0</v>
      </c>
      <c r="CE229" s="462">
        <f>IF(AND(AT229&lt;&gt;0,AJ229&lt;&gt;"PF"),LifeCHG*Y229,0)</f>
        <v>0</v>
      </c>
      <c r="CF229" s="462">
        <f>IF(AND(AT229&lt;&gt;0,AM229="Y"),UICHG*Y229,0)</f>
        <v>0</v>
      </c>
      <c r="CG229" s="462">
        <f>IF(AND(AT229&lt;&gt;0,N229&lt;&gt;"NR"),DHRCHG*Y229,0)</f>
        <v>0</v>
      </c>
      <c r="CH229" s="462">
        <f>IF(AT229&lt;&gt;0,WCCHG*Y229,0)</f>
        <v>0</v>
      </c>
      <c r="CI229" s="462">
        <f>IF(OR(AND(AT229&lt;&gt;0,AJ229&lt;&gt;"PF",AN229&lt;&gt;"NE",AG229&lt;&gt;"A"),AND(AL229="E",OR(AT229=1,AT229=3))),SickCHG*Y229,0)</f>
        <v>0</v>
      </c>
      <c r="CJ229" s="462">
        <f t="shared" si="63"/>
        <v>0</v>
      </c>
      <c r="CK229" s="462" t="str">
        <f t="shared" si="64"/>
        <v/>
      </c>
      <c r="CL229" s="462">
        <f t="shared" si="65"/>
        <v>41919.25</v>
      </c>
      <c r="CM229" s="462">
        <f t="shared" si="66"/>
        <v>6870.63</v>
      </c>
      <c r="CN229" s="462" t="str">
        <f t="shared" si="67"/>
        <v>0243-00</v>
      </c>
    </row>
    <row r="230" spans="1:92" ht="15" thickBot="1" x14ac:dyDescent="0.35">
      <c r="A230" s="376" t="s">
        <v>161</v>
      </c>
      <c r="B230" s="376" t="s">
        <v>162</v>
      </c>
      <c r="C230" s="376" t="s">
        <v>836</v>
      </c>
      <c r="D230" s="376" t="s">
        <v>837</v>
      </c>
      <c r="E230" s="376" t="s">
        <v>273</v>
      </c>
      <c r="F230" s="377" t="s">
        <v>166</v>
      </c>
      <c r="G230" s="376" t="s">
        <v>432</v>
      </c>
      <c r="H230" s="378"/>
      <c r="I230" s="378"/>
      <c r="J230" s="376" t="s">
        <v>229</v>
      </c>
      <c r="K230" s="376" t="s">
        <v>838</v>
      </c>
      <c r="L230" s="376" t="s">
        <v>181</v>
      </c>
      <c r="M230" s="376" t="s">
        <v>171</v>
      </c>
      <c r="N230" s="376" t="s">
        <v>172</v>
      </c>
      <c r="O230" s="379">
        <v>1</v>
      </c>
      <c r="P230" s="460">
        <v>0.7</v>
      </c>
      <c r="Q230" s="460">
        <v>0.7</v>
      </c>
      <c r="R230" s="380">
        <v>80</v>
      </c>
      <c r="S230" s="460">
        <v>0.7</v>
      </c>
      <c r="T230" s="380">
        <v>45335.32</v>
      </c>
      <c r="U230" s="380">
        <v>0</v>
      </c>
      <c r="V230" s="380">
        <v>18101.89</v>
      </c>
      <c r="W230" s="380">
        <v>46621.120000000003</v>
      </c>
      <c r="X230" s="380">
        <v>19249.400000000001</v>
      </c>
      <c r="Y230" s="380">
        <v>46621.120000000003</v>
      </c>
      <c r="Z230" s="380">
        <v>19384.61</v>
      </c>
      <c r="AA230" s="376" t="s">
        <v>839</v>
      </c>
      <c r="AB230" s="376" t="s">
        <v>840</v>
      </c>
      <c r="AC230" s="376" t="s">
        <v>841</v>
      </c>
      <c r="AD230" s="376" t="s">
        <v>574</v>
      </c>
      <c r="AE230" s="376" t="s">
        <v>838</v>
      </c>
      <c r="AF230" s="376" t="s">
        <v>206</v>
      </c>
      <c r="AG230" s="376" t="s">
        <v>178</v>
      </c>
      <c r="AH230" s="381">
        <v>32.020000000000003</v>
      </c>
      <c r="AI230" s="381">
        <v>46473.1</v>
      </c>
      <c r="AJ230" s="376" t="s">
        <v>179</v>
      </c>
      <c r="AK230" s="376" t="s">
        <v>180</v>
      </c>
      <c r="AL230" s="376" t="s">
        <v>181</v>
      </c>
      <c r="AM230" s="376" t="s">
        <v>182</v>
      </c>
      <c r="AN230" s="376" t="s">
        <v>68</v>
      </c>
      <c r="AO230" s="379">
        <v>80</v>
      </c>
      <c r="AP230" s="460">
        <v>1</v>
      </c>
      <c r="AQ230" s="460">
        <v>0.7</v>
      </c>
      <c r="AR230" s="458" t="s">
        <v>183</v>
      </c>
      <c r="AS230" s="462">
        <f t="shared" si="51"/>
        <v>0.7</v>
      </c>
      <c r="AT230">
        <f t="shared" si="52"/>
        <v>1</v>
      </c>
      <c r="AU230" s="462">
        <f>IF(AT230=0,"",IF(AND(AT230=1,M230="F",SUMIF(C2:C391,C230,AS2:AS391)&lt;=1),SUMIF(C2:C391,C230,AS2:AS391),IF(AND(AT230=1,M230="F",SUMIF(C2:C391,C230,AS2:AS391)&gt;1),1,"")))</f>
        <v>1</v>
      </c>
      <c r="AV230" s="462" t="str">
        <f>IF(AT230=0,"",IF(AND(AT230=3,M230="F",SUMIF(C2:C391,C230,AS2:AS391)&lt;=1),SUMIF(C2:C391,C230,AS2:AS391),IF(AND(AT230=3,M230="F",SUMIF(C2:C391,C230,AS2:AS391)&gt;1),1,"")))</f>
        <v/>
      </c>
      <c r="AW230" s="462">
        <f>SUMIF(C2:C391,C230,O2:O391)</f>
        <v>2</v>
      </c>
      <c r="AX230" s="462">
        <f>IF(AND(M230="F",AS230&lt;&gt;0),SUMIF(C2:C391,C230,W2:W391),0)</f>
        <v>66601.600000000006</v>
      </c>
      <c r="AY230" s="462">
        <f t="shared" si="53"/>
        <v>46621.120000000003</v>
      </c>
      <c r="AZ230" s="462" t="str">
        <f t="shared" si="54"/>
        <v/>
      </c>
      <c r="BA230" s="462">
        <f t="shared" si="55"/>
        <v>0</v>
      </c>
      <c r="BB230" s="462">
        <f>IF(AND(AT230=1,AK230="E",AU230&gt;=0.75,AW230=1),Health,IF(AND(AT230=1,AK230="E",AU230&gt;=0.75),Health*P230,IF(AND(AT230=1,AK230="E",AU230&gt;=0.5,AW230=1),PTHealth,IF(AND(AT230=1,AK230="E",AU230&gt;=0.5),PTHealth*P230,0))))</f>
        <v>8154.9999999999991</v>
      </c>
      <c r="BC230" s="462">
        <f>IF(AND(AT230=3,AK230="E",AV230&gt;=0.75,AW230=1),Health,IF(AND(AT230=3,AK230="E",AV230&gt;=0.75),Health*P230,IF(AND(AT230=3,AK230="E",AV230&gt;=0.5,AW230=1),PTHealth,IF(AND(AT230=3,AK230="E",AV230&gt;=0.5),PTHealth*P230,0))))</f>
        <v>0</v>
      </c>
      <c r="BD230" s="462">
        <f>IF(AND(AT230&lt;&gt;0,AX230&gt;=MAXSSDI),SSDI*MAXSSDI*P230,IF(AT230&lt;&gt;0,SSDI*W230,0))</f>
        <v>2890.5094400000003</v>
      </c>
      <c r="BE230" s="462">
        <f>IF(AT230&lt;&gt;0,SSHI*W230,0)</f>
        <v>676.00624000000005</v>
      </c>
      <c r="BF230" s="462">
        <f>IF(AND(AT230&lt;&gt;0,AN230&lt;&gt;"NE"),VLOOKUP(AN230,Retirement_Rates,3,FALSE)*W230,0)</f>
        <v>5566.5617280000006</v>
      </c>
      <c r="BG230" s="462">
        <f>IF(AND(AT230&lt;&gt;0,AJ230&lt;&gt;"PF"),Life*W230,0)</f>
        <v>336.13827520000001</v>
      </c>
      <c r="BH230" s="462">
        <f>IF(AND(AT230&lt;&gt;0,AM230="Y"),UI*W230,0)</f>
        <v>228.443488</v>
      </c>
      <c r="BI230" s="462">
        <f>IF(AND(AT230&lt;&gt;0,N230&lt;&gt;"NR"),DHR*W230,0)</f>
        <v>142.66062719999999</v>
      </c>
      <c r="BJ230" s="462">
        <f>IF(AT230&lt;&gt;0,WC*W230,0)</f>
        <v>1254.1081280000001</v>
      </c>
      <c r="BK230" s="462">
        <f>IF(OR(AND(AT230&lt;&gt;0,AJ230&lt;&gt;"PF",AN230&lt;&gt;"NE",AG230&lt;&gt;"A"),AND(AL230="E",OR(AT230=1,AT230=3))),Sick*W230,0)</f>
        <v>0</v>
      </c>
      <c r="BL230" s="462">
        <f t="shared" si="56"/>
        <v>11094.427926400003</v>
      </c>
      <c r="BM230" s="462">
        <f t="shared" si="57"/>
        <v>0</v>
      </c>
      <c r="BN230" s="462">
        <f>IF(AND(AT230=1,AK230="E",AU230&gt;=0.75,AW230=1),HealthBY,IF(AND(AT230=1,AK230="E",AU230&gt;=0.75),HealthBY*P230,IF(AND(AT230=1,AK230="E",AU230&gt;=0.5,AW230=1),PTHealthBY,IF(AND(AT230=1,AK230="E",AU230&gt;=0.5),PTHealthBY*P230,0))))</f>
        <v>8154.9999999999991</v>
      </c>
      <c r="BO230" s="462">
        <f>IF(AND(AT230=3,AK230="E",AV230&gt;=0.75,AW230=1),HealthBY,IF(AND(AT230=3,AK230="E",AV230&gt;=0.75),HealthBY*P230,IF(AND(AT230=3,AK230="E",AV230&gt;=0.5,AW230=1),PTHealthBY,IF(AND(AT230=3,AK230="E",AV230&gt;=0.5),PTHealthBY*P230,0))))</f>
        <v>0</v>
      </c>
      <c r="BP230" s="462">
        <f>IF(AND(AT230&lt;&gt;0,(AX230+BA230)&gt;=MAXSSDIBY),SSDIBY*MAXSSDIBY*P230,IF(AT230&lt;&gt;0,SSDIBY*W230,0))</f>
        <v>2890.5094400000003</v>
      </c>
      <c r="BQ230" s="462">
        <f>IF(AT230&lt;&gt;0,SSHIBY*W230,0)</f>
        <v>676.00624000000005</v>
      </c>
      <c r="BR230" s="462">
        <f>IF(AND(AT230&lt;&gt;0,AN230&lt;&gt;"NE"),VLOOKUP(AN230,Retirement_Rates,4,FALSE)*W230,0)</f>
        <v>5566.5617280000006</v>
      </c>
      <c r="BS230" s="462">
        <f>IF(AND(AT230&lt;&gt;0,AJ230&lt;&gt;"PF"),LifeBY*W230,0)</f>
        <v>336.13827520000001</v>
      </c>
      <c r="BT230" s="462">
        <f>IF(AND(AT230&lt;&gt;0,AM230="Y"),UIBY*W230,0)</f>
        <v>0</v>
      </c>
      <c r="BU230" s="462">
        <f>IF(AND(AT230&lt;&gt;0,N230&lt;&gt;"NR"),DHRBY*W230,0)</f>
        <v>142.66062719999999</v>
      </c>
      <c r="BV230" s="462">
        <f>IF(AT230&lt;&gt;0,WCBY*W230,0)</f>
        <v>1617.7528640000003</v>
      </c>
      <c r="BW230" s="462">
        <f>IF(OR(AND(AT230&lt;&gt;0,AJ230&lt;&gt;"PF",AN230&lt;&gt;"NE",AG230&lt;&gt;"A"),AND(AL230="E",OR(AT230=1,AT230=3))),SickBY*W230,0)</f>
        <v>0</v>
      </c>
      <c r="BX230" s="462">
        <f t="shared" si="58"/>
        <v>11229.629174400003</v>
      </c>
      <c r="BY230" s="462">
        <f t="shared" si="59"/>
        <v>0</v>
      </c>
      <c r="BZ230" s="462">
        <f t="shared" si="60"/>
        <v>0</v>
      </c>
      <c r="CA230" s="462">
        <f t="shared" si="61"/>
        <v>0</v>
      </c>
      <c r="CB230" s="462">
        <f t="shared" si="62"/>
        <v>0</v>
      </c>
      <c r="CC230" s="462">
        <f>IF(AT230&lt;&gt;0,SSHICHG*Y230,0)</f>
        <v>0</v>
      </c>
      <c r="CD230" s="462">
        <f>IF(AND(AT230&lt;&gt;0,AN230&lt;&gt;"NE"),VLOOKUP(AN230,Retirement_Rates,5,FALSE)*Y230,0)</f>
        <v>0</v>
      </c>
      <c r="CE230" s="462">
        <f>IF(AND(AT230&lt;&gt;0,AJ230&lt;&gt;"PF"),LifeCHG*Y230,0)</f>
        <v>0</v>
      </c>
      <c r="CF230" s="462">
        <f>IF(AND(AT230&lt;&gt;0,AM230="Y"),UICHG*Y230,0)</f>
        <v>-228.443488</v>
      </c>
      <c r="CG230" s="462">
        <f>IF(AND(AT230&lt;&gt;0,N230&lt;&gt;"NR"),DHRCHG*Y230,0)</f>
        <v>0</v>
      </c>
      <c r="CH230" s="462">
        <f>IF(AT230&lt;&gt;0,WCCHG*Y230,0)</f>
        <v>363.64473600000008</v>
      </c>
      <c r="CI230" s="462">
        <f>IF(OR(AND(AT230&lt;&gt;0,AJ230&lt;&gt;"PF",AN230&lt;&gt;"NE",AG230&lt;&gt;"A"),AND(AL230="E",OR(AT230=1,AT230=3))),SickCHG*Y230,0)</f>
        <v>0</v>
      </c>
      <c r="CJ230" s="462">
        <f t="shared" si="63"/>
        <v>135.20124800000008</v>
      </c>
      <c r="CK230" s="462" t="str">
        <f t="shared" si="64"/>
        <v/>
      </c>
      <c r="CL230" s="462" t="str">
        <f t="shared" si="65"/>
        <v/>
      </c>
      <c r="CM230" s="462" t="str">
        <f t="shared" si="66"/>
        <v/>
      </c>
      <c r="CN230" s="462" t="str">
        <f t="shared" si="67"/>
        <v>0243-00</v>
      </c>
    </row>
    <row r="231" spans="1:92" ht="15" thickBot="1" x14ac:dyDescent="0.35">
      <c r="A231" s="376" t="s">
        <v>161</v>
      </c>
      <c r="B231" s="376" t="s">
        <v>162</v>
      </c>
      <c r="C231" s="376" t="s">
        <v>842</v>
      </c>
      <c r="D231" s="376" t="s">
        <v>221</v>
      </c>
      <c r="E231" s="376" t="s">
        <v>273</v>
      </c>
      <c r="F231" s="377" t="s">
        <v>166</v>
      </c>
      <c r="G231" s="376" t="s">
        <v>432</v>
      </c>
      <c r="H231" s="378"/>
      <c r="I231" s="378"/>
      <c r="J231" s="376" t="s">
        <v>168</v>
      </c>
      <c r="K231" s="376" t="s">
        <v>222</v>
      </c>
      <c r="L231" s="376" t="s">
        <v>166</v>
      </c>
      <c r="M231" s="376" t="s">
        <v>225</v>
      </c>
      <c r="N231" s="376" t="s">
        <v>223</v>
      </c>
      <c r="O231" s="379">
        <v>0</v>
      </c>
      <c r="P231" s="460">
        <v>1</v>
      </c>
      <c r="Q231" s="460">
        <v>0</v>
      </c>
      <c r="R231" s="380">
        <v>0</v>
      </c>
      <c r="S231" s="460">
        <v>0</v>
      </c>
      <c r="T231" s="380">
        <v>0</v>
      </c>
      <c r="U231" s="380">
        <v>0</v>
      </c>
      <c r="V231" s="380">
        <v>0</v>
      </c>
      <c r="W231" s="380">
        <v>0</v>
      </c>
      <c r="X231" s="380">
        <v>0</v>
      </c>
      <c r="Y231" s="380">
        <v>0</v>
      </c>
      <c r="Z231" s="380">
        <v>0</v>
      </c>
      <c r="AA231" s="378"/>
      <c r="AB231" s="376" t="s">
        <v>45</v>
      </c>
      <c r="AC231" s="376" t="s">
        <v>45</v>
      </c>
      <c r="AD231" s="378"/>
      <c r="AE231" s="378"/>
      <c r="AF231" s="378"/>
      <c r="AG231" s="378"/>
      <c r="AH231" s="379">
        <v>0</v>
      </c>
      <c r="AI231" s="379">
        <v>0</v>
      </c>
      <c r="AJ231" s="378"/>
      <c r="AK231" s="378"/>
      <c r="AL231" s="376" t="s">
        <v>181</v>
      </c>
      <c r="AM231" s="378"/>
      <c r="AN231" s="378"/>
      <c r="AO231" s="379">
        <v>0</v>
      </c>
      <c r="AP231" s="460">
        <v>0</v>
      </c>
      <c r="AQ231" s="460">
        <v>0</v>
      </c>
      <c r="AR231" s="459"/>
      <c r="AS231" s="462">
        <f t="shared" si="51"/>
        <v>0</v>
      </c>
      <c r="AT231">
        <f t="shared" si="52"/>
        <v>0</v>
      </c>
      <c r="AU231" s="462" t="str">
        <f>IF(AT231=0,"",IF(AND(AT231=1,M231="F",SUMIF(C2:C391,C231,AS2:AS391)&lt;=1),SUMIF(C2:C391,C231,AS2:AS391),IF(AND(AT231=1,M231="F",SUMIF(C2:C391,C231,AS2:AS391)&gt;1),1,"")))</f>
        <v/>
      </c>
      <c r="AV231" s="462" t="str">
        <f>IF(AT231=0,"",IF(AND(AT231=3,M231="F",SUMIF(C2:C391,C231,AS2:AS391)&lt;=1),SUMIF(C2:C391,C231,AS2:AS391),IF(AND(AT231=3,M231="F",SUMIF(C2:C391,C231,AS2:AS391)&gt;1),1,"")))</f>
        <v/>
      </c>
      <c r="AW231" s="462">
        <f>SUMIF(C2:C391,C231,O2:O391)</f>
        <v>0</v>
      </c>
      <c r="AX231" s="462">
        <f>IF(AND(M231="F",AS231&lt;&gt;0),SUMIF(C2:C391,C231,W2:W391),0)</f>
        <v>0</v>
      </c>
      <c r="AY231" s="462" t="str">
        <f t="shared" si="53"/>
        <v/>
      </c>
      <c r="AZ231" s="462" t="str">
        <f t="shared" si="54"/>
        <v/>
      </c>
      <c r="BA231" s="462">
        <f t="shared" si="55"/>
        <v>0</v>
      </c>
      <c r="BB231" s="462">
        <f>IF(AND(AT231=1,AK231="E",AU231&gt;=0.75,AW231=1),Health,IF(AND(AT231=1,AK231="E",AU231&gt;=0.75),Health*P231,IF(AND(AT231=1,AK231="E",AU231&gt;=0.5,AW231=1),PTHealth,IF(AND(AT231=1,AK231="E",AU231&gt;=0.5),PTHealth*P231,0))))</f>
        <v>0</v>
      </c>
      <c r="BC231" s="462">
        <f>IF(AND(AT231=3,AK231="E",AV231&gt;=0.75,AW231=1),Health,IF(AND(AT231=3,AK231="E",AV231&gt;=0.75),Health*P231,IF(AND(AT231=3,AK231="E",AV231&gt;=0.5,AW231=1),PTHealth,IF(AND(AT231=3,AK231="E",AV231&gt;=0.5),PTHealth*P231,0))))</f>
        <v>0</v>
      </c>
      <c r="BD231" s="462">
        <f>IF(AND(AT231&lt;&gt;0,AX231&gt;=MAXSSDI),SSDI*MAXSSDI*P231,IF(AT231&lt;&gt;0,SSDI*W231,0))</f>
        <v>0</v>
      </c>
      <c r="BE231" s="462">
        <f>IF(AT231&lt;&gt;0,SSHI*W231,0)</f>
        <v>0</v>
      </c>
      <c r="BF231" s="462">
        <f>IF(AND(AT231&lt;&gt;0,AN231&lt;&gt;"NE"),VLOOKUP(AN231,Retirement_Rates,3,FALSE)*W231,0)</f>
        <v>0</v>
      </c>
      <c r="BG231" s="462">
        <f>IF(AND(AT231&lt;&gt;0,AJ231&lt;&gt;"PF"),Life*W231,0)</f>
        <v>0</v>
      </c>
      <c r="BH231" s="462">
        <f>IF(AND(AT231&lt;&gt;0,AM231="Y"),UI*W231,0)</f>
        <v>0</v>
      </c>
      <c r="BI231" s="462">
        <f>IF(AND(AT231&lt;&gt;0,N231&lt;&gt;"NR"),DHR*W231,0)</f>
        <v>0</v>
      </c>
      <c r="BJ231" s="462">
        <f>IF(AT231&lt;&gt;0,WC*W231,0)</f>
        <v>0</v>
      </c>
      <c r="BK231" s="462">
        <f>IF(OR(AND(AT231&lt;&gt;0,AJ231&lt;&gt;"PF",AN231&lt;&gt;"NE",AG231&lt;&gt;"A"),AND(AL231="E",OR(AT231=1,AT231=3))),Sick*W231,0)</f>
        <v>0</v>
      </c>
      <c r="BL231" s="462">
        <f t="shared" si="56"/>
        <v>0</v>
      </c>
      <c r="BM231" s="462">
        <f t="shared" si="57"/>
        <v>0</v>
      </c>
      <c r="BN231" s="462">
        <f>IF(AND(AT231=1,AK231="E",AU231&gt;=0.75,AW231=1),HealthBY,IF(AND(AT231=1,AK231="E",AU231&gt;=0.75),HealthBY*P231,IF(AND(AT231=1,AK231="E",AU231&gt;=0.5,AW231=1),PTHealthBY,IF(AND(AT231=1,AK231="E",AU231&gt;=0.5),PTHealthBY*P231,0))))</f>
        <v>0</v>
      </c>
      <c r="BO231" s="462">
        <f>IF(AND(AT231=3,AK231="E",AV231&gt;=0.75,AW231=1),HealthBY,IF(AND(AT231=3,AK231="E",AV231&gt;=0.75),HealthBY*P231,IF(AND(AT231=3,AK231="E",AV231&gt;=0.5,AW231=1),PTHealthBY,IF(AND(AT231=3,AK231="E",AV231&gt;=0.5),PTHealthBY*P231,0))))</f>
        <v>0</v>
      </c>
      <c r="BP231" s="462">
        <f>IF(AND(AT231&lt;&gt;0,(AX231+BA231)&gt;=MAXSSDIBY),SSDIBY*MAXSSDIBY*P231,IF(AT231&lt;&gt;0,SSDIBY*W231,0))</f>
        <v>0</v>
      </c>
      <c r="BQ231" s="462">
        <f>IF(AT231&lt;&gt;0,SSHIBY*W231,0)</f>
        <v>0</v>
      </c>
      <c r="BR231" s="462">
        <f>IF(AND(AT231&lt;&gt;0,AN231&lt;&gt;"NE"),VLOOKUP(AN231,Retirement_Rates,4,FALSE)*W231,0)</f>
        <v>0</v>
      </c>
      <c r="BS231" s="462">
        <f>IF(AND(AT231&lt;&gt;0,AJ231&lt;&gt;"PF"),LifeBY*W231,0)</f>
        <v>0</v>
      </c>
      <c r="BT231" s="462">
        <f>IF(AND(AT231&lt;&gt;0,AM231="Y"),UIBY*W231,0)</f>
        <v>0</v>
      </c>
      <c r="BU231" s="462">
        <f>IF(AND(AT231&lt;&gt;0,N231&lt;&gt;"NR"),DHRBY*W231,0)</f>
        <v>0</v>
      </c>
      <c r="BV231" s="462">
        <f>IF(AT231&lt;&gt;0,WCBY*W231,0)</f>
        <v>0</v>
      </c>
      <c r="BW231" s="462">
        <f>IF(OR(AND(AT231&lt;&gt;0,AJ231&lt;&gt;"PF",AN231&lt;&gt;"NE",AG231&lt;&gt;"A"),AND(AL231="E",OR(AT231=1,AT231=3))),SickBY*W231,0)</f>
        <v>0</v>
      </c>
      <c r="BX231" s="462">
        <f t="shared" si="58"/>
        <v>0</v>
      </c>
      <c r="BY231" s="462">
        <f t="shared" si="59"/>
        <v>0</v>
      </c>
      <c r="BZ231" s="462">
        <f t="shared" si="60"/>
        <v>0</v>
      </c>
      <c r="CA231" s="462">
        <f t="shared" si="61"/>
        <v>0</v>
      </c>
      <c r="CB231" s="462">
        <f t="shared" si="62"/>
        <v>0</v>
      </c>
      <c r="CC231" s="462">
        <f>IF(AT231&lt;&gt;0,SSHICHG*Y231,0)</f>
        <v>0</v>
      </c>
      <c r="CD231" s="462">
        <f>IF(AND(AT231&lt;&gt;0,AN231&lt;&gt;"NE"),VLOOKUP(AN231,Retirement_Rates,5,FALSE)*Y231,0)</f>
        <v>0</v>
      </c>
      <c r="CE231" s="462">
        <f>IF(AND(AT231&lt;&gt;0,AJ231&lt;&gt;"PF"),LifeCHG*Y231,0)</f>
        <v>0</v>
      </c>
      <c r="CF231" s="462">
        <f>IF(AND(AT231&lt;&gt;0,AM231="Y"),UICHG*Y231,0)</f>
        <v>0</v>
      </c>
      <c r="CG231" s="462">
        <f>IF(AND(AT231&lt;&gt;0,N231&lt;&gt;"NR"),DHRCHG*Y231,0)</f>
        <v>0</v>
      </c>
      <c r="CH231" s="462">
        <f>IF(AT231&lt;&gt;0,WCCHG*Y231,0)</f>
        <v>0</v>
      </c>
      <c r="CI231" s="462">
        <f>IF(OR(AND(AT231&lt;&gt;0,AJ231&lt;&gt;"PF",AN231&lt;&gt;"NE",AG231&lt;&gt;"A"),AND(AL231="E",OR(AT231=1,AT231=3))),SickCHG*Y231,0)</f>
        <v>0</v>
      </c>
      <c r="CJ231" s="462">
        <f t="shared" si="63"/>
        <v>0</v>
      </c>
      <c r="CK231" s="462" t="str">
        <f t="shared" si="64"/>
        <v/>
      </c>
      <c r="CL231" s="462">
        <f t="shared" si="65"/>
        <v>0</v>
      </c>
      <c r="CM231" s="462">
        <f t="shared" si="66"/>
        <v>0</v>
      </c>
      <c r="CN231" s="462" t="str">
        <f t="shared" si="67"/>
        <v>0243-00</v>
      </c>
    </row>
    <row r="232" spans="1:92" ht="15" thickBot="1" x14ac:dyDescent="0.35">
      <c r="A232" s="376" t="s">
        <v>161</v>
      </c>
      <c r="B232" s="376" t="s">
        <v>162</v>
      </c>
      <c r="C232" s="376" t="s">
        <v>843</v>
      </c>
      <c r="D232" s="376" t="s">
        <v>221</v>
      </c>
      <c r="E232" s="376" t="s">
        <v>273</v>
      </c>
      <c r="F232" s="377" t="s">
        <v>166</v>
      </c>
      <c r="G232" s="376" t="s">
        <v>432</v>
      </c>
      <c r="H232" s="378"/>
      <c r="I232" s="378"/>
      <c r="J232" s="376" t="s">
        <v>168</v>
      </c>
      <c r="K232" s="376" t="s">
        <v>222</v>
      </c>
      <c r="L232" s="376" t="s">
        <v>166</v>
      </c>
      <c r="M232" s="376" t="s">
        <v>225</v>
      </c>
      <c r="N232" s="376" t="s">
        <v>223</v>
      </c>
      <c r="O232" s="379">
        <v>0</v>
      </c>
      <c r="P232" s="460">
        <v>1</v>
      </c>
      <c r="Q232" s="460">
        <v>0</v>
      </c>
      <c r="R232" s="380">
        <v>0</v>
      </c>
      <c r="S232" s="460">
        <v>0</v>
      </c>
      <c r="T232" s="380">
        <v>0</v>
      </c>
      <c r="U232" s="380">
        <v>0</v>
      </c>
      <c r="V232" s="380">
        <v>0</v>
      </c>
      <c r="W232" s="380">
        <v>0</v>
      </c>
      <c r="X232" s="380">
        <v>0</v>
      </c>
      <c r="Y232" s="380">
        <v>0</v>
      </c>
      <c r="Z232" s="380">
        <v>0</v>
      </c>
      <c r="AA232" s="378"/>
      <c r="AB232" s="376" t="s">
        <v>45</v>
      </c>
      <c r="AC232" s="376" t="s">
        <v>45</v>
      </c>
      <c r="AD232" s="378"/>
      <c r="AE232" s="378"/>
      <c r="AF232" s="378"/>
      <c r="AG232" s="378"/>
      <c r="AH232" s="379">
        <v>0</v>
      </c>
      <c r="AI232" s="379">
        <v>0</v>
      </c>
      <c r="AJ232" s="378"/>
      <c r="AK232" s="378"/>
      <c r="AL232" s="376" t="s">
        <v>181</v>
      </c>
      <c r="AM232" s="378"/>
      <c r="AN232" s="378"/>
      <c r="AO232" s="379">
        <v>0</v>
      </c>
      <c r="AP232" s="460">
        <v>0</v>
      </c>
      <c r="AQ232" s="460">
        <v>0</v>
      </c>
      <c r="AR232" s="459"/>
      <c r="AS232" s="462">
        <f t="shared" si="51"/>
        <v>0</v>
      </c>
      <c r="AT232">
        <f t="shared" si="52"/>
        <v>0</v>
      </c>
      <c r="AU232" s="462" t="str">
        <f>IF(AT232=0,"",IF(AND(AT232=1,M232="F",SUMIF(C2:C391,C232,AS2:AS391)&lt;=1),SUMIF(C2:C391,C232,AS2:AS391),IF(AND(AT232=1,M232="F",SUMIF(C2:C391,C232,AS2:AS391)&gt;1),1,"")))</f>
        <v/>
      </c>
      <c r="AV232" s="462" t="str">
        <f>IF(AT232=0,"",IF(AND(AT232=3,M232="F",SUMIF(C2:C391,C232,AS2:AS391)&lt;=1),SUMIF(C2:C391,C232,AS2:AS391),IF(AND(AT232=3,M232="F",SUMIF(C2:C391,C232,AS2:AS391)&gt;1),1,"")))</f>
        <v/>
      </c>
      <c r="AW232" s="462">
        <f>SUMIF(C2:C391,C232,O2:O391)</f>
        <v>0</v>
      </c>
      <c r="AX232" s="462">
        <f>IF(AND(M232="F",AS232&lt;&gt;0),SUMIF(C2:C391,C232,W2:W391),0)</f>
        <v>0</v>
      </c>
      <c r="AY232" s="462" t="str">
        <f t="shared" si="53"/>
        <v/>
      </c>
      <c r="AZ232" s="462" t="str">
        <f t="shared" si="54"/>
        <v/>
      </c>
      <c r="BA232" s="462">
        <f t="shared" si="55"/>
        <v>0</v>
      </c>
      <c r="BB232" s="462">
        <f>IF(AND(AT232=1,AK232="E",AU232&gt;=0.75,AW232=1),Health,IF(AND(AT232=1,AK232="E",AU232&gt;=0.75),Health*P232,IF(AND(AT232=1,AK232="E",AU232&gt;=0.5,AW232=1),PTHealth,IF(AND(AT232=1,AK232="E",AU232&gt;=0.5),PTHealth*P232,0))))</f>
        <v>0</v>
      </c>
      <c r="BC232" s="462">
        <f>IF(AND(AT232=3,AK232="E",AV232&gt;=0.75,AW232=1),Health,IF(AND(AT232=3,AK232="E",AV232&gt;=0.75),Health*P232,IF(AND(AT232=3,AK232="E",AV232&gt;=0.5,AW232=1),PTHealth,IF(AND(AT232=3,AK232="E",AV232&gt;=0.5),PTHealth*P232,0))))</f>
        <v>0</v>
      </c>
      <c r="BD232" s="462">
        <f>IF(AND(AT232&lt;&gt;0,AX232&gt;=MAXSSDI),SSDI*MAXSSDI*P232,IF(AT232&lt;&gt;0,SSDI*W232,0))</f>
        <v>0</v>
      </c>
      <c r="BE232" s="462">
        <f>IF(AT232&lt;&gt;0,SSHI*W232,0)</f>
        <v>0</v>
      </c>
      <c r="BF232" s="462">
        <f>IF(AND(AT232&lt;&gt;0,AN232&lt;&gt;"NE"),VLOOKUP(AN232,Retirement_Rates,3,FALSE)*W232,0)</f>
        <v>0</v>
      </c>
      <c r="BG232" s="462">
        <f>IF(AND(AT232&lt;&gt;0,AJ232&lt;&gt;"PF"),Life*W232,0)</f>
        <v>0</v>
      </c>
      <c r="BH232" s="462">
        <f>IF(AND(AT232&lt;&gt;0,AM232="Y"),UI*W232,0)</f>
        <v>0</v>
      </c>
      <c r="BI232" s="462">
        <f>IF(AND(AT232&lt;&gt;0,N232&lt;&gt;"NR"),DHR*W232,0)</f>
        <v>0</v>
      </c>
      <c r="BJ232" s="462">
        <f>IF(AT232&lt;&gt;0,WC*W232,0)</f>
        <v>0</v>
      </c>
      <c r="BK232" s="462">
        <f>IF(OR(AND(AT232&lt;&gt;0,AJ232&lt;&gt;"PF",AN232&lt;&gt;"NE",AG232&lt;&gt;"A"),AND(AL232="E",OR(AT232=1,AT232=3))),Sick*W232,0)</f>
        <v>0</v>
      </c>
      <c r="BL232" s="462">
        <f t="shared" si="56"/>
        <v>0</v>
      </c>
      <c r="BM232" s="462">
        <f t="shared" si="57"/>
        <v>0</v>
      </c>
      <c r="BN232" s="462">
        <f>IF(AND(AT232=1,AK232="E",AU232&gt;=0.75,AW232=1),HealthBY,IF(AND(AT232=1,AK232="E",AU232&gt;=0.75),HealthBY*P232,IF(AND(AT232=1,AK232="E",AU232&gt;=0.5,AW232=1),PTHealthBY,IF(AND(AT232=1,AK232="E",AU232&gt;=0.5),PTHealthBY*P232,0))))</f>
        <v>0</v>
      </c>
      <c r="BO232" s="462">
        <f>IF(AND(AT232=3,AK232="E",AV232&gt;=0.75,AW232=1),HealthBY,IF(AND(AT232=3,AK232="E",AV232&gt;=0.75),HealthBY*P232,IF(AND(AT232=3,AK232="E",AV232&gt;=0.5,AW232=1),PTHealthBY,IF(AND(AT232=3,AK232="E",AV232&gt;=0.5),PTHealthBY*P232,0))))</f>
        <v>0</v>
      </c>
      <c r="BP232" s="462">
        <f>IF(AND(AT232&lt;&gt;0,(AX232+BA232)&gt;=MAXSSDIBY),SSDIBY*MAXSSDIBY*P232,IF(AT232&lt;&gt;0,SSDIBY*W232,0))</f>
        <v>0</v>
      </c>
      <c r="BQ232" s="462">
        <f>IF(AT232&lt;&gt;0,SSHIBY*W232,0)</f>
        <v>0</v>
      </c>
      <c r="BR232" s="462">
        <f>IF(AND(AT232&lt;&gt;0,AN232&lt;&gt;"NE"),VLOOKUP(AN232,Retirement_Rates,4,FALSE)*W232,0)</f>
        <v>0</v>
      </c>
      <c r="BS232" s="462">
        <f>IF(AND(AT232&lt;&gt;0,AJ232&lt;&gt;"PF"),LifeBY*W232,0)</f>
        <v>0</v>
      </c>
      <c r="BT232" s="462">
        <f>IF(AND(AT232&lt;&gt;0,AM232="Y"),UIBY*W232,0)</f>
        <v>0</v>
      </c>
      <c r="BU232" s="462">
        <f>IF(AND(AT232&lt;&gt;0,N232&lt;&gt;"NR"),DHRBY*W232,0)</f>
        <v>0</v>
      </c>
      <c r="BV232" s="462">
        <f>IF(AT232&lt;&gt;0,WCBY*W232,0)</f>
        <v>0</v>
      </c>
      <c r="BW232" s="462">
        <f>IF(OR(AND(AT232&lt;&gt;0,AJ232&lt;&gt;"PF",AN232&lt;&gt;"NE",AG232&lt;&gt;"A"),AND(AL232="E",OR(AT232=1,AT232=3))),SickBY*W232,0)</f>
        <v>0</v>
      </c>
      <c r="BX232" s="462">
        <f t="shared" si="58"/>
        <v>0</v>
      </c>
      <c r="BY232" s="462">
        <f t="shared" si="59"/>
        <v>0</v>
      </c>
      <c r="BZ232" s="462">
        <f t="shared" si="60"/>
        <v>0</v>
      </c>
      <c r="CA232" s="462">
        <f t="shared" si="61"/>
        <v>0</v>
      </c>
      <c r="CB232" s="462">
        <f t="shared" si="62"/>
        <v>0</v>
      </c>
      <c r="CC232" s="462">
        <f>IF(AT232&lt;&gt;0,SSHICHG*Y232,0)</f>
        <v>0</v>
      </c>
      <c r="CD232" s="462">
        <f>IF(AND(AT232&lt;&gt;0,AN232&lt;&gt;"NE"),VLOOKUP(AN232,Retirement_Rates,5,FALSE)*Y232,0)</f>
        <v>0</v>
      </c>
      <c r="CE232" s="462">
        <f>IF(AND(AT232&lt;&gt;0,AJ232&lt;&gt;"PF"),LifeCHG*Y232,0)</f>
        <v>0</v>
      </c>
      <c r="CF232" s="462">
        <f>IF(AND(AT232&lt;&gt;0,AM232="Y"),UICHG*Y232,0)</f>
        <v>0</v>
      </c>
      <c r="CG232" s="462">
        <f>IF(AND(AT232&lt;&gt;0,N232&lt;&gt;"NR"),DHRCHG*Y232,0)</f>
        <v>0</v>
      </c>
      <c r="CH232" s="462">
        <f>IF(AT232&lt;&gt;0,WCCHG*Y232,0)</f>
        <v>0</v>
      </c>
      <c r="CI232" s="462">
        <f>IF(OR(AND(AT232&lt;&gt;0,AJ232&lt;&gt;"PF",AN232&lt;&gt;"NE",AG232&lt;&gt;"A"),AND(AL232="E",OR(AT232=1,AT232=3))),SickCHG*Y232,0)</f>
        <v>0</v>
      </c>
      <c r="CJ232" s="462">
        <f t="shared" si="63"/>
        <v>0</v>
      </c>
      <c r="CK232" s="462" t="str">
        <f t="shared" si="64"/>
        <v/>
      </c>
      <c r="CL232" s="462">
        <f t="shared" si="65"/>
        <v>0</v>
      </c>
      <c r="CM232" s="462">
        <f t="shared" si="66"/>
        <v>0</v>
      </c>
      <c r="CN232" s="462" t="str">
        <f t="shared" si="67"/>
        <v>0243-00</v>
      </c>
    </row>
    <row r="233" spans="1:92" ht="15" thickBot="1" x14ac:dyDescent="0.35">
      <c r="A233" s="376" t="s">
        <v>161</v>
      </c>
      <c r="B233" s="376" t="s">
        <v>162</v>
      </c>
      <c r="C233" s="376" t="s">
        <v>844</v>
      </c>
      <c r="D233" s="376" t="s">
        <v>438</v>
      </c>
      <c r="E233" s="376" t="s">
        <v>273</v>
      </c>
      <c r="F233" s="377" t="s">
        <v>166</v>
      </c>
      <c r="G233" s="376" t="s">
        <v>432</v>
      </c>
      <c r="H233" s="378"/>
      <c r="I233" s="378"/>
      <c r="J233" s="376" t="s">
        <v>168</v>
      </c>
      <c r="K233" s="376" t="s">
        <v>439</v>
      </c>
      <c r="L233" s="376" t="s">
        <v>231</v>
      </c>
      <c r="M233" s="376" t="s">
        <v>171</v>
      </c>
      <c r="N233" s="376" t="s">
        <v>172</v>
      </c>
      <c r="O233" s="379">
        <v>1</v>
      </c>
      <c r="P233" s="460">
        <v>1</v>
      </c>
      <c r="Q233" s="460">
        <v>1</v>
      </c>
      <c r="R233" s="380">
        <v>80</v>
      </c>
      <c r="S233" s="460">
        <v>1</v>
      </c>
      <c r="T233" s="380">
        <v>26771.26</v>
      </c>
      <c r="U233" s="380">
        <v>0</v>
      </c>
      <c r="V233" s="380">
        <v>14005.05</v>
      </c>
      <c r="W233" s="380">
        <v>40185.599999999999</v>
      </c>
      <c r="X233" s="380">
        <v>21212.93</v>
      </c>
      <c r="Y233" s="380">
        <v>40185.599999999999</v>
      </c>
      <c r="Z233" s="380">
        <v>21329.48</v>
      </c>
      <c r="AA233" s="376" t="s">
        <v>845</v>
      </c>
      <c r="AB233" s="376" t="s">
        <v>846</v>
      </c>
      <c r="AC233" s="376" t="s">
        <v>847</v>
      </c>
      <c r="AD233" s="376" t="s">
        <v>176</v>
      </c>
      <c r="AE233" s="376" t="s">
        <v>439</v>
      </c>
      <c r="AF233" s="376" t="s">
        <v>236</v>
      </c>
      <c r="AG233" s="376" t="s">
        <v>178</v>
      </c>
      <c r="AH233" s="381">
        <v>19.32</v>
      </c>
      <c r="AI233" s="381">
        <v>1157.5</v>
      </c>
      <c r="AJ233" s="376" t="s">
        <v>179</v>
      </c>
      <c r="AK233" s="376" t="s">
        <v>180</v>
      </c>
      <c r="AL233" s="376" t="s">
        <v>181</v>
      </c>
      <c r="AM233" s="376" t="s">
        <v>182</v>
      </c>
      <c r="AN233" s="376" t="s">
        <v>68</v>
      </c>
      <c r="AO233" s="379">
        <v>80</v>
      </c>
      <c r="AP233" s="460">
        <v>1</v>
      </c>
      <c r="AQ233" s="460">
        <v>1</v>
      </c>
      <c r="AR233" s="458" t="s">
        <v>183</v>
      </c>
      <c r="AS233" s="462">
        <f t="shared" si="51"/>
        <v>1</v>
      </c>
      <c r="AT233">
        <f t="shared" si="52"/>
        <v>1</v>
      </c>
      <c r="AU233" s="462">
        <f>IF(AT233=0,"",IF(AND(AT233=1,M233="F",SUMIF(C2:C391,C233,AS2:AS391)&lt;=1),SUMIF(C2:C391,C233,AS2:AS391),IF(AND(AT233=1,M233="F",SUMIF(C2:C391,C233,AS2:AS391)&gt;1),1,"")))</f>
        <v>1</v>
      </c>
      <c r="AV233" s="462" t="str">
        <f>IF(AT233=0,"",IF(AND(AT233=3,M233="F",SUMIF(C2:C391,C233,AS2:AS391)&lt;=1),SUMIF(C2:C391,C233,AS2:AS391),IF(AND(AT233=3,M233="F",SUMIF(C2:C391,C233,AS2:AS391)&gt;1),1,"")))</f>
        <v/>
      </c>
      <c r="AW233" s="462">
        <f>SUMIF(C2:C391,C233,O2:O391)</f>
        <v>1</v>
      </c>
      <c r="AX233" s="462">
        <f>IF(AND(M233="F",AS233&lt;&gt;0),SUMIF(C2:C391,C233,W2:W391),0)</f>
        <v>40185.599999999999</v>
      </c>
      <c r="AY233" s="462">
        <f t="shared" si="53"/>
        <v>40185.599999999999</v>
      </c>
      <c r="AZ233" s="462" t="str">
        <f t="shared" si="54"/>
        <v/>
      </c>
      <c r="BA233" s="462">
        <f t="shared" si="55"/>
        <v>0</v>
      </c>
      <c r="BB233" s="462">
        <f>IF(AND(AT233=1,AK233="E",AU233&gt;=0.75,AW233=1),Health,IF(AND(AT233=1,AK233="E",AU233&gt;=0.75),Health*P233,IF(AND(AT233=1,AK233="E",AU233&gt;=0.5,AW233=1),PTHealth,IF(AND(AT233=1,AK233="E",AU233&gt;=0.5),PTHealth*P233,0))))</f>
        <v>11650</v>
      </c>
      <c r="BC233" s="462">
        <f>IF(AND(AT233=3,AK233="E",AV233&gt;=0.75,AW233=1),Health,IF(AND(AT233=3,AK233="E",AV233&gt;=0.75),Health*P233,IF(AND(AT233=3,AK233="E",AV233&gt;=0.5,AW233=1),PTHealth,IF(AND(AT233=3,AK233="E",AV233&gt;=0.5),PTHealth*P233,0))))</f>
        <v>0</v>
      </c>
      <c r="BD233" s="462">
        <f>IF(AND(AT233&lt;&gt;0,AX233&gt;=MAXSSDI),SSDI*MAXSSDI*P233,IF(AT233&lt;&gt;0,SSDI*W233,0))</f>
        <v>2491.5072</v>
      </c>
      <c r="BE233" s="462">
        <f>IF(AT233&lt;&gt;0,SSHI*W233,0)</f>
        <v>582.69119999999998</v>
      </c>
      <c r="BF233" s="462">
        <f>IF(AND(AT233&lt;&gt;0,AN233&lt;&gt;"NE"),VLOOKUP(AN233,Retirement_Rates,3,FALSE)*W233,0)</f>
        <v>4798.1606400000001</v>
      </c>
      <c r="BG233" s="462">
        <f>IF(AND(AT233&lt;&gt;0,AJ233&lt;&gt;"PF"),Life*W233,0)</f>
        <v>289.73817600000001</v>
      </c>
      <c r="BH233" s="462">
        <f>IF(AND(AT233&lt;&gt;0,AM233="Y"),UI*W233,0)</f>
        <v>196.90943999999999</v>
      </c>
      <c r="BI233" s="462">
        <f>IF(AND(AT233&lt;&gt;0,N233&lt;&gt;"NR"),DHR*W233,0)</f>
        <v>122.96793599999998</v>
      </c>
      <c r="BJ233" s="462">
        <f>IF(AT233&lt;&gt;0,WC*W233,0)</f>
        <v>1080.9926399999999</v>
      </c>
      <c r="BK233" s="462">
        <f>IF(OR(AND(AT233&lt;&gt;0,AJ233&lt;&gt;"PF",AN233&lt;&gt;"NE",AG233&lt;&gt;"A"),AND(AL233="E",OR(AT233=1,AT233=3))),Sick*W233,0)</f>
        <v>0</v>
      </c>
      <c r="BL233" s="462">
        <f t="shared" si="56"/>
        <v>9562.9672319999991</v>
      </c>
      <c r="BM233" s="462">
        <f t="shared" si="57"/>
        <v>0</v>
      </c>
      <c r="BN233" s="462">
        <f>IF(AND(AT233=1,AK233="E",AU233&gt;=0.75,AW233=1),HealthBY,IF(AND(AT233=1,AK233="E",AU233&gt;=0.75),HealthBY*P233,IF(AND(AT233=1,AK233="E",AU233&gt;=0.5,AW233=1),PTHealthBY,IF(AND(AT233=1,AK233="E",AU233&gt;=0.5),PTHealthBY*P233,0))))</f>
        <v>11650</v>
      </c>
      <c r="BO233" s="462">
        <f>IF(AND(AT233=3,AK233="E",AV233&gt;=0.75,AW233=1),HealthBY,IF(AND(AT233=3,AK233="E",AV233&gt;=0.75),HealthBY*P233,IF(AND(AT233=3,AK233="E",AV233&gt;=0.5,AW233=1),PTHealthBY,IF(AND(AT233=3,AK233="E",AV233&gt;=0.5),PTHealthBY*P233,0))))</f>
        <v>0</v>
      </c>
      <c r="BP233" s="462">
        <f>IF(AND(AT233&lt;&gt;0,(AX233+BA233)&gt;=MAXSSDIBY),SSDIBY*MAXSSDIBY*P233,IF(AT233&lt;&gt;0,SSDIBY*W233,0))</f>
        <v>2491.5072</v>
      </c>
      <c r="BQ233" s="462">
        <f>IF(AT233&lt;&gt;0,SSHIBY*W233,0)</f>
        <v>582.69119999999998</v>
      </c>
      <c r="BR233" s="462">
        <f>IF(AND(AT233&lt;&gt;0,AN233&lt;&gt;"NE"),VLOOKUP(AN233,Retirement_Rates,4,FALSE)*W233,0)</f>
        <v>4798.1606400000001</v>
      </c>
      <c r="BS233" s="462">
        <f>IF(AND(AT233&lt;&gt;0,AJ233&lt;&gt;"PF"),LifeBY*W233,0)</f>
        <v>289.73817600000001</v>
      </c>
      <c r="BT233" s="462">
        <f>IF(AND(AT233&lt;&gt;0,AM233="Y"),UIBY*W233,0)</f>
        <v>0</v>
      </c>
      <c r="BU233" s="462">
        <f>IF(AND(AT233&lt;&gt;0,N233&lt;&gt;"NR"),DHRBY*W233,0)</f>
        <v>122.96793599999998</v>
      </c>
      <c r="BV233" s="462">
        <f>IF(AT233&lt;&gt;0,WCBY*W233,0)</f>
        <v>1394.4403199999999</v>
      </c>
      <c r="BW233" s="462">
        <f>IF(OR(AND(AT233&lt;&gt;0,AJ233&lt;&gt;"PF",AN233&lt;&gt;"NE",AG233&lt;&gt;"A"),AND(AL233="E",OR(AT233=1,AT233=3))),SickBY*W233,0)</f>
        <v>0</v>
      </c>
      <c r="BX233" s="462">
        <f t="shared" si="58"/>
        <v>9679.5054719999989</v>
      </c>
      <c r="BY233" s="462">
        <f t="shared" si="59"/>
        <v>0</v>
      </c>
      <c r="BZ233" s="462">
        <f t="shared" si="60"/>
        <v>0</v>
      </c>
      <c r="CA233" s="462">
        <f t="shared" si="61"/>
        <v>0</v>
      </c>
      <c r="CB233" s="462">
        <f t="shared" si="62"/>
        <v>0</v>
      </c>
      <c r="CC233" s="462">
        <f>IF(AT233&lt;&gt;0,SSHICHG*Y233,0)</f>
        <v>0</v>
      </c>
      <c r="CD233" s="462">
        <f>IF(AND(AT233&lt;&gt;0,AN233&lt;&gt;"NE"),VLOOKUP(AN233,Retirement_Rates,5,FALSE)*Y233,0)</f>
        <v>0</v>
      </c>
      <c r="CE233" s="462">
        <f>IF(AND(AT233&lt;&gt;0,AJ233&lt;&gt;"PF"),LifeCHG*Y233,0)</f>
        <v>0</v>
      </c>
      <c r="CF233" s="462">
        <f>IF(AND(AT233&lt;&gt;0,AM233="Y"),UICHG*Y233,0)</f>
        <v>-196.90943999999999</v>
      </c>
      <c r="CG233" s="462">
        <f>IF(AND(AT233&lt;&gt;0,N233&lt;&gt;"NR"),DHRCHG*Y233,0)</f>
        <v>0</v>
      </c>
      <c r="CH233" s="462">
        <f>IF(AT233&lt;&gt;0,WCCHG*Y233,0)</f>
        <v>313.44768000000005</v>
      </c>
      <c r="CI233" s="462">
        <f>IF(OR(AND(AT233&lt;&gt;0,AJ233&lt;&gt;"PF",AN233&lt;&gt;"NE",AG233&lt;&gt;"A"),AND(AL233="E",OR(AT233=1,AT233=3))),SickCHG*Y233,0)</f>
        <v>0</v>
      </c>
      <c r="CJ233" s="462">
        <f t="shared" si="63"/>
        <v>116.53824000000006</v>
      </c>
      <c r="CK233" s="462" t="str">
        <f t="shared" si="64"/>
        <v/>
      </c>
      <c r="CL233" s="462" t="str">
        <f t="shared" si="65"/>
        <v/>
      </c>
      <c r="CM233" s="462" t="str">
        <f t="shared" si="66"/>
        <v/>
      </c>
      <c r="CN233" s="462" t="str">
        <f t="shared" si="67"/>
        <v>0243-00</v>
      </c>
    </row>
    <row r="234" spans="1:92" ht="15" thickBot="1" x14ac:dyDescent="0.35">
      <c r="A234" s="376" t="s">
        <v>161</v>
      </c>
      <c r="B234" s="376" t="s">
        <v>162</v>
      </c>
      <c r="C234" s="376" t="s">
        <v>848</v>
      </c>
      <c r="D234" s="376" t="s">
        <v>185</v>
      </c>
      <c r="E234" s="376" t="s">
        <v>273</v>
      </c>
      <c r="F234" s="377" t="s">
        <v>166</v>
      </c>
      <c r="G234" s="376" t="s">
        <v>432</v>
      </c>
      <c r="H234" s="378"/>
      <c r="I234" s="378"/>
      <c r="J234" s="376" t="s">
        <v>193</v>
      </c>
      <c r="K234" s="376" t="s">
        <v>186</v>
      </c>
      <c r="L234" s="376" t="s">
        <v>178</v>
      </c>
      <c r="M234" s="376" t="s">
        <v>171</v>
      </c>
      <c r="N234" s="376" t="s">
        <v>172</v>
      </c>
      <c r="O234" s="379">
        <v>1</v>
      </c>
      <c r="P234" s="460">
        <v>0.5</v>
      </c>
      <c r="Q234" s="460">
        <v>0.5</v>
      </c>
      <c r="R234" s="380">
        <v>80</v>
      </c>
      <c r="S234" s="460">
        <v>0.5</v>
      </c>
      <c r="T234" s="380">
        <v>12244.46</v>
      </c>
      <c r="U234" s="380">
        <v>0</v>
      </c>
      <c r="V234" s="380">
        <v>7367.73</v>
      </c>
      <c r="W234" s="380">
        <v>16286.4</v>
      </c>
      <c r="X234" s="380">
        <v>9700.65</v>
      </c>
      <c r="Y234" s="380">
        <v>16286.4</v>
      </c>
      <c r="Z234" s="380">
        <v>9747.89</v>
      </c>
      <c r="AA234" s="376" t="s">
        <v>849</v>
      </c>
      <c r="AB234" s="376" t="s">
        <v>850</v>
      </c>
      <c r="AC234" s="376" t="s">
        <v>851</v>
      </c>
      <c r="AD234" s="376" t="s">
        <v>176</v>
      </c>
      <c r="AE234" s="376" t="s">
        <v>186</v>
      </c>
      <c r="AF234" s="376" t="s">
        <v>190</v>
      </c>
      <c r="AG234" s="376" t="s">
        <v>178</v>
      </c>
      <c r="AH234" s="381">
        <v>15.66</v>
      </c>
      <c r="AI234" s="379">
        <v>1672</v>
      </c>
      <c r="AJ234" s="376" t="s">
        <v>179</v>
      </c>
      <c r="AK234" s="376" t="s">
        <v>180</v>
      </c>
      <c r="AL234" s="376" t="s">
        <v>181</v>
      </c>
      <c r="AM234" s="376" t="s">
        <v>182</v>
      </c>
      <c r="AN234" s="376" t="s">
        <v>68</v>
      </c>
      <c r="AO234" s="379">
        <v>80</v>
      </c>
      <c r="AP234" s="460">
        <v>1</v>
      </c>
      <c r="AQ234" s="460">
        <v>0.5</v>
      </c>
      <c r="AR234" s="458" t="s">
        <v>183</v>
      </c>
      <c r="AS234" s="462">
        <f t="shared" si="51"/>
        <v>0.5</v>
      </c>
      <c r="AT234">
        <f t="shared" si="52"/>
        <v>1</v>
      </c>
      <c r="AU234" s="462">
        <f>IF(AT234=0,"",IF(AND(AT234=1,M234="F",SUMIF(C2:C391,C234,AS2:AS391)&lt;=1),SUMIF(C2:C391,C234,AS2:AS391),IF(AND(AT234=1,M234="F",SUMIF(C2:C391,C234,AS2:AS391)&gt;1),1,"")))</f>
        <v>1</v>
      </c>
      <c r="AV234" s="462" t="str">
        <f>IF(AT234=0,"",IF(AND(AT234=3,M234="F",SUMIF(C2:C391,C234,AS2:AS391)&lt;=1),SUMIF(C2:C391,C234,AS2:AS391),IF(AND(AT234=3,M234="F",SUMIF(C2:C391,C234,AS2:AS391)&gt;1),1,"")))</f>
        <v/>
      </c>
      <c r="AW234" s="462">
        <f>SUMIF(C2:C391,C234,O2:O391)</f>
        <v>2</v>
      </c>
      <c r="AX234" s="462">
        <f>IF(AND(M234="F",AS234&lt;&gt;0),SUMIF(C2:C391,C234,W2:W391),0)</f>
        <v>32572.799999999999</v>
      </c>
      <c r="AY234" s="462">
        <f t="shared" si="53"/>
        <v>16286.4</v>
      </c>
      <c r="AZ234" s="462" t="str">
        <f t="shared" si="54"/>
        <v/>
      </c>
      <c r="BA234" s="462">
        <f t="shared" si="55"/>
        <v>0</v>
      </c>
      <c r="BB234" s="462">
        <f>IF(AND(AT234=1,AK234="E",AU234&gt;=0.75,AW234=1),Health,IF(AND(AT234=1,AK234="E",AU234&gt;=0.75),Health*P234,IF(AND(AT234=1,AK234="E",AU234&gt;=0.5,AW234=1),PTHealth,IF(AND(AT234=1,AK234="E",AU234&gt;=0.5),PTHealth*P234,0))))</f>
        <v>5825</v>
      </c>
      <c r="BC234" s="462">
        <f>IF(AND(AT234=3,AK234="E",AV234&gt;=0.75,AW234=1),Health,IF(AND(AT234=3,AK234="E",AV234&gt;=0.75),Health*P234,IF(AND(AT234=3,AK234="E",AV234&gt;=0.5,AW234=1),PTHealth,IF(AND(AT234=3,AK234="E",AV234&gt;=0.5),PTHealth*P234,0))))</f>
        <v>0</v>
      </c>
      <c r="BD234" s="462">
        <f>IF(AND(AT234&lt;&gt;0,AX234&gt;=MAXSSDI),SSDI*MAXSSDI*P234,IF(AT234&lt;&gt;0,SSDI*W234,0))</f>
        <v>1009.7568</v>
      </c>
      <c r="BE234" s="462">
        <f>IF(AT234&lt;&gt;0,SSHI*W234,0)</f>
        <v>236.15280000000001</v>
      </c>
      <c r="BF234" s="462">
        <f>IF(AND(AT234&lt;&gt;0,AN234&lt;&gt;"NE"),VLOOKUP(AN234,Retirement_Rates,3,FALSE)*W234,0)</f>
        <v>1944.5961600000001</v>
      </c>
      <c r="BG234" s="462">
        <f>IF(AND(AT234&lt;&gt;0,AJ234&lt;&gt;"PF"),Life*W234,0)</f>
        <v>117.424944</v>
      </c>
      <c r="BH234" s="462">
        <f>IF(AND(AT234&lt;&gt;0,AM234="Y"),UI*W234,0)</f>
        <v>79.803359999999998</v>
      </c>
      <c r="BI234" s="462">
        <f>IF(AND(AT234&lt;&gt;0,N234&lt;&gt;"NR"),DHR*W234,0)</f>
        <v>49.836383999999995</v>
      </c>
      <c r="BJ234" s="462">
        <f>IF(AT234&lt;&gt;0,WC*W234,0)</f>
        <v>438.10415999999998</v>
      </c>
      <c r="BK234" s="462">
        <f>IF(OR(AND(AT234&lt;&gt;0,AJ234&lt;&gt;"PF",AN234&lt;&gt;"NE",AG234&lt;&gt;"A"),AND(AL234="E",OR(AT234=1,AT234=3))),Sick*W234,0)</f>
        <v>0</v>
      </c>
      <c r="BL234" s="462">
        <f t="shared" si="56"/>
        <v>3875.6746079999998</v>
      </c>
      <c r="BM234" s="462">
        <f t="shared" si="57"/>
        <v>0</v>
      </c>
      <c r="BN234" s="462">
        <f>IF(AND(AT234=1,AK234="E",AU234&gt;=0.75,AW234=1),HealthBY,IF(AND(AT234=1,AK234="E",AU234&gt;=0.75),HealthBY*P234,IF(AND(AT234=1,AK234="E",AU234&gt;=0.5,AW234=1),PTHealthBY,IF(AND(AT234=1,AK234="E",AU234&gt;=0.5),PTHealthBY*P234,0))))</f>
        <v>5825</v>
      </c>
      <c r="BO234" s="462">
        <f>IF(AND(AT234=3,AK234="E",AV234&gt;=0.75,AW234=1),HealthBY,IF(AND(AT234=3,AK234="E",AV234&gt;=0.75),HealthBY*P234,IF(AND(AT234=3,AK234="E",AV234&gt;=0.5,AW234=1),PTHealthBY,IF(AND(AT234=3,AK234="E",AV234&gt;=0.5),PTHealthBY*P234,0))))</f>
        <v>0</v>
      </c>
      <c r="BP234" s="462">
        <f>IF(AND(AT234&lt;&gt;0,(AX234+BA234)&gt;=MAXSSDIBY),SSDIBY*MAXSSDIBY*P234,IF(AT234&lt;&gt;0,SSDIBY*W234,0))</f>
        <v>1009.7568</v>
      </c>
      <c r="BQ234" s="462">
        <f>IF(AT234&lt;&gt;0,SSHIBY*W234,0)</f>
        <v>236.15280000000001</v>
      </c>
      <c r="BR234" s="462">
        <f>IF(AND(AT234&lt;&gt;0,AN234&lt;&gt;"NE"),VLOOKUP(AN234,Retirement_Rates,4,FALSE)*W234,0)</f>
        <v>1944.5961600000001</v>
      </c>
      <c r="BS234" s="462">
        <f>IF(AND(AT234&lt;&gt;0,AJ234&lt;&gt;"PF"),LifeBY*W234,0)</f>
        <v>117.424944</v>
      </c>
      <c r="BT234" s="462">
        <f>IF(AND(AT234&lt;&gt;0,AM234="Y"),UIBY*W234,0)</f>
        <v>0</v>
      </c>
      <c r="BU234" s="462">
        <f>IF(AND(AT234&lt;&gt;0,N234&lt;&gt;"NR"),DHRBY*W234,0)</f>
        <v>49.836383999999995</v>
      </c>
      <c r="BV234" s="462">
        <f>IF(AT234&lt;&gt;0,WCBY*W234,0)</f>
        <v>565.13808000000006</v>
      </c>
      <c r="BW234" s="462">
        <f>IF(OR(AND(AT234&lt;&gt;0,AJ234&lt;&gt;"PF",AN234&lt;&gt;"NE",AG234&lt;&gt;"A"),AND(AL234="E",OR(AT234=1,AT234=3))),SickBY*W234,0)</f>
        <v>0</v>
      </c>
      <c r="BX234" s="462">
        <f t="shared" si="58"/>
        <v>3922.9051680000002</v>
      </c>
      <c r="BY234" s="462">
        <f t="shared" si="59"/>
        <v>0</v>
      </c>
      <c r="BZ234" s="462">
        <f t="shared" si="60"/>
        <v>0</v>
      </c>
      <c r="CA234" s="462">
        <f t="shared" si="61"/>
        <v>0</v>
      </c>
      <c r="CB234" s="462">
        <f t="shared" si="62"/>
        <v>0</v>
      </c>
      <c r="CC234" s="462">
        <f>IF(AT234&lt;&gt;0,SSHICHG*Y234,0)</f>
        <v>0</v>
      </c>
      <c r="CD234" s="462">
        <f>IF(AND(AT234&lt;&gt;0,AN234&lt;&gt;"NE"),VLOOKUP(AN234,Retirement_Rates,5,FALSE)*Y234,0)</f>
        <v>0</v>
      </c>
      <c r="CE234" s="462">
        <f>IF(AND(AT234&lt;&gt;0,AJ234&lt;&gt;"PF"),LifeCHG*Y234,0)</f>
        <v>0</v>
      </c>
      <c r="CF234" s="462">
        <f>IF(AND(AT234&lt;&gt;0,AM234="Y"),UICHG*Y234,0)</f>
        <v>-79.803359999999998</v>
      </c>
      <c r="CG234" s="462">
        <f>IF(AND(AT234&lt;&gt;0,N234&lt;&gt;"NR"),DHRCHG*Y234,0)</f>
        <v>0</v>
      </c>
      <c r="CH234" s="462">
        <f>IF(AT234&lt;&gt;0,WCCHG*Y234,0)</f>
        <v>127.03392000000002</v>
      </c>
      <c r="CI234" s="462">
        <f>IF(OR(AND(AT234&lt;&gt;0,AJ234&lt;&gt;"PF",AN234&lt;&gt;"NE",AG234&lt;&gt;"A"),AND(AL234="E",OR(AT234=1,AT234=3))),SickCHG*Y234,0)</f>
        <v>0</v>
      </c>
      <c r="CJ234" s="462">
        <f t="shared" si="63"/>
        <v>47.230560000000025</v>
      </c>
      <c r="CK234" s="462" t="str">
        <f t="shared" si="64"/>
        <v/>
      </c>
      <c r="CL234" s="462" t="str">
        <f t="shared" si="65"/>
        <v/>
      </c>
      <c r="CM234" s="462" t="str">
        <f t="shared" si="66"/>
        <v/>
      </c>
      <c r="CN234" s="462" t="str">
        <f t="shared" si="67"/>
        <v>0243-00</v>
      </c>
    </row>
    <row r="235" spans="1:92" ht="15" thickBot="1" x14ac:dyDescent="0.35">
      <c r="A235" s="376" t="s">
        <v>161</v>
      </c>
      <c r="B235" s="376" t="s">
        <v>162</v>
      </c>
      <c r="C235" s="376" t="s">
        <v>852</v>
      </c>
      <c r="D235" s="376" t="s">
        <v>221</v>
      </c>
      <c r="E235" s="376" t="s">
        <v>273</v>
      </c>
      <c r="F235" s="377" t="s">
        <v>166</v>
      </c>
      <c r="G235" s="376" t="s">
        <v>432</v>
      </c>
      <c r="H235" s="378"/>
      <c r="I235" s="378"/>
      <c r="J235" s="376" t="s">
        <v>168</v>
      </c>
      <c r="K235" s="376" t="s">
        <v>222</v>
      </c>
      <c r="L235" s="376" t="s">
        <v>166</v>
      </c>
      <c r="M235" s="376" t="s">
        <v>225</v>
      </c>
      <c r="N235" s="376" t="s">
        <v>223</v>
      </c>
      <c r="O235" s="379">
        <v>0</v>
      </c>
      <c r="P235" s="460">
        <v>1</v>
      </c>
      <c r="Q235" s="460">
        <v>0</v>
      </c>
      <c r="R235" s="380">
        <v>0</v>
      </c>
      <c r="S235" s="460">
        <v>0</v>
      </c>
      <c r="T235" s="380">
        <v>0</v>
      </c>
      <c r="U235" s="380">
        <v>0</v>
      </c>
      <c r="V235" s="380">
        <v>0</v>
      </c>
      <c r="W235" s="380">
        <v>0</v>
      </c>
      <c r="X235" s="380">
        <v>0</v>
      </c>
      <c r="Y235" s="380">
        <v>0</v>
      </c>
      <c r="Z235" s="380">
        <v>0</v>
      </c>
      <c r="AA235" s="378"/>
      <c r="AB235" s="376" t="s">
        <v>45</v>
      </c>
      <c r="AC235" s="376" t="s">
        <v>45</v>
      </c>
      <c r="AD235" s="378"/>
      <c r="AE235" s="378"/>
      <c r="AF235" s="378"/>
      <c r="AG235" s="378"/>
      <c r="AH235" s="379">
        <v>0</v>
      </c>
      <c r="AI235" s="379">
        <v>0</v>
      </c>
      <c r="AJ235" s="378"/>
      <c r="AK235" s="378"/>
      <c r="AL235" s="376" t="s">
        <v>181</v>
      </c>
      <c r="AM235" s="378"/>
      <c r="AN235" s="378"/>
      <c r="AO235" s="379">
        <v>0</v>
      </c>
      <c r="AP235" s="460">
        <v>0</v>
      </c>
      <c r="AQ235" s="460">
        <v>0</v>
      </c>
      <c r="AR235" s="459"/>
      <c r="AS235" s="462">
        <f t="shared" si="51"/>
        <v>0</v>
      </c>
      <c r="AT235">
        <f t="shared" si="52"/>
        <v>0</v>
      </c>
      <c r="AU235" s="462" t="str">
        <f>IF(AT235=0,"",IF(AND(AT235=1,M235="F",SUMIF(C2:C391,C235,AS2:AS391)&lt;=1),SUMIF(C2:C391,C235,AS2:AS391),IF(AND(AT235=1,M235="F",SUMIF(C2:C391,C235,AS2:AS391)&gt;1),1,"")))</f>
        <v/>
      </c>
      <c r="AV235" s="462" t="str">
        <f>IF(AT235=0,"",IF(AND(AT235=3,M235="F",SUMIF(C2:C391,C235,AS2:AS391)&lt;=1),SUMIF(C2:C391,C235,AS2:AS391),IF(AND(AT235=3,M235="F",SUMIF(C2:C391,C235,AS2:AS391)&gt;1),1,"")))</f>
        <v/>
      </c>
      <c r="AW235" s="462">
        <f>SUMIF(C2:C391,C235,O2:O391)</f>
        <v>0</v>
      </c>
      <c r="AX235" s="462">
        <f>IF(AND(M235="F",AS235&lt;&gt;0),SUMIF(C2:C391,C235,W2:W391),0)</f>
        <v>0</v>
      </c>
      <c r="AY235" s="462" t="str">
        <f t="shared" si="53"/>
        <v/>
      </c>
      <c r="AZ235" s="462" t="str">
        <f t="shared" si="54"/>
        <v/>
      </c>
      <c r="BA235" s="462">
        <f t="shared" si="55"/>
        <v>0</v>
      </c>
      <c r="BB235" s="462">
        <f>IF(AND(AT235=1,AK235="E",AU235&gt;=0.75,AW235=1),Health,IF(AND(AT235=1,AK235="E",AU235&gt;=0.75),Health*P235,IF(AND(AT235=1,AK235="E",AU235&gt;=0.5,AW235=1),PTHealth,IF(AND(AT235=1,AK235="E",AU235&gt;=0.5),PTHealth*P235,0))))</f>
        <v>0</v>
      </c>
      <c r="BC235" s="462">
        <f>IF(AND(AT235=3,AK235="E",AV235&gt;=0.75,AW235=1),Health,IF(AND(AT235=3,AK235="E",AV235&gt;=0.75),Health*P235,IF(AND(AT235=3,AK235="E",AV235&gt;=0.5,AW235=1),PTHealth,IF(AND(AT235=3,AK235="E",AV235&gt;=0.5),PTHealth*P235,0))))</f>
        <v>0</v>
      </c>
      <c r="BD235" s="462">
        <f>IF(AND(AT235&lt;&gt;0,AX235&gt;=MAXSSDI),SSDI*MAXSSDI*P235,IF(AT235&lt;&gt;0,SSDI*W235,0))</f>
        <v>0</v>
      </c>
      <c r="BE235" s="462">
        <f>IF(AT235&lt;&gt;0,SSHI*W235,0)</f>
        <v>0</v>
      </c>
      <c r="BF235" s="462">
        <f>IF(AND(AT235&lt;&gt;0,AN235&lt;&gt;"NE"),VLOOKUP(AN235,Retirement_Rates,3,FALSE)*W235,0)</f>
        <v>0</v>
      </c>
      <c r="BG235" s="462">
        <f>IF(AND(AT235&lt;&gt;0,AJ235&lt;&gt;"PF"),Life*W235,0)</f>
        <v>0</v>
      </c>
      <c r="BH235" s="462">
        <f>IF(AND(AT235&lt;&gt;0,AM235="Y"),UI*W235,0)</f>
        <v>0</v>
      </c>
      <c r="BI235" s="462">
        <f>IF(AND(AT235&lt;&gt;0,N235&lt;&gt;"NR"),DHR*W235,0)</f>
        <v>0</v>
      </c>
      <c r="BJ235" s="462">
        <f>IF(AT235&lt;&gt;0,WC*W235,0)</f>
        <v>0</v>
      </c>
      <c r="BK235" s="462">
        <f>IF(OR(AND(AT235&lt;&gt;0,AJ235&lt;&gt;"PF",AN235&lt;&gt;"NE",AG235&lt;&gt;"A"),AND(AL235="E",OR(AT235=1,AT235=3))),Sick*W235,0)</f>
        <v>0</v>
      </c>
      <c r="BL235" s="462">
        <f t="shared" si="56"/>
        <v>0</v>
      </c>
      <c r="BM235" s="462">
        <f t="shared" si="57"/>
        <v>0</v>
      </c>
      <c r="BN235" s="462">
        <f>IF(AND(AT235=1,AK235="E",AU235&gt;=0.75,AW235=1),HealthBY,IF(AND(AT235=1,AK235="E",AU235&gt;=0.75),HealthBY*P235,IF(AND(AT235=1,AK235="E",AU235&gt;=0.5,AW235=1),PTHealthBY,IF(AND(AT235=1,AK235="E",AU235&gt;=0.5),PTHealthBY*P235,0))))</f>
        <v>0</v>
      </c>
      <c r="BO235" s="462">
        <f>IF(AND(AT235=3,AK235="E",AV235&gt;=0.75,AW235=1),HealthBY,IF(AND(AT235=3,AK235="E",AV235&gt;=0.75),HealthBY*P235,IF(AND(AT235=3,AK235="E",AV235&gt;=0.5,AW235=1),PTHealthBY,IF(AND(AT235=3,AK235="E",AV235&gt;=0.5),PTHealthBY*P235,0))))</f>
        <v>0</v>
      </c>
      <c r="BP235" s="462">
        <f>IF(AND(AT235&lt;&gt;0,(AX235+BA235)&gt;=MAXSSDIBY),SSDIBY*MAXSSDIBY*P235,IF(AT235&lt;&gt;0,SSDIBY*W235,0))</f>
        <v>0</v>
      </c>
      <c r="BQ235" s="462">
        <f>IF(AT235&lt;&gt;0,SSHIBY*W235,0)</f>
        <v>0</v>
      </c>
      <c r="BR235" s="462">
        <f>IF(AND(AT235&lt;&gt;0,AN235&lt;&gt;"NE"),VLOOKUP(AN235,Retirement_Rates,4,FALSE)*W235,0)</f>
        <v>0</v>
      </c>
      <c r="BS235" s="462">
        <f>IF(AND(AT235&lt;&gt;0,AJ235&lt;&gt;"PF"),LifeBY*W235,0)</f>
        <v>0</v>
      </c>
      <c r="BT235" s="462">
        <f>IF(AND(AT235&lt;&gt;0,AM235="Y"),UIBY*W235,0)</f>
        <v>0</v>
      </c>
      <c r="BU235" s="462">
        <f>IF(AND(AT235&lt;&gt;0,N235&lt;&gt;"NR"),DHRBY*W235,0)</f>
        <v>0</v>
      </c>
      <c r="BV235" s="462">
        <f>IF(AT235&lt;&gt;0,WCBY*W235,0)</f>
        <v>0</v>
      </c>
      <c r="BW235" s="462">
        <f>IF(OR(AND(AT235&lt;&gt;0,AJ235&lt;&gt;"PF",AN235&lt;&gt;"NE",AG235&lt;&gt;"A"),AND(AL235="E",OR(AT235=1,AT235=3))),SickBY*W235,0)</f>
        <v>0</v>
      </c>
      <c r="BX235" s="462">
        <f t="shared" si="58"/>
        <v>0</v>
      </c>
      <c r="BY235" s="462">
        <f t="shared" si="59"/>
        <v>0</v>
      </c>
      <c r="BZ235" s="462">
        <f t="shared" si="60"/>
        <v>0</v>
      </c>
      <c r="CA235" s="462">
        <f t="shared" si="61"/>
        <v>0</v>
      </c>
      <c r="CB235" s="462">
        <f t="shared" si="62"/>
        <v>0</v>
      </c>
      <c r="CC235" s="462">
        <f>IF(AT235&lt;&gt;0,SSHICHG*Y235,0)</f>
        <v>0</v>
      </c>
      <c r="CD235" s="462">
        <f>IF(AND(AT235&lt;&gt;0,AN235&lt;&gt;"NE"),VLOOKUP(AN235,Retirement_Rates,5,FALSE)*Y235,0)</f>
        <v>0</v>
      </c>
      <c r="CE235" s="462">
        <f>IF(AND(AT235&lt;&gt;0,AJ235&lt;&gt;"PF"),LifeCHG*Y235,0)</f>
        <v>0</v>
      </c>
      <c r="CF235" s="462">
        <f>IF(AND(AT235&lt;&gt;0,AM235="Y"),UICHG*Y235,0)</f>
        <v>0</v>
      </c>
      <c r="CG235" s="462">
        <f>IF(AND(AT235&lt;&gt;0,N235&lt;&gt;"NR"),DHRCHG*Y235,0)</f>
        <v>0</v>
      </c>
      <c r="CH235" s="462">
        <f>IF(AT235&lt;&gt;0,WCCHG*Y235,0)</f>
        <v>0</v>
      </c>
      <c r="CI235" s="462">
        <f>IF(OR(AND(AT235&lt;&gt;0,AJ235&lt;&gt;"PF",AN235&lt;&gt;"NE",AG235&lt;&gt;"A"),AND(AL235="E",OR(AT235=1,AT235=3))),SickCHG*Y235,0)</f>
        <v>0</v>
      </c>
      <c r="CJ235" s="462">
        <f t="shared" si="63"/>
        <v>0</v>
      </c>
      <c r="CK235" s="462" t="str">
        <f t="shared" si="64"/>
        <v/>
      </c>
      <c r="CL235" s="462">
        <f t="shared" si="65"/>
        <v>0</v>
      </c>
      <c r="CM235" s="462">
        <f t="shared" si="66"/>
        <v>0</v>
      </c>
      <c r="CN235" s="462" t="str">
        <f t="shared" si="67"/>
        <v>0243-00</v>
      </c>
    </row>
    <row r="236" spans="1:92" ht="15" thickBot="1" x14ac:dyDescent="0.35">
      <c r="A236" s="376" t="s">
        <v>161</v>
      </c>
      <c r="B236" s="376" t="s">
        <v>162</v>
      </c>
      <c r="C236" s="376" t="s">
        <v>853</v>
      </c>
      <c r="D236" s="376" t="s">
        <v>354</v>
      </c>
      <c r="E236" s="376" t="s">
        <v>273</v>
      </c>
      <c r="F236" s="377" t="s">
        <v>166</v>
      </c>
      <c r="G236" s="376" t="s">
        <v>432</v>
      </c>
      <c r="H236" s="378"/>
      <c r="I236" s="378"/>
      <c r="J236" s="376" t="s">
        <v>168</v>
      </c>
      <c r="K236" s="376" t="s">
        <v>355</v>
      </c>
      <c r="L236" s="376" t="s">
        <v>178</v>
      </c>
      <c r="M236" s="376" t="s">
        <v>171</v>
      </c>
      <c r="N236" s="376" t="s">
        <v>172</v>
      </c>
      <c r="O236" s="379">
        <v>1</v>
      </c>
      <c r="P236" s="460">
        <v>1</v>
      </c>
      <c r="Q236" s="460">
        <v>1</v>
      </c>
      <c r="R236" s="380">
        <v>80</v>
      </c>
      <c r="S236" s="460">
        <v>1</v>
      </c>
      <c r="T236" s="380">
        <v>25790.66</v>
      </c>
      <c r="U236" s="380">
        <v>0</v>
      </c>
      <c r="V236" s="380">
        <v>16031.19</v>
      </c>
      <c r="W236" s="380">
        <v>31928</v>
      </c>
      <c r="X236" s="380">
        <v>19247.87</v>
      </c>
      <c r="Y236" s="380">
        <v>31928</v>
      </c>
      <c r="Z236" s="380">
        <v>19340.47</v>
      </c>
      <c r="AA236" s="376" t="s">
        <v>854</v>
      </c>
      <c r="AB236" s="376" t="s">
        <v>855</v>
      </c>
      <c r="AC236" s="376" t="s">
        <v>856</v>
      </c>
      <c r="AD236" s="376" t="s">
        <v>176</v>
      </c>
      <c r="AE236" s="376" t="s">
        <v>355</v>
      </c>
      <c r="AF236" s="376" t="s">
        <v>190</v>
      </c>
      <c r="AG236" s="376" t="s">
        <v>178</v>
      </c>
      <c r="AH236" s="381">
        <v>15.35</v>
      </c>
      <c r="AI236" s="381">
        <v>235.4</v>
      </c>
      <c r="AJ236" s="376" t="s">
        <v>179</v>
      </c>
      <c r="AK236" s="376" t="s">
        <v>180</v>
      </c>
      <c r="AL236" s="376" t="s">
        <v>181</v>
      </c>
      <c r="AM236" s="376" t="s">
        <v>182</v>
      </c>
      <c r="AN236" s="376" t="s">
        <v>68</v>
      </c>
      <c r="AO236" s="379">
        <v>80</v>
      </c>
      <c r="AP236" s="460">
        <v>1</v>
      </c>
      <c r="AQ236" s="460">
        <v>1</v>
      </c>
      <c r="AR236" s="458" t="s">
        <v>183</v>
      </c>
      <c r="AS236" s="462">
        <f t="shared" si="51"/>
        <v>1</v>
      </c>
      <c r="AT236">
        <f t="shared" si="52"/>
        <v>1</v>
      </c>
      <c r="AU236" s="462">
        <f>IF(AT236=0,"",IF(AND(AT236=1,M236="F",SUMIF(C2:C391,C236,AS2:AS391)&lt;=1),SUMIF(C2:C391,C236,AS2:AS391),IF(AND(AT236=1,M236="F",SUMIF(C2:C391,C236,AS2:AS391)&gt;1),1,"")))</f>
        <v>1</v>
      </c>
      <c r="AV236" s="462" t="str">
        <f>IF(AT236=0,"",IF(AND(AT236=3,M236="F",SUMIF(C2:C391,C236,AS2:AS391)&lt;=1),SUMIF(C2:C391,C236,AS2:AS391),IF(AND(AT236=3,M236="F",SUMIF(C2:C391,C236,AS2:AS391)&gt;1),1,"")))</f>
        <v/>
      </c>
      <c r="AW236" s="462">
        <f>SUMIF(C2:C391,C236,O2:O391)</f>
        <v>1</v>
      </c>
      <c r="AX236" s="462">
        <f>IF(AND(M236="F",AS236&lt;&gt;0),SUMIF(C2:C391,C236,W2:W391),0)</f>
        <v>31928</v>
      </c>
      <c r="AY236" s="462">
        <f t="shared" si="53"/>
        <v>31928</v>
      </c>
      <c r="AZ236" s="462" t="str">
        <f t="shared" si="54"/>
        <v/>
      </c>
      <c r="BA236" s="462">
        <f t="shared" si="55"/>
        <v>0</v>
      </c>
      <c r="BB236" s="462">
        <f>IF(AND(AT236=1,AK236="E",AU236&gt;=0.75,AW236=1),Health,IF(AND(AT236=1,AK236="E",AU236&gt;=0.75),Health*P236,IF(AND(AT236=1,AK236="E",AU236&gt;=0.5,AW236=1),PTHealth,IF(AND(AT236=1,AK236="E",AU236&gt;=0.5),PTHealth*P236,0))))</f>
        <v>11650</v>
      </c>
      <c r="BC236" s="462">
        <f>IF(AND(AT236=3,AK236="E",AV236&gt;=0.75,AW236=1),Health,IF(AND(AT236=3,AK236="E",AV236&gt;=0.75),Health*P236,IF(AND(AT236=3,AK236="E",AV236&gt;=0.5,AW236=1),PTHealth,IF(AND(AT236=3,AK236="E",AV236&gt;=0.5),PTHealth*P236,0))))</f>
        <v>0</v>
      </c>
      <c r="BD236" s="462">
        <f>IF(AND(AT236&lt;&gt;0,AX236&gt;=MAXSSDI),SSDI*MAXSSDI*P236,IF(AT236&lt;&gt;0,SSDI*W236,0))</f>
        <v>1979.5360000000001</v>
      </c>
      <c r="BE236" s="462">
        <f>IF(AT236&lt;&gt;0,SSHI*W236,0)</f>
        <v>462.95600000000002</v>
      </c>
      <c r="BF236" s="462">
        <f>IF(AND(AT236&lt;&gt;0,AN236&lt;&gt;"NE"),VLOOKUP(AN236,Retirement_Rates,3,FALSE)*W236,0)</f>
        <v>3812.2032000000004</v>
      </c>
      <c r="BG236" s="462">
        <f>IF(AND(AT236&lt;&gt;0,AJ236&lt;&gt;"PF"),Life*W236,0)</f>
        <v>230.20088000000001</v>
      </c>
      <c r="BH236" s="462">
        <f>IF(AND(AT236&lt;&gt;0,AM236="Y"),UI*W236,0)</f>
        <v>156.44719999999998</v>
      </c>
      <c r="BI236" s="462">
        <f>IF(AND(AT236&lt;&gt;0,N236&lt;&gt;"NR"),DHR*W236,0)</f>
        <v>97.699679999999987</v>
      </c>
      <c r="BJ236" s="462">
        <f>IF(AT236&lt;&gt;0,WC*W236,0)</f>
        <v>858.86320000000001</v>
      </c>
      <c r="BK236" s="462">
        <f>IF(OR(AND(AT236&lt;&gt;0,AJ236&lt;&gt;"PF",AN236&lt;&gt;"NE",AG236&lt;&gt;"A"),AND(AL236="E",OR(AT236=1,AT236=3))),Sick*W236,0)</f>
        <v>0</v>
      </c>
      <c r="BL236" s="462">
        <f t="shared" si="56"/>
        <v>7597.9061599999995</v>
      </c>
      <c r="BM236" s="462">
        <f t="shared" si="57"/>
        <v>0</v>
      </c>
      <c r="BN236" s="462">
        <f>IF(AND(AT236=1,AK236="E",AU236&gt;=0.75,AW236=1),HealthBY,IF(AND(AT236=1,AK236="E",AU236&gt;=0.75),HealthBY*P236,IF(AND(AT236=1,AK236="E",AU236&gt;=0.5,AW236=1),PTHealthBY,IF(AND(AT236=1,AK236="E",AU236&gt;=0.5),PTHealthBY*P236,0))))</f>
        <v>11650</v>
      </c>
      <c r="BO236" s="462">
        <f>IF(AND(AT236=3,AK236="E",AV236&gt;=0.75,AW236=1),HealthBY,IF(AND(AT236=3,AK236="E",AV236&gt;=0.75),HealthBY*P236,IF(AND(AT236=3,AK236="E",AV236&gt;=0.5,AW236=1),PTHealthBY,IF(AND(AT236=3,AK236="E",AV236&gt;=0.5),PTHealthBY*P236,0))))</f>
        <v>0</v>
      </c>
      <c r="BP236" s="462">
        <f>IF(AND(AT236&lt;&gt;0,(AX236+BA236)&gt;=MAXSSDIBY),SSDIBY*MAXSSDIBY*P236,IF(AT236&lt;&gt;0,SSDIBY*W236,0))</f>
        <v>1979.5360000000001</v>
      </c>
      <c r="BQ236" s="462">
        <f>IF(AT236&lt;&gt;0,SSHIBY*W236,0)</f>
        <v>462.95600000000002</v>
      </c>
      <c r="BR236" s="462">
        <f>IF(AND(AT236&lt;&gt;0,AN236&lt;&gt;"NE"),VLOOKUP(AN236,Retirement_Rates,4,FALSE)*W236,0)</f>
        <v>3812.2032000000004</v>
      </c>
      <c r="BS236" s="462">
        <f>IF(AND(AT236&lt;&gt;0,AJ236&lt;&gt;"PF"),LifeBY*W236,0)</f>
        <v>230.20088000000001</v>
      </c>
      <c r="BT236" s="462">
        <f>IF(AND(AT236&lt;&gt;0,AM236="Y"),UIBY*W236,0)</f>
        <v>0</v>
      </c>
      <c r="BU236" s="462">
        <f>IF(AND(AT236&lt;&gt;0,N236&lt;&gt;"NR"),DHRBY*W236,0)</f>
        <v>97.699679999999987</v>
      </c>
      <c r="BV236" s="462">
        <f>IF(AT236&lt;&gt;0,WCBY*W236,0)</f>
        <v>1107.9016000000001</v>
      </c>
      <c r="BW236" s="462">
        <f>IF(OR(AND(AT236&lt;&gt;0,AJ236&lt;&gt;"PF",AN236&lt;&gt;"NE",AG236&lt;&gt;"A"),AND(AL236="E",OR(AT236=1,AT236=3))),SickBY*W236,0)</f>
        <v>0</v>
      </c>
      <c r="BX236" s="462">
        <f t="shared" si="58"/>
        <v>7690.4973600000003</v>
      </c>
      <c r="BY236" s="462">
        <f t="shared" si="59"/>
        <v>0</v>
      </c>
      <c r="BZ236" s="462">
        <f t="shared" si="60"/>
        <v>0</v>
      </c>
      <c r="CA236" s="462">
        <f t="shared" si="61"/>
        <v>0</v>
      </c>
      <c r="CB236" s="462">
        <f t="shared" si="62"/>
        <v>0</v>
      </c>
      <c r="CC236" s="462">
        <f>IF(AT236&lt;&gt;0,SSHICHG*Y236,0)</f>
        <v>0</v>
      </c>
      <c r="CD236" s="462">
        <f>IF(AND(AT236&lt;&gt;0,AN236&lt;&gt;"NE"),VLOOKUP(AN236,Retirement_Rates,5,FALSE)*Y236,0)</f>
        <v>0</v>
      </c>
      <c r="CE236" s="462">
        <f>IF(AND(AT236&lt;&gt;0,AJ236&lt;&gt;"PF"),LifeCHG*Y236,0)</f>
        <v>0</v>
      </c>
      <c r="CF236" s="462">
        <f>IF(AND(AT236&lt;&gt;0,AM236="Y"),UICHG*Y236,0)</f>
        <v>-156.44719999999998</v>
      </c>
      <c r="CG236" s="462">
        <f>IF(AND(AT236&lt;&gt;0,N236&lt;&gt;"NR"),DHRCHG*Y236,0)</f>
        <v>0</v>
      </c>
      <c r="CH236" s="462">
        <f>IF(AT236&lt;&gt;0,WCCHG*Y236,0)</f>
        <v>249.03840000000005</v>
      </c>
      <c r="CI236" s="462">
        <f>IF(OR(AND(AT236&lt;&gt;0,AJ236&lt;&gt;"PF",AN236&lt;&gt;"NE",AG236&lt;&gt;"A"),AND(AL236="E",OR(AT236=1,AT236=3))),SickCHG*Y236,0)</f>
        <v>0</v>
      </c>
      <c r="CJ236" s="462">
        <f t="shared" si="63"/>
        <v>92.591200000000072</v>
      </c>
      <c r="CK236" s="462" t="str">
        <f t="shared" si="64"/>
        <v/>
      </c>
      <c r="CL236" s="462" t="str">
        <f t="shared" si="65"/>
        <v/>
      </c>
      <c r="CM236" s="462" t="str">
        <f t="shared" si="66"/>
        <v/>
      </c>
      <c r="CN236" s="462" t="str">
        <f t="shared" si="67"/>
        <v>0243-00</v>
      </c>
    </row>
    <row r="237" spans="1:92" ht="15" thickBot="1" x14ac:dyDescent="0.35">
      <c r="A237" s="376" t="s">
        <v>161</v>
      </c>
      <c r="B237" s="376" t="s">
        <v>162</v>
      </c>
      <c r="C237" s="376" t="s">
        <v>857</v>
      </c>
      <c r="D237" s="376" t="s">
        <v>858</v>
      </c>
      <c r="E237" s="376" t="s">
        <v>273</v>
      </c>
      <c r="F237" s="377" t="s">
        <v>166</v>
      </c>
      <c r="G237" s="376" t="s">
        <v>432</v>
      </c>
      <c r="H237" s="378"/>
      <c r="I237" s="378"/>
      <c r="J237" s="376" t="s">
        <v>168</v>
      </c>
      <c r="K237" s="376" t="s">
        <v>859</v>
      </c>
      <c r="L237" s="376" t="s">
        <v>166</v>
      </c>
      <c r="M237" s="376" t="s">
        <v>225</v>
      </c>
      <c r="N237" s="376" t="s">
        <v>223</v>
      </c>
      <c r="O237" s="379">
        <v>0</v>
      </c>
      <c r="P237" s="460">
        <v>1</v>
      </c>
      <c r="Q237" s="460">
        <v>0</v>
      </c>
      <c r="R237" s="380">
        <v>0</v>
      </c>
      <c r="S237" s="460">
        <v>0</v>
      </c>
      <c r="T237" s="380">
        <v>0</v>
      </c>
      <c r="U237" s="380">
        <v>0</v>
      </c>
      <c r="V237" s="380">
        <v>0</v>
      </c>
      <c r="W237" s="380">
        <v>0</v>
      </c>
      <c r="X237" s="380">
        <v>0</v>
      </c>
      <c r="Y237" s="380">
        <v>0</v>
      </c>
      <c r="Z237" s="380">
        <v>0</v>
      </c>
      <c r="AA237" s="378"/>
      <c r="AB237" s="376" t="s">
        <v>45</v>
      </c>
      <c r="AC237" s="376" t="s">
        <v>45</v>
      </c>
      <c r="AD237" s="378"/>
      <c r="AE237" s="378"/>
      <c r="AF237" s="378"/>
      <c r="AG237" s="378"/>
      <c r="AH237" s="379">
        <v>0</v>
      </c>
      <c r="AI237" s="379">
        <v>0</v>
      </c>
      <c r="AJ237" s="378"/>
      <c r="AK237" s="378"/>
      <c r="AL237" s="376" t="s">
        <v>181</v>
      </c>
      <c r="AM237" s="378"/>
      <c r="AN237" s="378"/>
      <c r="AO237" s="379">
        <v>0</v>
      </c>
      <c r="AP237" s="460">
        <v>0</v>
      </c>
      <c r="AQ237" s="460">
        <v>0</v>
      </c>
      <c r="AR237" s="459"/>
      <c r="AS237" s="462">
        <f t="shared" si="51"/>
        <v>0</v>
      </c>
      <c r="AT237">
        <f t="shared" si="52"/>
        <v>0</v>
      </c>
      <c r="AU237" s="462" t="str">
        <f>IF(AT237=0,"",IF(AND(AT237=1,M237="F",SUMIF(C2:C391,C237,AS2:AS391)&lt;=1),SUMIF(C2:C391,C237,AS2:AS391),IF(AND(AT237=1,M237="F",SUMIF(C2:C391,C237,AS2:AS391)&gt;1),1,"")))</f>
        <v/>
      </c>
      <c r="AV237" s="462" t="str">
        <f>IF(AT237=0,"",IF(AND(AT237=3,M237="F",SUMIF(C2:C391,C237,AS2:AS391)&lt;=1),SUMIF(C2:C391,C237,AS2:AS391),IF(AND(AT237=3,M237="F",SUMIF(C2:C391,C237,AS2:AS391)&gt;1),1,"")))</f>
        <v/>
      </c>
      <c r="AW237" s="462">
        <f>SUMIF(C2:C391,C237,O2:O391)</f>
        <v>0</v>
      </c>
      <c r="AX237" s="462">
        <f>IF(AND(M237="F",AS237&lt;&gt;0),SUMIF(C2:C391,C237,W2:W391),0)</f>
        <v>0</v>
      </c>
      <c r="AY237" s="462" t="str">
        <f t="shared" si="53"/>
        <v/>
      </c>
      <c r="AZ237" s="462" t="str">
        <f t="shared" si="54"/>
        <v/>
      </c>
      <c r="BA237" s="462">
        <f t="shared" si="55"/>
        <v>0</v>
      </c>
      <c r="BB237" s="462">
        <f>IF(AND(AT237=1,AK237="E",AU237&gt;=0.75,AW237=1),Health,IF(AND(AT237=1,AK237="E",AU237&gt;=0.75),Health*P237,IF(AND(AT237=1,AK237="E",AU237&gt;=0.5,AW237=1),PTHealth,IF(AND(AT237=1,AK237="E",AU237&gt;=0.5),PTHealth*P237,0))))</f>
        <v>0</v>
      </c>
      <c r="BC237" s="462">
        <f>IF(AND(AT237=3,AK237="E",AV237&gt;=0.75,AW237=1),Health,IF(AND(AT237=3,AK237="E",AV237&gt;=0.75),Health*P237,IF(AND(AT237=3,AK237="E",AV237&gt;=0.5,AW237=1),PTHealth,IF(AND(AT237=3,AK237="E",AV237&gt;=0.5),PTHealth*P237,0))))</f>
        <v>0</v>
      </c>
      <c r="BD237" s="462">
        <f>IF(AND(AT237&lt;&gt;0,AX237&gt;=MAXSSDI),SSDI*MAXSSDI*P237,IF(AT237&lt;&gt;0,SSDI*W237,0))</f>
        <v>0</v>
      </c>
      <c r="BE237" s="462">
        <f>IF(AT237&lt;&gt;0,SSHI*W237,0)</f>
        <v>0</v>
      </c>
      <c r="BF237" s="462">
        <f>IF(AND(AT237&lt;&gt;0,AN237&lt;&gt;"NE"),VLOOKUP(AN237,Retirement_Rates,3,FALSE)*W237,0)</f>
        <v>0</v>
      </c>
      <c r="BG237" s="462">
        <f>IF(AND(AT237&lt;&gt;0,AJ237&lt;&gt;"PF"),Life*W237,0)</f>
        <v>0</v>
      </c>
      <c r="BH237" s="462">
        <f>IF(AND(AT237&lt;&gt;0,AM237="Y"),UI*W237,0)</f>
        <v>0</v>
      </c>
      <c r="BI237" s="462">
        <f>IF(AND(AT237&lt;&gt;0,N237&lt;&gt;"NR"),DHR*W237,0)</f>
        <v>0</v>
      </c>
      <c r="BJ237" s="462">
        <f>IF(AT237&lt;&gt;0,WC*W237,0)</f>
        <v>0</v>
      </c>
      <c r="BK237" s="462">
        <f>IF(OR(AND(AT237&lt;&gt;0,AJ237&lt;&gt;"PF",AN237&lt;&gt;"NE",AG237&lt;&gt;"A"),AND(AL237="E",OR(AT237=1,AT237=3))),Sick*W237,0)</f>
        <v>0</v>
      </c>
      <c r="BL237" s="462">
        <f t="shared" si="56"/>
        <v>0</v>
      </c>
      <c r="BM237" s="462">
        <f t="shared" si="57"/>
        <v>0</v>
      </c>
      <c r="BN237" s="462">
        <f>IF(AND(AT237=1,AK237="E",AU237&gt;=0.75,AW237=1),HealthBY,IF(AND(AT237=1,AK237="E",AU237&gt;=0.75),HealthBY*P237,IF(AND(AT237=1,AK237="E",AU237&gt;=0.5,AW237=1),PTHealthBY,IF(AND(AT237=1,AK237="E",AU237&gt;=0.5),PTHealthBY*P237,0))))</f>
        <v>0</v>
      </c>
      <c r="BO237" s="462">
        <f>IF(AND(AT237=3,AK237="E",AV237&gt;=0.75,AW237=1),HealthBY,IF(AND(AT237=3,AK237="E",AV237&gt;=0.75),HealthBY*P237,IF(AND(AT237=3,AK237="E",AV237&gt;=0.5,AW237=1),PTHealthBY,IF(AND(AT237=3,AK237="E",AV237&gt;=0.5),PTHealthBY*P237,0))))</f>
        <v>0</v>
      </c>
      <c r="BP237" s="462">
        <f>IF(AND(AT237&lt;&gt;0,(AX237+BA237)&gt;=MAXSSDIBY),SSDIBY*MAXSSDIBY*P237,IF(AT237&lt;&gt;0,SSDIBY*W237,0))</f>
        <v>0</v>
      </c>
      <c r="BQ237" s="462">
        <f>IF(AT237&lt;&gt;0,SSHIBY*W237,0)</f>
        <v>0</v>
      </c>
      <c r="BR237" s="462">
        <f>IF(AND(AT237&lt;&gt;0,AN237&lt;&gt;"NE"),VLOOKUP(AN237,Retirement_Rates,4,FALSE)*W237,0)</f>
        <v>0</v>
      </c>
      <c r="BS237" s="462">
        <f>IF(AND(AT237&lt;&gt;0,AJ237&lt;&gt;"PF"),LifeBY*W237,0)</f>
        <v>0</v>
      </c>
      <c r="BT237" s="462">
        <f>IF(AND(AT237&lt;&gt;0,AM237="Y"),UIBY*W237,0)</f>
        <v>0</v>
      </c>
      <c r="BU237" s="462">
        <f>IF(AND(AT237&lt;&gt;0,N237&lt;&gt;"NR"),DHRBY*W237,0)</f>
        <v>0</v>
      </c>
      <c r="BV237" s="462">
        <f>IF(AT237&lt;&gt;0,WCBY*W237,0)</f>
        <v>0</v>
      </c>
      <c r="BW237" s="462">
        <f>IF(OR(AND(AT237&lt;&gt;0,AJ237&lt;&gt;"PF",AN237&lt;&gt;"NE",AG237&lt;&gt;"A"),AND(AL237="E",OR(AT237=1,AT237=3))),SickBY*W237,0)</f>
        <v>0</v>
      </c>
      <c r="BX237" s="462">
        <f t="shared" si="58"/>
        <v>0</v>
      </c>
      <c r="BY237" s="462">
        <f t="shared" si="59"/>
        <v>0</v>
      </c>
      <c r="BZ237" s="462">
        <f t="shared" si="60"/>
        <v>0</v>
      </c>
      <c r="CA237" s="462">
        <f t="shared" si="61"/>
        <v>0</v>
      </c>
      <c r="CB237" s="462">
        <f t="shared" si="62"/>
        <v>0</v>
      </c>
      <c r="CC237" s="462">
        <f>IF(AT237&lt;&gt;0,SSHICHG*Y237,0)</f>
        <v>0</v>
      </c>
      <c r="CD237" s="462">
        <f>IF(AND(AT237&lt;&gt;0,AN237&lt;&gt;"NE"),VLOOKUP(AN237,Retirement_Rates,5,FALSE)*Y237,0)</f>
        <v>0</v>
      </c>
      <c r="CE237" s="462">
        <f>IF(AND(AT237&lt;&gt;0,AJ237&lt;&gt;"PF"),LifeCHG*Y237,0)</f>
        <v>0</v>
      </c>
      <c r="CF237" s="462">
        <f>IF(AND(AT237&lt;&gt;0,AM237="Y"),UICHG*Y237,0)</f>
        <v>0</v>
      </c>
      <c r="CG237" s="462">
        <f>IF(AND(AT237&lt;&gt;0,N237&lt;&gt;"NR"),DHRCHG*Y237,0)</f>
        <v>0</v>
      </c>
      <c r="CH237" s="462">
        <f>IF(AT237&lt;&gt;0,WCCHG*Y237,0)</f>
        <v>0</v>
      </c>
      <c r="CI237" s="462">
        <f>IF(OR(AND(AT237&lt;&gt;0,AJ237&lt;&gt;"PF",AN237&lt;&gt;"NE",AG237&lt;&gt;"A"),AND(AL237="E",OR(AT237=1,AT237=3))),SickCHG*Y237,0)</f>
        <v>0</v>
      </c>
      <c r="CJ237" s="462">
        <f t="shared" si="63"/>
        <v>0</v>
      </c>
      <c r="CK237" s="462" t="str">
        <f t="shared" si="64"/>
        <v/>
      </c>
      <c r="CL237" s="462">
        <f t="shared" si="65"/>
        <v>0</v>
      </c>
      <c r="CM237" s="462">
        <f t="shared" si="66"/>
        <v>0</v>
      </c>
      <c r="CN237" s="462" t="str">
        <f t="shared" si="67"/>
        <v>0243-00</v>
      </c>
    </row>
    <row r="238" spans="1:92" ht="15" thickBot="1" x14ac:dyDescent="0.35">
      <c r="A238" s="376" t="s">
        <v>161</v>
      </c>
      <c r="B238" s="376" t="s">
        <v>162</v>
      </c>
      <c r="C238" s="376" t="s">
        <v>860</v>
      </c>
      <c r="D238" s="376" t="s">
        <v>221</v>
      </c>
      <c r="E238" s="376" t="s">
        <v>273</v>
      </c>
      <c r="F238" s="377" t="s">
        <v>166</v>
      </c>
      <c r="G238" s="376" t="s">
        <v>432</v>
      </c>
      <c r="H238" s="378"/>
      <c r="I238" s="378"/>
      <c r="J238" s="376" t="s">
        <v>168</v>
      </c>
      <c r="K238" s="376" t="s">
        <v>222</v>
      </c>
      <c r="L238" s="376" t="s">
        <v>166</v>
      </c>
      <c r="M238" s="376" t="s">
        <v>171</v>
      </c>
      <c r="N238" s="376" t="s">
        <v>223</v>
      </c>
      <c r="O238" s="379">
        <v>0</v>
      </c>
      <c r="P238" s="460">
        <v>0</v>
      </c>
      <c r="Q238" s="460">
        <v>0</v>
      </c>
      <c r="R238" s="380">
        <v>0</v>
      </c>
      <c r="S238" s="460">
        <v>0</v>
      </c>
      <c r="T238" s="380">
        <v>2812.94</v>
      </c>
      <c r="U238" s="380">
        <v>604.13</v>
      </c>
      <c r="V238" s="380">
        <v>1582.93</v>
      </c>
      <c r="W238" s="380">
        <v>0</v>
      </c>
      <c r="X238" s="380">
        <v>0</v>
      </c>
      <c r="Y238" s="380">
        <v>0</v>
      </c>
      <c r="Z238" s="380">
        <v>0</v>
      </c>
      <c r="AA238" s="378"/>
      <c r="AB238" s="376" t="s">
        <v>45</v>
      </c>
      <c r="AC238" s="376" t="s">
        <v>45</v>
      </c>
      <c r="AD238" s="378"/>
      <c r="AE238" s="378"/>
      <c r="AF238" s="378"/>
      <c r="AG238" s="378"/>
      <c r="AH238" s="379">
        <v>0</v>
      </c>
      <c r="AI238" s="379">
        <v>0</v>
      </c>
      <c r="AJ238" s="378"/>
      <c r="AK238" s="378"/>
      <c r="AL238" s="376" t="s">
        <v>181</v>
      </c>
      <c r="AM238" s="378"/>
      <c r="AN238" s="378"/>
      <c r="AO238" s="379">
        <v>0</v>
      </c>
      <c r="AP238" s="460">
        <v>0</v>
      </c>
      <c r="AQ238" s="460">
        <v>0</v>
      </c>
      <c r="AR238" s="459"/>
      <c r="AS238" s="462">
        <f t="shared" si="51"/>
        <v>0</v>
      </c>
      <c r="AT238">
        <f t="shared" si="52"/>
        <v>0</v>
      </c>
      <c r="AU238" s="462" t="str">
        <f>IF(AT238=0,"",IF(AND(AT238=1,M238="F",SUMIF(C2:C391,C238,AS2:AS391)&lt;=1),SUMIF(C2:C391,C238,AS2:AS391),IF(AND(AT238=1,M238="F",SUMIF(C2:C391,C238,AS2:AS391)&gt;1),1,"")))</f>
        <v/>
      </c>
      <c r="AV238" s="462" t="str">
        <f>IF(AT238=0,"",IF(AND(AT238=3,M238="F",SUMIF(C2:C391,C238,AS2:AS391)&lt;=1),SUMIF(C2:C391,C238,AS2:AS391),IF(AND(AT238=3,M238="F",SUMIF(C2:C391,C238,AS2:AS391)&gt;1),1,"")))</f>
        <v/>
      </c>
      <c r="AW238" s="462">
        <f>SUMIF(C2:C391,C238,O2:O391)</f>
        <v>0</v>
      </c>
      <c r="AX238" s="462">
        <f>IF(AND(M238="F",AS238&lt;&gt;0),SUMIF(C2:C391,C238,W2:W391),0)</f>
        <v>0</v>
      </c>
      <c r="AY238" s="462" t="str">
        <f t="shared" si="53"/>
        <v/>
      </c>
      <c r="AZ238" s="462" t="str">
        <f t="shared" si="54"/>
        <v/>
      </c>
      <c r="BA238" s="462">
        <f t="shared" si="55"/>
        <v>0</v>
      </c>
      <c r="BB238" s="462">
        <f>IF(AND(AT238=1,AK238="E",AU238&gt;=0.75,AW238=1),Health,IF(AND(AT238=1,AK238="E",AU238&gt;=0.75),Health*P238,IF(AND(AT238=1,AK238="E",AU238&gt;=0.5,AW238=1),PTHealth,IF(AND(AT238=1,AK238="E",AU238&gt;=0.5),PTHealth*P238,0))))</f>
        <v>0</v>
      </c>
      <c r="BC238" s="462">
        <f>IF(AND(AT238=3,AK238="E",AV238&gt;=0.75,AW238=1),Health,IF(AND(AT238=3,AK238="E",AV238&gt;=0.75),Health*P238,IF(AND(AT238=3,AK238="E",AV238&gt;=0.5,AW238=1),PTHealth,IF(AND(AT238=3,AK238="E",AV238&gt;=0.5),PTHealth*P238,0))))</f>
        <v>0</v>
      </c>
      <c r="BD238" s="462">
        <f>IF(AND(AT238&lt;&gt;0,AX238&gt;=MAXSSDI),SSDI*MAXSSDI*P238,IF(AT238&lt;&gt;0,SSDI*W238,0))</f>
        <v>0</v>
      </c>
      <c r="BE238" s="462">
        <f>IF(AT238&lt;&gt;0,SSHI*W238,0)</f>
        <v>0</v>
      </c>
      <c r="BF238" s="462">
        <f>IF(AND(AT238&lt;&gt;0,AN238&lt;&gt;"NE"),VLOOKUP(AN238,Retirement_Rates,3,FALSE)*W238,0)</f>
        <v>0</v>
      </c>
      <c r="BG238" s="462">
        <f>IF(AND(AT238&lt;&gt;0,AJ238&lt;&gt;"PF"),Life*W238,0)</f>
        <v>0</v>
      </c>
      <c r="BH238" s="462">
        <f>IF(AND(AT238&lt;&gt;0,AM238="Y"),UI*W238,0)</f>
        <v>0</v>
      </c>
      <c r="BI238" s="462">
        <f>IF(AND(AT238&lt;&gt;0,N238&lt;&gt;"NR"),DHR*W238,0)</f>
        <v>0</v>
      </c>
      <c r="BJ238" s="462">
        <f>IF(AT238&lt;&gt;0,WC*W238,0)</f>
        <v>0</v>
      </c>
      <c r="BK238" s="462">
        <f>IF(OR(AND(AT238&lt;&gt;0,AJ238&lt;&gt;"PF",AN238&lt;&gt;"NE",AG238&lt;&gt;"A"),AND(AL238="E",OR(AT238=1,AT238=3))),Sick*W238,0)</f>
        <v>0</v>
      </c>
      <c r="BL238" s="462">
        <f t="shared" si="56"/>
        <v>0</v>
      </c>
      <c r="BM238" s="462">
        <f t="shared" si="57"/>
        <v>0</v>
      </c>
      <c r="BN238" s="462">
        <f>IF(AND(AT238=1,AK238="E",AU238&gt;=0.75,AW238=1),HealthBY,IF(AND(AT238=1,AK238="E",AU238&gt;=0.75),HealthBY*P238,IF(AND(AT238=1,AK238="E",AU238&gt;=0.5,AW238=1),PTHealthBY,IF(AND(AT238=1,AK238="E",AU238&gt;=0.5),PTHealthBY*P238,0))))</f>
        <v>0</v>
      </c>
      <c r="BO238" s="462">
        <f>IF(AND(AT238=3,AK238="E",AV238&gt;=0.75,AW238=1),HealthBY,IF(AND(AT238=3,AK238="E",AV238&gt;=0.75),HealthBY*P238,IF(AND(AT238=3,AK238="E",AV238&gt;=0.5,AW238=1),PTHealthBY,IF(AND(AT238=3,AK238="E",AV238&gt;=0.5),PTHealthBY*P238,0))))</f>
        <v>0</v>
      </c>
      <c r="BP238" s="462">
        <f>IF(AND(AT238&lt;&gt;0,(AX238+BA238)&gt;=MAXSSDIBY),SSDIBY*MAXSSDIBY*P238,IF(AT238&lt;&gt;0,SSDIBY*W238,0))</f>
        <v>0</v>
      </c>
      <c r="BQ238" s="462">
        <f>IF(AT238&lt;&gt;0,SSHIBY*W238,0)</f>
        <v>0</v>
      </c>
      <c r="BR238" s="462">
        <f>IF(AND(AT238&lt;&gt;0,AN238&lt;&gt;"NE"),VLOOKUP(AN238,Retirement_Rates,4,FALSE)*W238,0)</f>
        <v>0</v>
      </c>
      <c r="BS238" s="462">
        <f>IF(AND(AT238&lt;&gt;0,AJ238&lt;&gt;"PF"),LifeBY*W238,0)</f>
        <v>0</v>
      </c>
      <c r="BT238" s="462">
        <f>IF(AND(AT238&lt;&gt;0,AM238="Y"),UIBY*W238,0)</f>
        <v>0</v>
      </c>
      <c r="BU238" s="462">
        <f>IF(AND(AT238&lt;&gt;0,N238&lt;&gt;"NR"),DHRBY*W238,0)</f>
        <v>0</v>
      </c>
      <c r="BV238" s="462">
        <f>IF(AT238&lt;&gt;0,WCBY*W238,0)</f>
        <v>0</v>
      </c>
      <c r="BW238" s="462">
        <f>IF(OR(AND(AT238&lt;&gt;0,AJ238&lt;&gt;"PF",AN238&lt;&gt;"NE",AG238&lt;&gt;"A"),AND(AL238="E",OR(AT238=1,AT238=3))),SickBY*W238,0)</f>
        <v>0</v>
      </c>
      <c r="BX238" s="462">
        <f t="shared" si="58"/>
        <v>0</v>
      </c>
      <c r="BY238" s="462">
        <f t="shared" si="59"/>
        <v>0</v>
      </c>
      <c r="BZ238" s="462">
        <f t="shared" si="60"/>
        <v>0</v>
      </c>
      <c r="CA238" s="462">
        <f t="shared" si="61"/>
        <v>0</v>
      </c>
      <c r="CB238" s="462">
        <f t="shared" si="62"/>
        <v>0</v>
      </c>
      <c r="CC238" s="462">
        <f>IF(AT238&lt;&gt;0,SSHICHG*Y238,0)</f>
        <v>0</v>
      </c>
      <c r="CD238" s="462">
        <f>IF(AND(AT238&lt;&gt;0,AN238&lt;&gt;"NE"),VLOOKUP(AN238,Retirement_Rates,5,FALSE)*Y238,0)</f>
        <v>0</v>
      </c>
      <c r="CE238" s="462">
        <f>IF(AND(AT238&lt;&gt;0,AJ238&lt;&gt;"PF"),LifeCHG*Y238,0)</f>
        <v>0</v>
      </c>
      <c r="CF238" s="462">
        <f>IF(AND(AT238&lt;&gt;0,AM238="Y"),UICHG*Y238,0)</f>
        <v>0</v>
      </c>
      <c r="CG238" s="462">
        <f>IF(AND(AT238&lt;&gt;0,N238&lt;&gt;"NR"),DHRCHG*Y238,0)</f>
        <v>0</v>
      </c>
      <c r="CH238" s="462">
        <f>IF(AT238&lt;&gt;0,WCCHG*Y238,0)</f>
        <v>0</v>
      </c>
      <c r="CI238" s="462">
        <f>IF(OR(AND(AT238&lt;&gt;0,AJ238&lt;&gt;"PF",AN238&lt;&gt;"NE",AG238&lt;&gt;"A"),AND(AL238="E",OR(AT238=1,AT238=3))),SickCHG*Y238,0)</f>
        <v>0</v>
      </c>
      <c r="CJ238" s="462">
        <f t="shared" si="63"/>
        <v>0</v>
      </c>
      <c r="CK238" s="462" t="str">
        <f t="shared" si="64"/>
        <v/>
      </c>
      <c r="CL238" s="462">
        <f t="shared" si="65"/>
        <v>3417.07</v>
      </c>
      <c r="CM238" s="462">
        <f t="shared" si="66"/>
        <v>1582.93</v>
      </c>
      <c r="CN238" s="462" t="str">
        <f t="shared" si="67"/>
        <v>0243-00</v>
      </c>
    </row>
    <row r="239" spans="1:92" ht="15" thickBot="1" x14ac:dyDescent="0.35">
      <c r="A239" s="376" t="s">
        <v>161</v>
      </c>
      <c r="B239" s="376" t="s">
        <v>162</v>
      </c>
      <c r="C239" s="376" t="s">
        <v>861</v>
      </c>
      <c r="D239" s="376" t="s">
        <v>460</v>
      </c>
      <c r="E239" s="376" t="s">
        <v>273</v>
      </c>
      <c r="F239" s="377" t="s">
        <v>166</v>
      </c>
      <c r="G239" s="376" t="s">
        <v>432</v>
      </c>
      <c r="H239" s="378"/>
      <c r="I239" s="378"/>
      <c r="J239" s="376" t="s">
        <v>168</v>
      </c>
      <c r="K239" s="376" t="s">
        <v>461</v>
      </c>
      <c r="L239" s="376" t="s">
        <v>240</v>
      </c>
      <c r="M239" s="376" t="s">
        <v>171</v>
      </c>
      <c r="N239" s="376" t="s">
        <v>172</v>
      </c>
      <c r="O239" s="379">
        <v>1</v>
      </c>
      <c r="P239" s="460">
        <v>1</v>
      </c>
      <c r="Q239" s="460">
        <v>1</v>
      </c>
      <c r="R239" s="380">
        <v>80</v>
      </c>
      <c r="S239" s="460">
        <v>1</v>
      </c>
      <c r="T239" s="380">
        <v>47138.32</v>
      </c>
      <c r="U239" s="380">
        <v>0</v>
      </c>
      <c r="V239" s="380">
        <v>22342.91</v>
      </c>
      <c r="W239" s="380">
        <v>45780.800000000003</v>
      </c>
      <c r="X239" s="380">
        <v>22544.41</v>
      </c>
      <c r="Y239" s="380">
        <v>45780.800000000003</v>
      </c>
      <c r="Z239" s="380">
        <v>22677.18</v>
      </c>
      <c r="AA239" s="376" t="s">
        <v>862</v>
      </c>
      <c r="AB239" s="376" t="s">
        <v>863</v>
      </c>
      <c r="AC239" s="376" t="s">
        <v>864</v>
      </c>
      <c r="AD239" s="376" t="s">
        <v>176</v>
      </c>
      <c r="AE239" s="376" t="s">
        <v>461</v>
      </c>
      <c r="AF239" s="376" t="s">
        <v>244</v>
      </c>
      <c r="AG239" s="376" t="s">
        <v>178</v>
      </c>
      <c r="AH239" s="381">
        <v>22.01</v>
      </c>
      <c r="AI239" s="381">
        <v>16969.5</v>
      </c>
      <c r="AJ239" s="376" t="s">
        <v>179</v>
      </c>
      <c r="AK239" s="376" t="s">
        <v>180</v>
      </c>
      <c r="AL239" s="376" t="s">
        <v>181</v>
      </c>
      <c r="AM239" s="376" t="s">
        <v>182</v>
      </c>
      <c r="AN239" s="376" t="s">
        <v>68</v>
      </c>
      <c r="AO239" s="379">
        <v>80</v>
      </c>
      <c r="AP239" s="460">
        <v>1</v>
      </c>
      <c r="AQ239" s="460">
        <v>1</v>
      </c>
      <c r="AR239" s="458" t="s">
        <v>183</v>
      </c>
      <c r="AS239" s="462">
        <f t="shared" si="51"/>
        <v>1</v>
      </c>
      <c r="AT239">
        <f t="shared" si="52"/>
        <v>1</v>
      </c>
      <c r="AU239" s="462">
        <f>IF(AT239=0,"",IF(AND(AT239=1,M239="F",SUMIF(C2:C391,C239,AS2:AS391)&lt;=1),SUMIF(C2:C391,C239,AS2:AS391),IF(AND(AT239=1,M239="F",SUMIF(C2:C391,C239,AS2:AS391)&gt;1),1,"")))</f>
        <v>1</v>
      </c>
      <c r="AV239" s="462" t="str">
        <f>IF(AT239=0,"",IF(AND(AT239=3,M239="F",SUMIF(C2:C391,C239,AS2:AS391)&lt;=1),SUMIF(C2:C391,C239,AS2:AS391),IF(AND(AT239=3,M239="F",SUMIF(C2:C391,C239,AS2:AS391)&gt;1),1,"")))</f>
        <v/>
      </c>
      <c r="AW239" s="462">
        <f>SUMIF(C2:C391,C239,O2:O391)</f>
        <v>1</v>
      </c>
      <c r="AX239" s="462">
        <f>IF(AND(M239="F",AS239&lt;&gt;0),SUMIF(C2:C391,C239,W2:W391),0)</f>
        <v>45780.800000000003</v>
      </c>
      <c r="AY239" s="462">
        <f t="shared" si="53"/>
        <v>45780.800000000003</v>
      </c>
      <c r="AZ239" s="462" t="str">
        <f t="shared" si="54"/>
        <v/>
      </c>
      <c r="BA239" s="462">
        <f t="shared" si="55"/>
        <v>0</v>
      </c>
      <c r="BB239" s="462">
        <f>IF(AND(AT239=1,AK239="E",AU239&gt;=0.75,AW239=1),Health,IF(AND(AT239=1,AK239="E",AU239&gt;=0.75),Health*P239,IF(AND(AT239=1,AK239="E",AU239&gt;=0.5,AW239=1),PTHealth,IF(AND(AT239=1,AK239="E",AU239&gt;=0.5),PTHealth*P239,0))))</f>
        <v>11650</v>
      </c>
      <c r="BC239" s="462">
        <f>IF(AND(AT239=3,AK239="E",AV239&gt;=0.75,AW239=1),Health,IF(AND(AT239=3,AK239="E",AV239&gt;=0.75),Health*P239,IF(AND(AT239=3,AK239="E",AV239&gt;=0.5,AW239=1),PTHealth,IF(AND(AT239=3,AK239="E",AV239&gt;=0.5),PTHealth*P239,0))))</f>
        <v>0</v>
      </c>
      <c r="BD239" s="462">
        <f>IF(AND(AT239&lt;&gt;0,AX239&gt;=MAXSSDI),SSDI*MAXSSDI*P239,IF(AT239&lt;&gt;0,SSDI*W239,0))</f>
        <v>2838.4096</v>
      </c>
      <c r="BE239" s="462">
        <f>IF(AT239&lt;&gt;0,SSHI*W239,0)</f>
        <v>663.8216000000001</v>
      </c>
      <c r="BF239" s="462">
        <f>IF(AND(AT239&lt;&gt;0,AN239&lt;&gt;"NE"),VLOOKUP(AN239,Retirement_Rates,3,FALSE)*W239,0)</f>
        <v>5466.2275200000004</v>
      </c>
      <c r="BG239" s="462">
        <f>IF(AND(AT239&lt;&gt;0,AJ239&lt;&gt;"PF"),Life*W239,0)</f>
        <v>330.07956800000005</v>
      </c>
      <c r="BH239" s="462">
        <f>IF(AND(AT239&lt;&gt;0,AM239="Y"),UI*W239,0)</f>
        <v>224.32592</v>
      </c>
      <c r="BI239" s="462">
        <f>IF(AND(AT239&lt;&gt;0,N239&lt;&gt;"NR"),DHR*W239,0)</f>
        <v>140.089248</v>
      </c>
      <c r="BJ239" s="462">
        <f>IF(AT239&lt;&gt;0,WC*W239,0)</f>
        <v>1231.50352</v>
      </c>
      <c r="BK239" s="462">
        <f>IF(OR(AND(AT239&lt;&gt;0,AJ239&lt;&gt;"PF",AN239&lt;&gt;"NE",AG239&lt;&gt;"A"),AND(AL239="E",OR(AT239=1,AT239=3))),Sick*W239,0)</f>
        <v>0</v>
      </c>
      <c r="BL239" s="462">
        <f t="shared" si="56"/>
        <v>10894.456975999999</v>
      </c>
      <c r="BM239" s="462">
        <f t="shared" si="57"/>
        <v>0</v>
      </c>
      <c r="BN239" s="462">
        <f>IF(AND(AT239=1,AK239="E",AU239&gt;=0.75,AW239=1),HealthBY,IF(AND(AT239=1,AK239="E",AU239&gt;=0.75),HealthBY*P239,IF(AND(AT239=1,AK239="E",AU239&gt;=0.5,AW239=1),PTHealthBY,IF(AND(AT239=1,AK239="E",AU239&gt;=0.5),PTHealthBY*P239,0))))</f>
        <v>11650</v>
      </c>
      <c r="BO239" s="462">
        <f>IF(AND(AT239=3,AK239="E",AV239&gt;=0.75,AW239=1),HealthBY,IF(AND(AT239=3,AK239="E",AV239&gt;=0.75),HealthBY*P239,IF(AND(AT239=3,AK239="E",AV239&gt;=0.5,AW239=1),PTHealthBY,IF(AND(AT239=3,AK239="E",AV239&gt;=0.5),PTHealthBY*P239,0))))</f>
        <v>0</v>
      </c>
      <c r="BP239" s="462">
        <f>IF(AND(AT239&lt;&gt;0,(AX239+BA239)&gt;=MAXSSDIBY),SSDIBY*MAXSSDIBY*P239,IF(AT239&lt;&gt;0,SSDIBY*W239,0))</f>
        <v>2838.4096</v>
      </c>
      <c r="BQ239" s="462">
        <f>IF(AT239&lt;&gt;0,SSHIBY*W239,0)</f>
        <v>663.8216000000001</v>
      </c>
      <c r="BR239" s="462">
        <f>IF(AND(AT239&lt;&gt;0,AN239&lt;&gt;"NE"),VLOOKUP(AN239,Retirement_Rates,4,FALSE)*W239,0)</f>
        <v>5466.2275200000004</v>
      </c>
      <c r="BS239" s="462">
        <f>IF(AND(AT239&lt;&gt;0,AJ239&lt;&gt;"PF"),LifeBY*W239,0)</f>
        <v>330.07956800000005</v>
      </c>
      <c r="BT239" s="462">
        <f>IF(AND(AT239&lt;&gt;0,AM239="Y"),UIBY*W239,0)</f>
        <v>0</v>
      </c>
      <c r="BU239" s="462">
        <f>IF(AND(AT239&lt;&gt;0,N239&lt;&gt;"NR"),DHRBY*W239,0)</f>
        <v>140.089248</v>
      </c>
      <c r="BV239" s="462">
        <f>IF(AT239&lt;&gt;0,WCBY*W239,0)</f>
        <v>1588.5937600000002</v>
      </c>
      <c r="BW239" s="462">
        <f>IF(OR(AND(AT239&lt;&gt;0,AJ239&lt;&gt;"PF",AN239&lt;&gt;"NE",AG239&lt;&gt;"A"),AND(AL239="E",OR(AT239=1,AT239=3))),SickBY*W239,0)</f>
        <v>0</v>
      </c>
      <c r="BX239" s="462">
        <f t="shared" si="58"/>
        <v>11027.221296</v>
      </c>
      <c r="BY239" s="462">
        <f t="shared" si="59"/>
        <v>0</v>
      </c>
      <c r="BZ239" s="462">
        <f t="shared" si="60"/>
        <v>0</v>
      </c>
      <c r="CA239" s="462">
        <f t="shared" si="61"/>
        <v>0</v>
      </c>
      <c r="CB239" s="462">
        <f t="shared" si="62"/>
        <v>0</v>
      </c>
      <c r="CC239" s="462">
        <f>IF(AT239&lt;&gt;0,SSHICHG*Y239,0)</f>
        <v>0</v>
      </c>
      <c r="CD239" s="462">
        <f>IF(AND(AT239&lt;&gt;0,AN239&lt;&gt;"NE"),VLOOKUP(AN239,Retirement_Rates,5,FALSE)*Y239,0)</f>
        <v>0</v>
      </c>
      <c r="CE239" s="462">
        <f>IF(AND(AT239&lt;&gt;0,AJ239&lt;&gt;"PF"),LifeCHG*Y239,0)</f>
        <v>0</v>
      </c>
      <c r="CF239" s="462">
        <f>IF(AND(AT239&lt;&gt;0,AM239="Y"),UICHG*Y239,0)</f>
        <v>-224.32592</v>
      </c>
      <c r="CG239" s="462">
        <f>IF(AND(AT239&lt;&gt;0,N239&lt;&gt;"NR"),DHRCHG*Y239,0)</f>
        <v>0</v>
      </c>
      <c r="CH239" s="462">
        <f>IF(AT239&lt;&gt;0,WCCHG*Y239,0)</f>
        <v>357.09024000000011</v>
      </c>
      <c r="CI239" s="462">
        <f>IF(OR(AND(AT239&lt;&gt;0,AJ239&lt;&gt;"PF",AN239&lt;&gt;"NE",AG239&lt;&gt;"A"),AND(AL239="E",OR(AT239=1,AT239=3))),SickCHG*Y239,0)</f>
        <v>0</v>
      </c>
      <c r="CJ239" s="462">
        <f t="shared" si="63"/>
        <v>132.76432000000011</v>
      </c>
      <c r="CK239" s="462" t="str">
        <f t="shared" si="64"/>
        <v/>
      </c>
      <c r="CL239" s="462" t="str">
        <f t="shared" si="65"/>
        <v/>
      </c>
      <c r="CM239" s="462" t="str">
        <f t="shared" si="66"/>
        <v/>
      </c>
      <c r="CN239" s="462" t="str">
        <f t="shared" si="67"/>
        <v>0243-00</v>
      </c>
    </row>
    <row r="240" spans="1:92" ht="15" thickBot="1" x14ac:dyDescent="0.35">
      <c r="A240" s="376" t="s">
        <v>161</v>
      </c>
      <c r="B240" s="376" t="s">
        <v>162</v>
      </c>
      <c r="C240" s="376" t="s">
        <v>583</v>
      </c>
      <c r="D240" s="376" t="s">
        <v>221</v>
      </c>
      <c r="E240" s="376" t="s">
        <v>273</v>
      </c>
      <c r="F240" s="377" t="s">
        <v>166</v>
      </c>
      <c r="G240" s="376" t="s">
        <v>432</v>
      </c>
      <c r="H240" s="378"/>
      <c r="I240" s="378"/>
      <c r="J240" s="376" t="s">
        <v>168</v>
      </c>
      <c r="K240" s="376" t="s">
        <v>222</v>
      </c>
      <c r="L240" s="376" t="s">
        <v>166</v>
      </c>
      <c r="M240" s="376" t="s">
        <v>171</v>
      </c>
      <c r="N240" s="376" t="s">
        <v>223</v>
      </c>
      <c r="O240" s="379">
        <v>0</v>
      </c>
      <c r="P240" s="460">
        <v>1</v>
      </c>
      <c r="Q240" s="460">
        <v>0</v>
      </c>
      <c r="R240" s="380">
        <v>0</v>
      </c>
      <c r="S240" s="460">
        <v>0</v>
      </c>
      <c r="T240" s="380">
        <v>28752.9</v>
      </c>
      <c r="U240" s="380">
        <v>621.6</v>
      </c>
      <c r="V240" s="380">
        <v>2821.17</v>
      </c>
      <c r="W240" s="380">
        <v>62187</v>
      </c>
      <c r="X240" s="380">
        <v>8008.67</v>
      </c>
      <c r="Y240" s="380">
        <v>62187</v>
      </c>
      <c r="Z240" s="380">
        <v>8008.67</v>
      </c>
      <c r="AA240" s="378"/>
      <c r="AB240" s="376" t="s">
        <v>45</v>
      </c>
      <c r="AC240" s="376" t="s">
        <v>45</v>
      </c>
      <c r="AD240" s="378"/>
      <c r="AE240" s="378"/>
      <c r="AF240" s="378"/>
      <c r="AG240" s="378"/>
      <c r="AH240" s="379">
        <v>0</v>
      </c>
      <c r="AI240" s="379">
        <v>0</v>
      </c>
      <c r="AJ240" s="378"/>
      <c r="AK240" s="378"/>
      <c r="AL240" s="376" t="s">
        <v>181</v>
      </c>
      <c r="AM240" s="378"/>
      <c r="AN240" s="378"/>
      <c r="AO240" s="379">
        <v>0</v>
      </c>
      <c r="AP240" s="460">
        <v>0</v>
      </c>
      <c r="AQ240" s="460">
        <v>0</v>
      </c>
      <c r="AR240" s="459"/>
      <c r="AS240" s="462">
        <f t="shared" si="51"/>
        <v>0</v>
      </c>
      <c r="AT240">
        <f t="shared" si="52"/>
        <v>0</v>
      </c>
      <c r="AU240" s="462" t="str">
        <f>IF(AT240=0,"",IF(AND(AT240=1,M240="F",SUMIF(C2:C391,C240,AS2:AS391)&lt;=1),SUMIF(C2:C391,C240,AS2:AS391),IF(AND(AT240=1,M240="F",SUMIF(C2:C391,C240,AS2:AS391)&gt;1),1,"")))</f>
        <v/>
      </c>
      <c r="AV240" s="462" t="str">
        <f>IF(AT240=0,"",IF(AND(AT240=3,M240="F",SUMIF(C2:C391,C240,AS2:AS391)&lt;=1),SUMIF(C2:C391,C240,AS2:AS391),IF(AND(AT240=3,M240="F",SUMIF(C2:C391,C240,AS2:AS391)&gt;1),1,"")))</f>
        <v/>
      </c>
      <c r="AW240" s="462">
        <f>SUMIF(C2:C391,C240,O2:O391)</f>
        <v>0</v>
      </c>
      <c r="AX240" s="462">
        <f>IF(AND(M240="F",AS240&lt;&gt;0),SUMIF(C2:C391,C240,W2:W391),0)</f>
        <v>0</v>
      </c>
      <c r="AY240" s="462" t="str">
        <f t="shared" si="53"/>
        <v/>
      </c>
      <c r="AZ240" s="462" t="str">
        <f t="shared" si="54"/>
        <v/>
      </c>
      <c r="BA240" s="462">
        <f t="shared" si="55"/>
        <v>0</v>
      </c>
      <c r="BB240" s="462">
        <f>IF(AND(AT240=1,AK240="E",AU240&gt;=0.75,AW240=1),Health,IF(AND(AT240=1,AK240="E",AU240&gt;=0.75),Health*P240,IF(AND(AT240=1,AK240="E",AU240&gt;=0.5,AW240=1),PTHealth,IF(AND(AT240=1,AK240="E",AU240&gt;=0.5),PTHealth*P240,0))))</f>
        <v>0</v>
      </c>
      <c r="BC240" s="462">
        <f>IF(AND(AT240=3,AK240="E",AV240&gt;=0.75,AW240=1),Health,IF(AND(AT240=3,AK240="E",AV240&gt;=0.75),Health*P240,IF(AND(AT240=3,AK240="E",AV240&gt;=0.5,AW240=1),PTHealth,IF(AND(AT240=3,AK240="E",AV240&gt;=0.5),PTHealth*P240,0))))</f>
        <v>0</v>
      </c>
      <c r="BD240" s="462">
        <f>IF(AND(AT240&lt;&gt;0,AX240&gt;=MAXSSDI),SSDI*MAXSSDI*P240,IF(AT240&lt;&gt;0,SSDI*W240,0))</f>
        <v>0</v>
      </c>
      <c r="BE240" s="462">
        <f>IF(AT240&lt;&gt;0,SSHI*W240,0)</f>
        <v>0</v>
      </c>
      <c r="BF240" s="462">
        <f>IF(AND(AT240&lt;&gt;0,AN240&lt;&gt;"NE"),VLOOKUP(AN240,Retirement_Rates,3,FALSE)*W240,0)</f>
        <v>0</v>
      </c>
      <c r="BG240" s="462">
        <f>IF(AND(AT240&lt;&gt;0,AJ240&lt;&gt;"PF"),Life*W240,0)</f>
        <v>0</v>
      </c>
      <c r="BH240" s="462">
        <f>IF(AND(AT240&lt;&gt;0,AM240="Y"),UI*W240,0)</f>
        <v>0</v>
      </c>
      <c r="BI240" s="462">
        <f>IF(AND(AT240&lt;&gt;0,N240&lt;&gt;"NR"),DHR*W240,0)</f>
        <v>0</v>
      </c>
      <c r="BJ240" s="462">
        <f>IF(AT240&lt;&gt;0,WC*W240,0)</f>
        <v>0</v>
      </c>
      <c r="BK240" s="462">
        <f>IF(OR(AND(AT240&lt;&gt;0,AJ240&lt;&gt;"PF",AN240&lt;&gt;"NE",AG240&lt;&gt;"A"),AND(AL240="E",OR(AT240=1,AT240=3))),Sick*W240,0)</f>
        <v>0</v>
      </c>
      <c r="BL240" s="462">
        <f t="shared" si="56"/>
        <v>0</v>
      </c>
      <c r="BM240" s="462">
        <f t="shared" si="57"/>
        <v>0</v>
      </c>
      <c r="BN240" s="462">
        <f>IF(AND(AT240=1,AK240="E",AU240&gt;=0.75,AW240=1),HealthBY,IF(AND(AT240=1,AK240="E",AU240&gt;=0.75),HealthBY*P240,IF(AND(AT240=1,AK240="E",AU240&gt;=0.5,AW240=1),PTHealthBY,IF(AND(AT240=1,AK240="E",AU240&gt;=0.5),PTHealthBY*P240,0))))</f>
        <v>0</v>
      </c>
      <c r="BO240" s="462">
        <f>IF(AND(AT240=3,AK240="E",AV240&gt;=0.75,AW240=1),HealthBY,IF(AND(AT240=3,AK240="E",AV240&gt;=0.75),HealthBY*P240,IF(AND(AT240=3,AK240="E",AV240&gt;=0.5,AW240=1),PTHealthBY,IF(AND(AT240=3,AK240="E",AV240&gt;=0.5),PTHealthBY*P240,0))))</f>
        <v>0</v>
      </c>
      <c r="BP240" s="462">
        <f>IF(AND(AT240&lt;&gt;0,(AX240+BA240)&gt;=MAXSSDIBY),SSDIBY*MAXSSDIBY*P240,IF(AT240&lt;&gt;0,SSDIBY*W240,0))</f>
        <v>0</v>
      </c>
      <c r="BQ240" s="462">
        <f>IF(AT240&lt;&gt;0,SSHIBY*W240,0)</f>
        <v>0</v>
      </c>
      <c r="BR240" s="462">
        <f>IF(AND(AT240&lt;&gt;0,AN240&lt;&gt;"NE"),VLOOKUP(AN240,Retirement_Rates,4,FALSE)*W240,0)</f>
        <v>0</v>
      </c>
      <c r="BS240" s="462">
        <f>IF(AND(AT240&lt;&gt;0,AJ240&lt;&gt;"PF"),LifeBY*W240,0)</f>
        <v>0</v>
      </c>
      <c r="BT240" s="462">
        <f>IF(AND(AT240&lt;&gt;0,AM240="Y"),UIBY*W240,0)</f>
        <v>0</v>
      </c>
      <c r="BU240" s="462">
        <f>IF(AND(AT240&lt;&gt;0,N240&lt;&gt;"NR"),DHRBY*W240,0)</f>
        <v>0</v>
      </c>
      <c r="BV240" s="462">
        <f>IF(AT240&lt;&gt;0,WCBY*W240,0)</f>
        <v>0</v>
      </c>
      <c r="BW240" s="462">
        <f>IF(OR(AND(AT240&lt;&gt;0,AJ240&lt;&gt;"PF",AN240&lt;&gt;"NE",AG240&lt;&gt;"A"),AND(AL240="E",OR(AT240=1,AT240=3))),SickBY*W240,0)</f>
        <v>0</v>
      </c>
      <c r="BX240" s="462">
        <f t="shared" si="58"/>
        <v>0</v>
      </c>
      <c r="BY240" s="462">
        <f t="shared" si="59"/>
        <v>0</v>
      </c>
      <c r="BZ240" s="462">
        <f t="shared" si="60"/>
        <v>0</v>
      </c>
      <c r="CA240" s="462">
        <f t="shared" si="61"/>
        <v>0</v>
      </c>
      <c r="CB240" s="462">
        <f t="shared" si="62"/>
        <v>0</v>
      </c>
      <c r="CC240" s="462">
        <f>IF(AT240&lt;&gt;0,SSHICHG*Y240,0)</f>
        <v>0</v>
      </c>
      <c r="CD240" s="462">
        <f>IF(AND(AT240&lt;&gt;0,AN240&lt;&gt;"NE"),VLOOKUP(AN240,Retirement_Rates,5,FALSE)*Y240,0)</f>
        <v>0</v>
      </c>
      <c r="CE240" s="462">
        <f>IF(AND(AT240&lt;&gt;0,AJ240&lt;&gt;"PF"),LifeCHG*Y240,0)</f>
        <v>0</v>
      </c>
      <c r="CF240" s="462">
        <f>IF(AND(AT240&lt;&gt;0,AM240="Y"),UICHG*Y240,0)</f>
        <v>0</v>
      </c>
      <c r="CG240" s="462">
        <f>IF(AND(AT240&lt;&gt;0,N240&lt;&gt;"NR"),DHRCHG*Y240,0)</f>
        <v>0</v>
      </c>
      <c r="CH240" s="462">
        <f>IF(AT240&lt;&gt;0,WCCHG*Y240,0)</f>
        <v>0</v>
      </c>
      <c r="CI240" s="462">
        <f>IF(OR(AND(AT240&lt;&gt;0,AJ240&lt;&gt;"PF",AN240&lt;&gt;"NE",AG240&lt;&gt;"A"),AND(AL240="E",OR(AT240=1,AT240=3))),SickCHG*Y240,0)</f>
        <v>0</v>
      </c>
      <c r="CJ240" s="462">
        <f t="shared" si="63"/>
        <v>0</v>
      </c>
      <c r="CK240" s="462" t="str">
        <f t="shared" si="64"/>
        <v/>
      </c>
      <c r="CL240" s="462">
        <f t="shared" si="65"/>
        <v>29374.5</v>
      </c>
      <c r="CM240" s="462">
        <f t="shared" si="66"/>
        <v>2821.17</v>
      </c>
      <c r="CN240" s="462" t="str">
        <f t="shared" si="67"/>
        <v>0243-00</v>
      </c>
    </row>
    <row r="241" spans="1:92" ht="15" thickBot="1" x14ac:dyDescent="0.35">
      <c r="A241" s="376" t="s">
        <v>161</v>
      </c>
      <c r="B241" s="376" t="s">
        <v>162</v>
      </c>
      <c r="C241" s="376" t="s">
        <v>865</v>
      </c>
      <c r="D241" s="376" t="s">
        <v>866</v>
      </c>
      <c r="E241" s="376" t="s">
        <v>273</v>
      </c>
      <c r="F241" s="377" t="s">
        <v>166</v>
      </c>
      <c r="G241" s="376" t="s">
        <v>432</v>
      </c>
      <c r="H241" s="378"/>
      <c r="I241" s="378"/>
      <c r="J241" s="376" t="s">
        <v>193</v>
      </c>
      <c r="K241" s="376" t="s">
        <v>867</v>
      </c>
      <c r="L241" s="376" t="s">
        <v>240</v>
      </c>
      <c r="M241" s="376" t="s">
        <v>171</v>
      </c>
      <c r="N241" s="376" t="s">
        <v>172</v>
      </c>
      <c r="O241" s="379">
        <v>1</v>
      </c>
      <c r="P241" s="460">
        <v>0.5</v>
      </c>
      <c r="Q241" s="460">
        <v>0.5</v>
      </c>
      <c r="R241" s="380">
        <v>80</v>
      </c>
      <c r="S241" s="460">
        <v>0.5</v>
      </c>
      <c r="T241" s="380">
        <v>23305.64</v>
      </c>
      <c r="U241" s="380">
        <v>820.68</v>
      </c>
      <c r="V241" s="380">
        <v>11206.97</v>
      </c>
      <c r="W241" s="380">
        <v>23077.599999999999</v>
      </c>
      <c r="X241" s="380">
        <v>11316.76</v>
      </c>
      <c r="Y241" s="380">
        <v>23077.599999999999</v>
      </c>
      <c r="Z241" s="380">
        <v>11383.69</v>
      </c>
      <c r="AA241" s="376" t="s">
        <v>868</v>
      </c>
      <c r="AB241" s="376" t="s">
        <v>435</v>
      </c>
      <c r="AC241" s="376" t="s">
        <v>198</v>
      </c>
      <c r="AD241" s="376" t="s">
        <v>176</v>
      </c>
      <c r="AE241" s="376" t="s">
        <v>867</v>
      </c>
      <c r="AF241" s="376" t="s">
        <v>244</v>
      </c>
      <c r="AG241" s="376" t="s">
        <v>178</v>
      </c>
      <c r="AH241" s="381">
        <v>22.19</v>
      </c>
      <c r="AI241" s="381">
        <v>12497.5</v>
      </c>
      <c r="AJ241" s="376" t="s">
        <v>179</v>
      </c>
      <c r="AK241" s="376" t="s">
        <v>180</v>
      </c>
      <c r="AL241" s="376" t="s">
        <v>181</v>
      </c>
      <c r="AM241" s="376" t="s">
        <v>182</v>
      </c>
      <c r="AN241" s="376" t="s">
        <v>68</v>
      </c>
      <c r="AO241" s="379">
        <v>80</v>
      </c>
      <c r="AP241" s="460">
        <v>1</v>
      </c>
      <c r="AQ241" s="460">
        <v>0.5</v>
      </c>
      <c r="AR241" s="458" t="s">
        <v>183</v>
      </c>
      <c r="AS241" s="462">
        <f t="shared" si="51"/>
        <v>0.5</v>
      </c>
      <c r="AT241">
        <f t="shared" si="52"/>
        <v>1</v>
      </c>
      <c r="AU241" s="462">
        <f>IF(AT241=0,"",IF(AND(AT241=1,M241="F",SUMIF(C2:C391,C241,AS2:AS391)&lt;=1),SUMIF(C2:C391,C241,AS2:AS391),IF(AND(AT241=1,M241="F",SUMIF(C2:C391,C241,AS2:AS391)&gt;1),1,"")))</f>
        <v>1</v>
      </c>
      <c r="AV241" s="462" t="str">
        <f>IF(AT241=0,"",IF(AND(AT241=3,M241="F",SUMIF(C2:C391,C241,AS2:AS391)&lt;=1),SUMIF(C2:C391,C241,AS2:AS391),IF(AND(AT241=3,M241="F",SUMIF(C2:C391,C241,AS2:AS391)&gt;1),1,"")))</f>
        <v/>
      </c>
      <c r="AW241" s="462">
        <f>SUMIF(C2:C391,C241,O2:O391)</f>
        <v>2</v>
      </c>
      <c r="AX241" s="462">
        <f>IF(AND(M241="F",AS241&lt;&gt;0),SUMIF(C2:C391,C241,W2:W391),0)</f>
        <v>46155.199999999997</v>
      </c>
      <c r="AY241" s="462">
        <f t="shared" si="53"/>
        <v>23077.599999999999</v>
      </c>
      <c r="AZ241" s="462" t="str">
        <f t="shared" si="54"/>
        <v/>
      </c>
      <c r="BA241" s="462">
        <f t="shared" si="55"/>
        <v>0</v>
      </c>
      <c r="BB241" s="462">
        <f>IF(AND(AT241=1,AK241="E",AU241&gt;=0.75,AW241=1),Health,IF(AND(AT241=1,AK241="E",AU241&gt;=0.75),Health*P241,IF(AND(AT241=1,AK241="E",AU241&gt;=0.5,AW241=1),PTHealth,IF(AND(AT241=1,AK241="E",AU241&gt;=0.5),PTHealth*P241,0))))</f>
        <v>5825</v>
      </c>
      <c r="BC241" s="462">
        <f>IF(AND(AT241=3,AK241="E",AV241&gt;=0.75,AW241=1),Health,IF(AND(AT241=3,AK241="E",AV241&gt;=0.75),Health*P241,IF(AND(AT241=3,AK241="E",AV241&gt;=0.5,AW241=1),PTHealth,IF(AND(AT241=3,AK241="E",AV241&gt;=0.5),PTHealth*P241,0))))</f>
        <v>0</v>
      </c>
      <c r="BD241" s="462">
        <f>IF(AND(AT241&lt;&gt;0,AX241&gt;=MAXSSDI),SSDI*MAXSSDI*P241,IF(AT241&lt;&gt;0,SSDI*W241,0))</f>
        <v>1430.8111999999999</v>
      </c>
      <c r="BE241" s="462">
        <f>IF(AT241&lt;&gt;0,SSHI*W241,0)</f>
        <v>334.62520000000001</v>
      </c>
      <c r="BF241" s="462">
        <f>IF(AND(AT241&lt;&gt;0,AN241&lt;&gt;"NE"),VLOOKUP(AN241,Retirement_Rates,3,FALSE)*W241,0)</f>
        <v>2755.4654399999999</v>
      </c>
      <c r="BG241" s="462">
        <f>IF(AND(AT241&lt;&gt;0,AJ241&lt;&gt;"PF"),Life*W241,0)</f>
        <v>166.38949600000001</v>
      </c>
      <c r="BH241" s="462">
        <f>IF(AND(AT241&lt;&gt;0,AM241="Y"),UI*W241,0)</f>
        <v>113.08023999999999</v>
      </c>
      <c r="BI241" s="462">
        <f>IF(AND(AT241&lt;&gt;0,N241&lt;&gt;"NR"),DHR*W241,0)</f>
        <v>70.61745599999999</v>
      </c>
      <c r="BJ241" s="462">
        <f>IF(AT241&lt;&gt;0,WC*W241,0)</f>
        <v>620.78743999999995</v>
      </c>
      <c r="BK241" s="462">
        <f>IF(OR(AND(AT241&lt;&gt;0,AJ241&lt;&gt;"PF",AN241&lt;&gt;"NE",AG241&lt;&gt;"A"),AND(AL241="E",OR(AT241=1,AT241=3))),Sick*W241,0)</f>
        <v>0</v>
      </c>
      <c r="BL241" s="462">
        <f t="shared" si="56"/>
        <v>5491.7764719999996</v>
      </c>
      <c r="BM241" s="462">
        <f t="shared" si="57"/>
        <v>0</v>
      </c>
      <c r="BN241" s="462">
        <f>IF(AND(AT241=1,AK241="E",AU241&gt;=0.75,AW241=1),HealthBY,IF(AND(AT241=1,AK241="E",AU241&gt;=0.75),HealthBY*P241,IF(AND(AT241=1,AK241="E",AU241&gt;=0.5,AW241=1),PTHealthBY,IF(AND(AT241=1,AK241="E",AU241&gt;=0.5),PTHealthBY*P241,0))))</f>
        <v>5825</v>
      </c>
      <c r="BO241" s="462">
        <f>IF(AND(AT241=3,AK241="E",AV241&gt;=0.75,AW241=1),HealthBY,IF(AND(AT241=3,AK241="E",AV241&gt;=0.75),HealthBY*P241,IF(AND(AT241=3,AK241="E",AV241&gt;=0.5,AW241=1),PTHealthBY,IF(AND(AT241=3,AK241="E",AV241&gt;=0.5),PTHealthBY*P241,0))))</f>
        <v>0</v>
      </c>
      <c r="BP241" s="462">
        <f>IF(AND(AT241&lt;&gt;0,(AX241+BA241)&gt;=MAXSSDIBY),SSDIBY*MAXSSDIBY*P241,IF(AT241&lt;&gt;0,SSDIBY*W241,0))</f>
        <v>1430.8111999999999</v>
      </c>
      <c r="BQ241" s="462">
        <f>IF(AT241&lt;&gt;0,SSHIBY*W241,0)</f>
        <v>334.62520000000001</v>
      </c>
      <c r="BR241" s="462">
        <f>IF(AND(AT241&lt;&gt;0,AN241&lt;&gt;"NE"),VLOOKUP(AN241,Retirement_Rates,4,FALSE)*W241,0)</f>
        <v>2755.4654399999999</v>
      </c>
      <c r="BS241" s="462">
        <f>IF(AND(AT241&lt;&gt;0,AJ241&lt;&gt;"PF"),LifeBY*W241,0)</f>
        <v>166.38949600000001</v>
      </c>
      <c r="BT241" s="462">
        <f>IF(AND(AT241&lt;&gt;0,AM241="Y"),UIBY*W241,0)</f>
        <v>0</v>
      </c>
      <c r="BU241" s="462">
        <f>IF(AND(AT241&lt;&gt;0,N241&lt;&gt;"NR"),DHRBY*W241,0)</f>
        <v>70.61745599999999</v>
      </c>
      <c r="BV241" s="462">
        <f>IF(AT241&lt;&gt;0,WCBY*W241,0)</f>
        <v>800.79272000000003</v>
      </c>
      <c r="BW241" s="462">
        <f>IF(OR(AND(AT241&lt;&gt;0,AJ241&lt;&gt;"PF",AN241&lt;&gt;"NE",AG241&lt;&gt;"A"),AND(AL241="E",OR(AT241=1,AT241=3))),SickBY*W241,0)</f>
        <v>0</v>
      </c>
      <c r="BX241" s="462">
        <f t="shared" si="58"/>
        <v>5558.7015119999996</v>
      </c>
      <c r="BY241" s="462">
        <f t="shared" si="59"/>
        <v>0</v>
      </c>
      <c r="BZ241" s="462">
        <f t="shared" si="60"/>
        <v>0</v>
      </c>
      <c r="CA241" s="462">
        <f t="shared" si="61"/>
        <v>0</v>
      </c>
      <c r="CB241" s="462">
        <f t="shared" si="62"/>
        <v>0</v>
      </c>
      <c r="CC241" s="462">
        <f>IF(AT241&lt;&gt;0,SSHICHG*Y241,0)</f>
        <v>0</v>
      </c>
      <c r="CD241" s="462">
        <f>IF(AND(AT241&lt;&gt;0,AN241&lt;&gt;"NE"),VLOOKUP(AN241,Retirement_Rates,5,FALSE)*Y241,0)</f>
        <v>0</v>
      </c>
      <c r="CE241" s="462">
        <f>IF(AND(AT241&lt;&gt;0,AJ241&lt;&gt;"PF"),LifeCHG*Y241,0)</f>
        <v>0</v>
      </c>
      <c r="CF241" s="462">
        <f>IF(AND(AT241&lt;&gt;0,AM241="Y"),UICHG*Y241,0)</f>
        <v>-113.08023999999999</v>
      </c>
      <c r="CG241" s="462">
        <f>IF(AND(AT241&lt;&gt;0,N241&lt;&gt;"NR"),DHRCHG*Y241,0)</f>
        <v>0</v>
      </c>
      <c r="CH241" s="462">
        <f>IF(AT241&lt;&gt;0,WCCHG*Y241,0)</f>
        <v>180.00528000000003</v>
      </c>
      <c r="CI241" s="462">
        <f>IF(OR(AND(AT241&lt;&gt;0,AJ241&lt;&gt;"PF",AN241&lt;&gt;"NE",AG241&lt;&gt;"A"),AND(AL241="E",OR(AT241=1,AT241=3))),SickCHG*Y241,0)</f>
        <v>0</v>
      </c>
      <c r="CJ241" s="462">
        <f t="shared" si="63"/>
        <v>66.925040000000038</v>
      </c>
      <c r="CK241" s="462" t="str">
        <f t="shared" si="64"/>
        <v/>
      </c>
      <c r="CL241" s="462" t="str">
        <f t="shared" si="65"/>
        <v/>
      </c>
      <c r="CM241" s="462" t="str">
        <f t="shared" si="66"/>
        <v/>
      </c>
      <c r="CN241" s="462" t="str">
        <f t="shared" si="67"/>
        <v>0243-00</v>
      </c>
    </row>
    <row r="242" spans="1:92" ht="15" thickBot="1" x14ac:dyDescent="0.35">
      <c r="A242" s="376" t="s">
        <v>161</v>
      </c>
      <c r="B242" s="376" t="s">
        <v>162</v>
      </c>
      <c r="C242" s="376" t="s">
        <v>869</v>
      </c>
      <c r="D242" s="376" t="s">
        <v>221</v>
      </c>
      <c r="E242" s="376" t="s">
        <v>273</v>
      </c>
      <c r="F242" s="377" t="s">
        <v>166</v>
      </c>
      <c r="G242" s="376" t="s">
        <v>432</v>
      </c>
      <c r="H242" s="378"/>
      <c r="I242" s="378"/>
      <c r="J242" s="376" t="s">
        <v>168</v>
      </c>
      <c r="K242" s="376" t="s">
        <v>222</v>
      </c>
      <c r="L242" s="376" t="s">
        <v>166</v>
      </c>
      <c r="M242" s="376" t="s">
        <v>225</v>
      </c>
      <c r="N242" s="376" t="s">
        <v>223</v>
      </c>
      <c r="O242" s="379">
        <v>0</v>
      </c>
      <c r="P242" s="460">
        <v>1</v>
      </c>
      <c r="Q242" s="460">
        <v>0</v>
      </c>
      <c r="R242" s="380">
        <v>0</v>
      </c>
      <c r="S242" s="460">
        <v>0</v>
      </c>
      <c r="T242" s="380">
        <v>0</v>
      </c>
      <c r="U242" s="380">
        <v>0</v>
      </c>
      <c r="V242" s="380">
        <v>0</v>
      </c>
      <c r="W242" s="380">
        <v>0</v>
      </c>
      <c r="X242" s="380">
        <v>0</v>
      </c>
      <c r="Y242" s="380">
        <v>0</v>
      </c>
      <c r="Z242" s="380">
        <v>0</v>
      </c>
      <c r="AA242" s="378"/>
      <c r="AB242" s="376" t="s">
        <v>45</v>
      </c>
      <c r="AC242" s="376" t="s">
        <v>45</v>
      </c>
      <c r="AD242" s="378"/>
      <c r="AE242" s="378"/>
      <c r="AF242" s="378"/>
      <c r="AG242" s="378"/>
      <c r="AH242" s="379">
        <v>0</v>
      </c>
      <c r="AI242" s="379">
        <v>0</v>
      </c>
      <c r="AJ242" s="378"/>
      <c r="AK242" s="378"/>
      <c r="AL242" s="376" t="s">
        <v>181</v>
      </c>
      <c r="AM242" s="378"/>
      <c r="AN242" s="378"/>
      <c r="AO242" s="379">
        <v>0</v>
      </c>
      <c r="AP242" s="460">
        <v>0</v>
      </c>
      <c r="AQ242" s="460">
        <v>0</v>
      </c>
      <c r="AR242" s="459"/>
      <c r="AS242" s="462">
        <f t="shared" si="51"/>
        <v>0</v>
      </c>
      <c r="AT242">
        <f t="shared" si="52"/>
        <v>0</v>
      </c>
      <c r="AU242" s="462" t="str">
        <f>IF(AT242=0,"",IF(AND(AT242=1,M242="F",SUMIF(C2:C391,C242,AS2:AS391)&lt;=1),SUMIF(C2:C391,C242,AS2:AS391),IF(AND(AT242=1,M242="F",SUMIF(C2:C391,C242,AS2:AS391)&gt;1),1,"")))</f>
        <v/>
      </c>
      <c r="AV242" s="462" t="str">
        <f>IF(AT242=0,"",IF(AND(AT242=3,M242="F",SUMIF(C2:C391,C242,AS2:AS391)&lt;=1),SUMIF(C2:C391,C242,AS2:AS391),IF(AND(AT242=3,M242="F",SUMIF(C2:C391,C242,AS2:AS391)&gt;1),1,"")))</f>
        <v/>
      </c>
      <c r="AW242" s="462">
        <f>SUMIF(C2:C391,C242,O2:O391)</f>
        <v>0</v>
      </c>
      <c r="AX242" s="462">
        <f>IF(AND(M242="F",AS242&lt;&gt;0),SUMIF(C2:C391,C242,W2:W391),0)</f>
        <v>0</v>
      </c>
      <c r="AY242" s="462" t="str">
        <f t="shared" si="53"/>
        <v/>
      </c>
      <c r="AZ242" s="462" t="str">
        <f t="shared" si="54"/>
        <v/>
      </c>
      <c r="BA242" s="462">
        <f t="shared" si="55"/>
        <v>0</v>
      </c>
      <c r="BB242" s="462">
        <f>IF(AND(AT242=1,AK242="E",AU242&gt;=0.75,AW242=1),Health,IF(AND(AT242=1,AK242="E",AU242&gt;=0.75),Health*P242,IF(AND(AT242=1,AK242="E",AU242&gt;=0.5,AW242=1),PTHealth,IF(AND(AT242=1,AK242="E",AU242&gt;=0.5),PTHealth*P242,0))))</f>
        <v>0</v>
      </c>
      <c r="BC242" s="462">
        <f>IF(AND(AT242=3,AK242="E",AV242&gt;=0.75,AW242=1),Health,IF(AND(AT242=3,AK242="E",AV242&gt;=0.75),Health*P242,IF(AND(AT242=3,AK242="E",AV242&gt;=0.5,AW242=1),PTHealth,IF(AND(AT242=3,AK242="E",AV242&gt;=0.5),PTHealth*P242,0))))</f>
        <v>0</v>
      </c>
      <c r="BD242" s="462">
        <f>IF(AND(AT242&lt;&gt;0,AX242&gt;=MAXSSDI),SSDI*MAXSSDI*P242,IF(AT242&lt;&gt;0,SSDI*W242,0))</f>
        <v>0</v>
      </c>
      <c r="BE242" s="462">
        <f>IF(AT242&lt;&gt;0,SSHI*W242,0)</f>
        <v>0</v>
      </c>
      <c r="BF242" s="462">
        <f>IF(AND(AT242&lt;&gt;0,AN242&lt;&gt;"NE"),VLOOKUP(AN242,Retirement_Rates,3,FALSE)*W242,0)</f>
        <v>0</v>
      </c>
      <c r="BG242" s="462">
        <f>IF(AND(AT242&lt;&gt;0,AJ242&lt;&gt;"PF"),Life*W242,0)</f>
        <v>0</v>
      </c>
      <c r="BH242" s="462">
        <f>IF(AND(AT242&lt;&gt;0,AM242="Y"),UI*W242,0)</f>
        <v>0</v>
      </c>
      <c r="BI242" s="462">
        <f>IF(AND(AT242&lt;&gt;0,N242&lt;&gt;"NR"),DHR*W242,0)</f>
        <v>0</v>
      </c>
      <c r="BJ242" s="462">
        <f>IF(AT242&lt;&gt;0,WC*W242,0)</f>
        <v>0</v>
      </c>
      <c r="BK242" s="462">
        <f>IF(OR(AND(AT242&lt;&gt;0,AJ242&lt;&gt;"PF",AN242&lt;&gt;"NE",AG242&lt;&gt;"A"),AND(AL242="E",OR(AT242=1,AT242=3))),Sick*W242,0)</f>
        <v>0</v>
      </c>
      <c r="BL242" s="462">
        <f t="shared" si="56"/>
        <v>0</v>
      </c>
      <c r="BM242" s="462">
        <f t="shared" si="57"/>
        <v>0</v>
      </c>
      <c r="BN242" s="462">
        <f>IF(AND(AT242=1,AK242="E",AU242&gt;=0.75,AW242=1),HealthBY,IF(AND(AT242=1,AK242="E",AU242&gt;=0.75),HealthBY*P242,IF(AND(AT242=1,AK242="E",AU242&gt;=0.5,AW242=1),PTHealthBY,IF(AND(AT242=1,AK242="E",AU242&gt;=0.5),PTHealthBY*P242,0))))</f>
        <v>0</v>
      </c>
      <c r="BO242" s="462">
        <f>IF(AND(AT242=3,AK242="E",AV242&gt;=0.75,AW242=1),HealthBY,IF(AND(AT242=3,AK242="E",AV242&gt;=0.75),HealthBY*P242,IF(AND(AT242=3,AK242="E",AV242&gt;=0.5,AW242=1),PTHealthBY,IF(AND(AT242=3,AK242="E",AV242&gt;=0.5),PTHealthBY*P242,0))))</f>
        <v>0</v>
      </c>
      <c r="BP242" s="462">
        <f>IF(AND(AT242&lt;&gt;0,(AX242+BA242)&gt;=MAXSSDIBY),SSDIBY*MAXSSDIBY*P242,IF(AT242&lt;&gt;0,SSDIBY*W242,0))</f>
        <v>0</v>
      </c>
      <c r="BQ242" s="462">
        <f>IF(AT242&lt;&gt;0,SSHIBY*W242,0)</f>
        <v>0</v>
      </c>
      <c r="BR242" s="462">
        <f>IF(AND(AT242&lt;&gt;0,AN242&lt;&gt;"NE"),VLOOKUP(AN242,Retirement_Rates,4,FALSE)*W242,0)</f>
        <v>0</v>
      </c>
      <c r="BS242" s="462">
        <f>IF(AND(AT242&lt;&gt;0,AJ242&lt;&gt;"PF"),LifeBY*W242,0)</f>
        <v>0</v>
      </c>
      <c r="BT242" s="462">
        <f>IF(AND(AT242&lt;&gt;0,AM242="Y"),UIBY*W242,0)</f>
        <v>0</v>
      </c>
      <c r="BU242" s="462">
        <f>IF(AND(AT242&lt;&gt;0,N242&lt;&gt;"NR"),DHRBY*W242,0)</f>
        <v>0</v>
      </c>
      <c r="BV242" s="462">
        <f>IF(AT242&lt;&gt;0,WCBY*W242,0)</f>
        <v>0</v>
      </c>
      <c r="BW242" s="462">
        <f>IF(OR(AND(AT242&lt;&gt;0,AJ242&lt;&gt;"PF",AN242&lt;&gt;"NE",AG242&lt;&gt;"A"),AND(AL242="E",OR(AT242=1,AT242=3))),SickBY*W242,0)</f>
        <v>0</v>
      </c>
      <c r="BX242" s="462">
        <f t="shared" si="58"/>
        <v>0</v>
      </c>
      <c r="BY242" s="462">
        <f t="shared" si="59"/>
        <v>0</v>
      </c>
      <c r="BZ242" s="462">
        <f t="shared" si="60"/>
        <v>0</v>
      </c>
      <c r="CA242" s="462">
        <f t="shared" si="61"/>
        <v>0</v>
      </c>
      <c r="CB242" s="462">
        <f t="shared" si="62"/>
        <v>0</v>
      </c>
      <c r="CC242" s="462">
        <f>IF(AT242&lt;&gt;0,SSHICHG*Y242,0)</f>
        <v>0</v>
      </c>
      <c r="CD242" s="462">
        <f>IF(AND(AT242&lt;&gt;0,AN242&lt;&gt;"NE"),VLOOKUP(AN242,Retirement_Rates,5,FALSE)*Y242,0)</f>
        <v>0</v>
      </c>
      <c r="CE242" s="462">
        <f>IF(AND(AT242&lt;&gt;0,AJ242&lt;&gt;"PF"),LifeCHG*Y242,0)</f>
        <v>0</v>
      </c>
      <c r="CF242" s="462">
        <f>IF(AND(AT242&lt;&gt;0,AM242="Y"),UICHG*Y242,0)</f>
        <v>0</v>
      </c>
      <c r="CG242" s="462">
        <f>IF(AND(AT242&lt;&gt;0,N242&lt;&gt;"NR"),DHRCHG*Y242,0)</f>
        <v>0</v>
      </c>
      <c r="CH242" s="462">
        <f>IF(AT242&lt;&gt;0,WCCHG*Y242,0)</f>
        <v>0</v>
      </c>
      <c r="CI242" s="462">
        <f>IF(OR(AND(AT242&lt;&gt;0,AJ242&lt;&gt;"PF",AN242&lt;&gt;"NE",AG242&lt;&gt;"A"),AND(AL242="E",OR(AT242=1,AT242=3))),SickCHG*Y242,0)</f>
        <v>0</v>
      </c>
      <c r="CJ242" s="462">
        <f t="shared" si="63"/>
        <v>0</v>
      </c>
      <c r="CK242" s="462" t="str">
        <f t="shared" si="64"/>
        <v/>
      </c>
      <c r="CL242" s="462">
        <f t="shared" si="65"/>
        <v>0</v>
      </c>
      <c r="CM242" s="462">
        <f t="shared" si="66"/>
        <v>0</v>
      </c>
      <c r="CN242" s="462" t="str">
        <f t="shared" si="67"/>
        <v>0243-00</v>
      </c>
    </row>
    <row r="243" spans="1:92" ht="15" thickBot="1" x14ac:dyDescent="0.35">
      <c r="A243" s="376" t="s">
        <v>161</v>
      </c>
      <c r="B243" s="376" t="s">
        <v>162</v>
      </c>
      <c r="C243" s="376" t="s">
        <v>870</v>
      </c>
      <c r="D243" s="376" t="s">
        <v>453</v>
      </c>
      <c r="E243" s="376" t="s">
        <v>273</v>
      </c>
      <c r="F243" s="377" t="s">
        <v>166</v>
      </c>
      <c r="G243" s="376" t="s">
        <v>432</v>
      </c>
      <c r="H243" s="378"/>
      <c r="I243" s="378"/>
      <c r="J243" s="376" t="s">
        <v>168</v>
      </c>
      <c r="K243" s="376" t="s">
        <v>454</v>
      </c>
      <c r="L243" s="376" t="s">
        <v>170</v>
      </c>
      <c r="M243" s="376" t="s">
        <v>171</v>
      </c>
      <c r="N243" s="376" t="s">
        <v>172</v>
      </c>
      <c r="O243" s="379">
        <v>1</v>
      </c>
      <c r="P243" s="460">
        <v>1</v>
      </c>
      <c r="Q243" s="460">
        <v>1</v>
      </c>
      <c r="R243" s="380">
        <v>80</v>
      </c>
      <c r="S243" s="460">
        <v>1</v>
      </c>
      <c r="T243" s="380">
        <v>60078.76</v>
      </c>
      <c r="U243" s="380">
        <v>0</v>
      </c>
      <c r="V243" s="380">
        <v>25153.16</v>
      </c>
      <c r="W243" s="380">
        <v>60112</v>
      </c>
      <c r="X243" s="380">
        <v>25954.82</v>
      </c>
      <c r="Y243" s="380">
        <v>60112</v>
      </c>
      <c r="Z243" s="380">
        <v>26129.15</v>
      </c>
      <c r="AA243" s="376" t="s">
        <v>871</v>
      </c>
      <c r="AB243" s="376" t="s">
        <v>872</v>
      </c>
      <c r="AC243" s="376" t="s">
        <v>561</v>
      </c>
      <c r="AD243" s="376" t="s">
        <v>873</v>
      </c>
      <c r="AE243" s="376" t="s">
        <v>454</v>
      </c>
      <c r="AF243" s="376" t="s">
        <v>177</v>
      </c>
      <c r="AG243" s="376" t="s">
        <v>178</v>
      </c>
      <c r="AH243" s="381">
        <v>28.9</v>
      </c>
      <c r="AI243" s="381">
        <v>34436.400000000001</v>
      </c>
      <c r="AJ243" s="376" t="s">
        <v>179</v>
      </c>
      <c r="AK243" s="376" t="s">
        <v>180</v>
      </c>
      <c r="AL243" s="376" t="s">
        <v>181</v>
      </c>
      <c r="AM243" s="376" t="s">
        <v>182</v>
      </c>
      <c r="AN243" s="376" t="s">
        <v>68</v>
      </c>
      <c r="AO243" s="379">
        <v>80</v>
      </c>
      <c r="AP243" s="460">
        <v>1</v>
      </c>
      <c r="AQ243" s="460">
        <v>1</v>
      </c>
      <c r="AR243" s="458" t="s">
        <v>183</v>
      </c>
      <c r="AS243" s="462">
        <f t="shared" si="51"/>
        <v>1</v>
      </c>
      <c r="AT243">
        <f t="shared" si="52"/>
        <v>1</v>
      </c>
      <c r="AU243" s="462">
        <f>IF(AT243=0,"",IF(AND(AT243=1,M243="F",SUMIF(C2:C391,C243,AS2:AS391)&lt;=1),SUMIF(C2:C391,C243,AS2:AS391),IF(AND(AT243=1,M243="F",SUMIF(C2:C391,C243,AS2:AS391)&gt;1),1,"")))</f>
        <v>1</v>
      </c>
      <c r="AV243" s="462" t="str">
        <f>IF(AT243=0,"",IF(AND(AT243=3,M243="F",SUMIF(C2:C391,C243,AS2:AS391)&lt;=1),SUMIF(C2:C391,C243,AS2:AS391),IF(AND(AT243=3,M243="F",SUMIF(C2:C391,C243,AS2:AS391)&gt;1),1,"")))</f>
        <v/>
      </c>
      <c r="AW243" s="462">
        <f>SUMIF(C2:C391,C243,O2:O391)</f>
        <v>1</v>
      </c>
      <c r="AX243" s="462">
        <f>IF(AND(M243="F",AS243&lt;&gt;0),SUMIF(C2:C391,C243,W2:W391),0)</f>
        <v>60112</v>
      </c>
      <c r="AY243" s="462">
        <f t="shared" si="53"/>
        <v>60112</v>
      </c>
      <c r="AZ243" s="462" t="str">
        <f t="shared" si="54"/>
        <v/>
      </c>
      <c r="BA243" s="462">
        <f t="shared" si="55"/>
        <v>0</v>
      </c>
      <c r="BB243" s="462">
        <f>IF(AND(AT243=1,AK243="E",AU243&gt;=0.75,AW243=1),Health,IF(AND(AT243=1,AK243="E",AU243&gt;=0.75),Health*P243,IF(AND(AT243=1,AK243="E",AU243&gt;=0.5,AW243=1),PTHealth,IF(AND(AT243=1,AK243="E",AU243&gt;=0.5),PTHealth*P243,0))))</f>
        <v>11650</v>
      </c>
      <c r="BC243" s="462">
        <f>IF(AND(AT243=3,AK243="E",AV243&gt;=0.75,AW243=1),Health,IF(AND(AT243=3,AK243="E",AV243&gt;=0.75),Health*P243,IF(AND(AT243=3,AK243="E",AV243&gt;=0.5,AW243=1),PTHealth,IF(AND(AT243=3,AK243="E",AV243&gt;=0.5),PTHealth*P243,0))))</f>
        <v>0</v>
      </c>
      <c r="BD243" s="462">
        <f>IF(AND(AT243&lt;&gt;0,AX243&gt;=MAXSSDI),SSDI*MAXSSDI*P243,IF(AT243&lt;&gt;0,SSDI*W243,0))</f>
        <v>3726.944</v>
      </c>
      <c r="BE243" s="462">
        <f>IF(AT243&lt;&gt;0,SSHI*W243,0)</f>
        <v>871.62400000000002</v>
      </c>
      <c r="BF243" s="462">
        <f>IF(AND(AT243&lt;&gt;0,AN243&lt;&gt;"NE"),VLOOKUP(AN243,Retirement_Rates,3,FALSE)*W243,0)</f>
        <v>7177.3728000000001</v>
      </c>
      <c r="BG243" s="462">
        <f>IF(AND(AT243&lt;&gt;0,AJ243&lt;&gt;"PF"),Life*W243,0)</f>
        <v>433.40752000000003</v>
      </c>
      <c r="BH243" s="462">
        <f>IF(AND(AT243&lt;&gt;0,AM243="Y"),UI*W243,0)</f>
        <v>294.54879999999997</v>
      </c>
      <c r="BI243" s="462">
        <f>IF(AND(AT243&lt;&gt;0,N243&lt;&gt;"NR"),DHR*W243,0)</f>
        <v>183.94271999999998</v>
      </c>
      <c r="BJ243" s="462">
        <f>IF(AT243&lt;&gt;0,WC*W243,0)</f>
        <v>1617.0128</v>
      </c>
      <c r="BK243" s="462">
        <f>IF(OR(AND(AT243&lt;&gt;0,AJ243&lt;&gt;"PF",AN243&lt;&gt;"NE",AG243&lt;&gt;"A"),AND(AL243="E",OR(AT243=1,AT243=3))),Sick*W243,0)</f>
        <v>0</v>
      </c>
      <c r="BL243" s="462">
        <f t="shared" si="56"/>
        <v>14304.852640000001</v>
      </c>
      <c r="BM243" s="462">
        <f t="shared" si="57"/>
        <v>0</v>
      </c>
      <c r="BN243" s="462">
        <f>IF(AND(AT243=1,AK243="E",AU243&gt;=0.75,AW243=1),HealthBY,IF(AND(AT243=1,AK243="E",AU243&gt;=0.75),HealthBY*P243,IF(AND(AT243=1,AK243="E",AU243&gt;=0.5,AW243=1),PTHealthBY,IF(AND(AT243=1,AK243="E",AU243&gt;=0.5),PTHealthBY*P243,0))))</f>
        <v>11650</v>
      </c>
      <c r="BO243" s="462">
        <f>IF(AND(AT243=3,AK243="E",AV243&gt;=0.75,AW243=1),HealthBY,IF(AND(AT243=3,AK243="E",AV243&gt;=0.75),HealthBY*P243,IF(AND(AT243=3,AK243="E",AV243&gt;=0.5,AW243=1),PTHealthBY,IF(AND(AT243=3,AK243="E",AV243&gt;=0.5),PTHealthBY*P243,0))))</f>
        <v>0</v>
      </c>
      <c r="BP243" s="462">
        <f>IF(AND(AT243&lt;&gt;0,(AX243+BA243)&gt;=MAXSSDIBY),SSDIBY*MAXSSDIBY*P243,IF(AT243&lt;&gt;0,SSDIBY*W243,0))</f>
        <v>3726.944</v>
      </c>
      <c r="BQ243" s="462">
        <f>IF(AT243&lt;&gt;0,SSHIBY*W243,0)</f>
        <v>871.62400000000002</v>
      </c>
      <c r="BR243" s="462">
        <f>IF(AND(AT243&lt;&gt;0,AN243&lt;&gt;"NE"),VLOOKUP(AN243,Retirement_Rates,4,FALSE)*W243,0)</f>
        <v>7177.3728000000001</v>
      </c>
      <c r="BS243" s="462">
        <f>IF(AND(AT243&lt;&gt;0,AJ243&lt;&gt;"PF"),LifeBY*W243,0)</f>
        <v>433.40752000000003</v>
      </c>
      <c r="BT243" s="462">
        <f>IF(AND(AT243&lt;&gt;0,AM243="Y"),UIBY*W243,0)</f>
        <v>0</v>
      </c>
      <c r="BU243" s="462">
        <f>IF(AND(AT243&lt;&gt;0,N243&lt;&gt;"NR"),DHRBY*W243,0)</f>
        <v>183.94271999999998</v>
      </c>
      <c r="BV243" s="462">
        <f>IF(AT243&lt;&gt;0,WCBY*W243,0)</f>
        <v>2085.8864000000003</v>
      </c>
      <c r="BW243" s="462">
        <f>IF(OR(AND(AT243&lt;&gt;0,AJ243&lt;&gt;"PF",AN243&lt;&gt;"NE",AG243&lt;&gt;"A"),AND(AL243="E",OR(AT243=1,AT243=3))),SickBY*W243,0)</f>
        <v>0</v>
      </c>
      <c r="BX243" s="462">
        <f t="shared" si="58"/>
        <v>14479.177439999999</v>
      </c>
      <c r="BY243" s="462">
        <f t="shared" si="59"/>
        <v>0</v>
      </c>
      <c r="BZ243" s="462">
        <f t="shared" si="60"/>
        <v>0</v>
      </c>
      <c r="CA243" s="462">
        <f t="shared" si="61"/>
        <v>0</v>
      </c>
      <c r="CB243" s="462">
        <f t="shared" si="62"/>
        <v>0</v>
      </c>
      <c r="CC243" s="462">
        <f>IF(AT243&lt;&gt;0,SSHICHG*Y243,0)</f>
        <v>0</v>
      </c>
      <c r="CD243" s="462">
        <f>IF(AND(AT243&lt;&gt;0,AN243&lt;&gt;"NE"),VLOOKUP(AN243,Retirement_Rates,5,FALSE)*Y243,0)</f>
        <v>0</v>
      </c>
      <c r="CE243" s="462">
        <f>IF(AND(AT243&lt;&gt;0,AJ243&lt;&gt;"PF"),LifeCHG*Y243,0)</f>
        <v>0</v>
      </c>
      <c r="CF243" s="462">
        <f>IF(AND(AT243&lt;&gt;0,AM243="Y"),UICHG*Y243,0)</f>
        <v>-294.54879999999997</v>
      </c>
      <c r="CG243" s="462">
        <f>IF(AND(AT243&lt;&gt;0,N243&lt;&gt;"NR"),DHRCHG*Y243,0)</f>
        <v>0</v>
      </c>
      <c r="CH243" s="462">
        <f>IF(AT243&lt;&gt;0,WCCHG*Y243,0)</f>
        <v>468.87360000000007</v>
      </c>
      <c r="CI243" s="462">
        <f>IF(OR(AND(AT243&lt;&gt;0,AJ243&lt;&gt;"PF",AN243&lt;&gt;"NE",AG243&lt;&gt;"A"),AND(AL243="E",OR(AT243=1,AT243=3))),SickCHG*Y243,0)</f>
        <v>0</v>
      </c>
      <c r="CJ243" s="462">
        <f t="shared" si="63"/>
        <v>174.3248000000001</v>
      </c>
      <c r="CK243" s="462" t="str">
        <f t="shared" si="64"/>
        <v/>
      </c>
      <c r="CL243" s="462" t="str">
        <f t="shared" si="65"/>
        <v/>
      </c>
      <c r="CM243" s="462" t="str">
        <f t="shared" si="66"/>
        <v/>
      </c>
      <c r="CN243" s="462" t="str">
        <f t="shared" si="67"/>
        <v>0243-00</v>
      </c>
    </row>
    <row r="244" spans="1:92" ht="15" thickBot="1" x14ac:dyDescent="0.35">
      <c r="A244" s="376" t="s">
        <v>161</v>
      </c>
      <c r="B244" s="376" t="s">
        <v>162</v>
      </c>
      <c r="C244" s="376" t="s">
        <v>874</v>
      </c>
      <c r="D244" s="376" t="s">
        <v>621</v>
      </c>
      <c r="E244" s="376" t="s">
        <v>273</v>
      </c>
      <c r="F244" s="377" t="s">
        <v>166</v>
      </c>
      <c r="G244" s="376" t="s">
        <v>432</v>
      </c>
      <c r="H244" s="378"/>
      <c r="I244" s="378"/>
      <c r="J244" s="376" t="s">
        <v>168</v>
      </c>
      <c r="K244" s="376" t="s">
        <v>622</v>
      </c>
      <c r="L244" s="376" t="s">
        <v>215</v>
      </c>
      <c r="M244" s="376" t="s">
        <v>171</v>
      </c>
      <c r="N244" s="376" t="s">
        <v>172</v>
      </c>
      <c r="O244" s="379">
        <v>1</v>
      </c>
      <c r="P244" s="460">
        <v>1</v>
      </c>
      <c r="Q244" s="460">
        <v>1</v>
      </c>
      <c r="R244" s="380">
        <v>80</v>
      </c>
      <c r="S244" s="460">
        <v>1</v>
      </c>
      <c r="T244" s="380">
        <v>76339.199999999997</v>
      </c>
      <c r="U244" s="380">
        <v>0</v>
      </c>
      <c r="V244" s="380">
        <v>27626.25</v>
      </c>
      <c r="W244" s="380">
        <v>76606.399999999994</v>
      </c>
      <c r="X244" s="380">
        <v>29880</v>
      </c>
      <c r="Y244" s="380">
        <v>76606.399999999994</v>
      </c>
      <c r="Z244" s="380">
        <v>30102.16</v>
      </c>
      <c r="AA244" s="376" t="s">
        <v>875</v>
      </c>
      <c r="AB244" s="376" t="s">
        <v>435</v>
      </c>
      <c r="AC244" s="376" t="s">
        <v>876</v>
      </c>
      <c r="AD244" s="376" t="s">
        <v>877</v>
      </c>
      <c r="AE244" s="376" t="s">
        <v>622</v>
      </c>
      <c r="AF244" s="376" t="s">
        <v>219</v>
      </c>
      <c r="AG244" s="376" t="s">
        <v>178</v>
      </c>
      <c r="AH244" s="381">
        <v>36.83</v>
      </c>
      <c r="AI244" s="379">
        <v>40338</v>
      </c>
      <c r="AJ244" s="376" t="s">
        <v>179</v>
      </c>
      <c r="AK244" s="376" t="s">
        <v>180</v>
      </c>
      <c r="AL244" s="376" t="s">
        <v>181</v>
      </c>
      <c r="AM244" s="376" t="s">
        <v>182</v>
      </c>
      <c r="AN244" s="376" t="s">
        <v>68</v>
      </c>
      <c r="AO244" s="379">
        <v>80</v>
      </c>
      <c r="AP244" s="460">
        <v>1</v>
      </c>
      <c r="AQ244" s="460">
        <v>1</v>
      </c>
      <c r="AR244" s="458" t="s">
        <v>183</v>
      </c>
      <c r="AS244" s="462">
        <f t="shared" si="51"/>
        <v>1</v>
      </c>
      <c r="AT244">
        <f t="shared" si="52"/>
        <v>1</v>
      </c>
      <c r="AU244" s="462">
        <f>IF(AT244=0,"",IF(AND(AT244=1,M244="F",SUMIF(C2:C391,C244,AS2:AS391)&lt;=1),SUMIF(C2:C391,C244,AS2:AS391),IF(AND(AT244=1,M244="F",SUMIF(C2:C391,C244,AS2:AS391)&gt;1),1,"")))</f>
        <v>1</v>
      </c>
      <c r="AV244" s="462" t="str">
        <f>IF(AT244=0,"",IF(AND(AT244=3,M244="F",SUMIF(C2:C391,C244,AS2:AS391)&lt;=1),SUMIF(C2:C391,C244,AS2:AS391),IF(AND(AT244=3,M244="F",SUMIF(C2:C391,C244,AS2:AS391)&gt;1),1,"")))</f>
        <v/>
      </c>
      <c r="AW244" s="462">
        <f>SUMIF(C2:C391,C244,O2:O391)</f>
        <v>1</v>
      </c>
      <c r="AX244" s="462">
        <f>IF(AND(M244="F",AS244&lt;&gt;0),SUMIF(C2:C391,C244,W2:W391),0)</f>
        <v>76606.399999999994</v>
      </c>
      <c r="AY244" s="462">
        <f t="shared" si="53"/>
        <v>76606.399999999994</v>
      </c>
      <c r="AZ244" s="462" t="str">
        <f t="shared" si="54"/>
        <v/>
      </c>
      <c r="BA244" s="462">
        <f t="shared" si="55"/>
        <v>0</v>
      </c>
      <c r="BB244" s="462">
        <f>IF(AND(AT244=1,AK244="E",AU244&gt;=0.75,AW244=1),Health,IF(AND(AT244=1,AK244="E",AU244&gt;=0.75),Health*P244,IF(AND(AT244=1,AK244="E",AU244&gt;=0.5,AW244=1),PTHealth,IF(AND(AT244=1,AK244="E",AU244&gt;=0.5),PTHealth*P244,0))))</f>
        <v>11650</v>
      </c>
      <c r="BC244" s="462">
        <f>IF(AND(AT244=3,AK244="E",AV244&gt;=0.75,AW244=1),Health,IF(AND(AT244=3,AK244="E",AV244&gt;=0.75),Health*P244,IF(AND(AT244=3,AK244="E",AV244&gt;=0.5,AW244=1),PTHealth,IF(AND(AT244=3,AK244="E",AV244&gt;=0.5),PTHealth*P244,0))))</f>
        <v>0</v>
      </c>
      <c r="BD244" s="462">
        <f>IF(AND(AT244&lt;&gt;0,AX244&gt;=MAXSSDI),SSDI*MAXSSDI*P244,IF(AT244&lt;&gt;0,SSDI*W244,0))</f>
        <v>4749.5967999999993</v>
      </c>
      <c r="BE244" s="462">
        <f>IF(AT244&lt;&gt;0,SSHI*W244,0)</f>
        <v>1110.7927999999999</v>
      </c>
      <c r="BF244" s="462">
        <f>IF(AND(AT244&lt;&gt;0,AN244&lt;&gt;"NE"),VLOOKUP(AN244,Retirement_Rates,3,FALSE)*W244,0)</f>
        <v>9146.8041599999997</v>
      </c>
      <c r="BG244" s="462">
        <f>IF(AND(AT244&lt;&gt;0,AJ244&lt;&gt;"PF"),Life*W244,0)</f>
        <v>552.33214399999997</v>
      </c>
      <c r="BH244" s="462">
        <f>IF(AND(AT244&lt;&gt;0,AM244="Y"),UI*W244,0)</f>
        <v>375.37135999999998</v>
      </c>
      <c r="BI244" s="462">
        <f>IF(AND(AT244&lt;&gt;0,N244&lt;&gt;"NR"),DHR*W244,0)</f>
        <v>234.41558399999997</v>
      </c>
      <c r="BJ244" s="462">
        <f>IF(AT244&lt;&gt;0,WC*W244,0)</f>
        <v>2060.71216</v>
      </c>
      <c r="BK244" s="462">
        <f>IF(OR(AND(AT244&lt;&gt;0,AJ244&lt;&gt;"PF",AN244&lt;&gt;"NE",AG244&lt;&gt;"A"),AND(AL244="E",OR(AT244=1,AT244=3))),Sick*W244,0)</f>
        <v>0</v>
      </c>
      <c r="BL244" s="462">
        <f t="shared" si="56"/>
        <v>18230.025007999997</v>
      </c>
      <c r="BM244" s="462">
        <f t="shared" si="57"/>
        <v>0</v>
      </c>
      <c r="BN244" s="462">
        <f>IF(AND(AT244=1,AK244="E",AU244&gt;=0.75,AW244=1),HealthBY,IF(AND(AT244=1,AK244="E",AU244&gt;=0.75),HealthBY*P244,IF(AND(AT244=1,AK244="E",AU244&gt;=0.5,AW244=1),PTHealthBY,IF(AND(AT244=1,AK244="E",AU244&gt;=0.5),PTHealthBY*P244,0))))</f>
        <v>11650</v>
      </c>
      <c r="BO244" s="462">
        <f>IF(AND(AT244=3,AK244="E",AV244&gt;=0.75,AW244=1),HealthBY,IF(AND(AT244=3,AK244="E",AV244&gt;=0.75),HealthBY*P244,IF(AND(AT244=3,AK244="E",AV244&gt;=0.5,AW244=1),PTHealthBY,IF(AND(AT244=3,AK244="E",AV244&gt;=0.5),PTHealthBY*P244,0))))</f>
        <v>0</v>
      </c>
      <c r="BP244" s="462">
        <f>IF(AND(AT244&lt;&gt;0,(AX244+BA244)&gt;=MAXSSDIBY),SSDIBY*MAXSSDIBY*P244,IF(AT244&lt;&gt;0,SSDIBY*W244,0))</f>
        <v>4749.5967999999993</v>
      </c>
      <c r="BQ244" s="462">
        <f>IF(AT244&lt;&gt;0,SSHIBY*W244,0)</f>
        <v>1110.7927999999999</v>
      </c>
      <c r="BR244" s="462">
        <f>IF(AND(AT244&lt;&gt;0,AN244&lt;&gt;"NE"),VLOOKUP(AN244,Retirement_Rates,4,FALSE)*W244,0)</f>
        <v>9146.8041599999997</v>
      </c>
      <c r="BS244" s="462">
        <f>IF(AND(AT244&lt;&gt;0,AJ244&lt;&gt;"PF"),LifeBY*W244,0)</f>
        <v>552.33214399999997</v>
      </c>
      <c r="BT244" s="462">
        <f>IF(AND(AT244&lt;&gt;0,AM244="Y"),UIBY*W244,0)</f>
        <v>0</v>
      </c>
      <c r="BU244" s="462">
        <f>IF(AND(AT244&lt;&gt;0,N244&lt;&gt;"NR"),DHRBY*W244,0)</f>
        <v>234.41558399999997</v>
      </c>
      <c r="BV244" s="462">
        <f>IF(AT244&lt;&gt;0,WCBY*W244,0)</f>
        <v>2658.24208</v>
      </c>
      <c r="BW244" s="462">
        <f>IF(OR(AND(AT244&lt;&gt;0,AJ244&lt;&gt;"PF",AN244&lt;&gt;"NE",AG244&lt;&gt;"A"),AND(AL244="E",OR(AT244=1,AT244=3))),SickBY*W244,0)</f>
        <v>0</v>
      </c>
      <c r="BX244" s="462">
        <f t="shared" si="58"/>
        <v>18452.183568</v>
      </c>
      <c r="BY244" s="462">
        <f t="shared" si="59"/>
        <v>0</v>
      </c>
      <c r="BZ244" s="462">
        <f t="shared" si="60"/>
        <v>0</v>
      </c>
      <c r="CA244" s="462">
        <f t="shared" si="61"/>
        <v>0</v>
      </c>
      <c r="CB244" s="462">
        <f t="shared" si="62"/>
        <v>0</v>
      </c>
      <c r="CC244" s="462">
        <f>IF(AT244&lt;&gt;0,SSHICHG*Y244,0)</f>
        <v>0</v>
      </c>
      <c r="CD244" s="462">
        <f>IF(AND(AT244&lt;&gt;0,AN244&lt;&gt;"NE"),VLOOKUP(AN244,Retirement_Rates,5,FALSE)*Y244,0)</f>
        <v>0</v>
      </c>
      <c r="CE244" s="462">
        <f>IF(AND(AT244&lt;&gt;0,AJ244&lt;&gt;"PF"),LifeCHG*Y244,0)</f>
        <v>0</v>
      </c>
      <c r="CF244" s="462">
        <f>IF(AND(AT244&lt;&gt;0,AM244="Y"),UICHG*Y244,0)</f>
        <v>-375.37135999999998</v>
      </c>
      <c r="CG244" s="462">
        <f>IF(AND(AT244&lt;&gt;0,N244&lt;&gt;"NR"),DHRCHG*Y244,0)</f>
        <v>0</v>
      </c>
      <c r="CH244" s="462">
        <f>IF(AT244&lt;&gt;0,WCCHG*Y244,0)</f>
        <v>597.52992000000006</v>
      </c>
      <c r="CI244" s="462">
        <f>IF(OR(AND(AT244&lt;&gt;0,AJ244&lt;&gt;"PF",AN244&lt;&gt;"NE",AG244&lt;&gt;"A"),AND(AL244="E",OR(AT244=1,AT244=3))),SickCHG*Y244,0)</f>
        <v>0</v>
      </c>
      <c r="CJ244" s="462">
        <f t="shared" si="63"/>
        <v>222.15856000000008</v>
      </c>
      <c r="CK244" s="462" t="str">
        <f t="shared" si="64"/>
        <v/>
      </c>
      <c r="CL244" s="462" t="str">
        <f t="shared" si="65"/>
        <v/>
      </c>
      <c r="CM244" s="462" t="str">
        <f t="shared" si="66"/>
        <v/>
      </c>
      <c r="CN244" s="462" t="str">
        <f t="shared" si="67"/>
        <v>0243-00</v>
      </c>
    </row>
    <row r="245" spans="1:92" ht="15" thickBot="1" x14ac:dyDescent="0.35">
      <c r="A245" s="376" t="s">
        <v>161</v>
      </c>
      <c r="B245" s="376" t="s">
        <v>162</v>
      </c>
      <c r="C245" s="376" t="s">
        <v>878</v>
      </c>
      <c r="D245" s="376" t="s">
        <v>649</v>
      </c>
      <c r="E245" s="376" t="s">
        <v>273</v>
      </c>
      <c r="F245" s="377" t="s">
        <v>166</v>
      </c>
      <c r="G245" s="376" t="s">
        <v>432</v>
      </c>
      <c r="H245" s="378"/>
      <c r="I245" s="378"/>
      <c r="J245" s="376" t="s">
        <v>168</v>
      </c>
      <c r="K245" s="376" t="s">
        <v>650</v>
      </c>
      <c r="L245" s="376" t="s">
        <v>395</v>
      </c>
      <c r="M245" s="376" t="s">
        <v>171</v>
      </c>
      <c r="N245" s="376" t="s">
        <v>172</v>
      </c>
      <c r="O245" s="379">
        <v>1</v>
      </c>
      <c r="P245" s="460">
        <v>1</v>
      </c>
      <c r="Q245" s="460">
        <v>1</v>
      </c>
      <c r="R245" s="380">
        <v>80</v>
      </c>
      <c r="S245" s="460">
        <v>1</v>
      </c>
      <c r="T245" s="380">
        <v>35758.89</v>
      </c>
      <c r="U245" s="380">
        <v>0</v>
      </c>
      <c r="V245" s="380">
        <v>19867.32</v>
      </c>
      <c r="W245" s="380">
        <v>36379.199999999997</v>
      </c>
      <c r="X245" s="380">
        <v>20307.13</v>
      </c>
      <c r="Y245" s="380">
        <v>36379.199999999997</v>
      </c>
      <c r="Z245" s="380">
        <v>20412.63</v>
      </c>
      <c r="AA245" s="376" t="s">
        <v>879</v>
      </c>
      <c r="AB245" s="376" t="s">
        <v>880</v>
      </c>
      <c r="AC245" s="376" t="s">
        <v>663</v>
      </c>
      <c r="AD245" s="376" t="s">
        <v>176</v>
      </c>
      <c r="AE245" s="376" t="s">
        <v>650</v>
      </c>
      <c r="AF245" s="376" t="s">
        <v>399</v>
      </c>
      <c r="AG245" s="376" t="s">
        <v>178</v>
      </c>
      <c r="AH245" s="381">
        <v>17.489999999999998</v>
      </c>
      <c r="AI245" s="381">
        <v>2764.2</v>
      </c>
      <c r="AJ245" s="376" t="s">
        <v>179</v>
      </c>
      <c r="AK245" s="376" t="s">
        <v>180</v>
      </c>
      <c r="AL245" s="376" t="s">
        <v>181</v>
      </c>
      <c r="AM245" s="376" t="s">
        <v>182</v>
      </c>
      <c r="AN245" s="376" t="s">
        <v>68</v>
      </c>
      <c r="AO245" s="379">
        <v>80</v>
      </c>
      <c r="AP245" s="460">
        <v>1</v>
      </c>
      <c r="AQ245" s="460">
        <v>1</v>
      </c>
      <c r="AR245" s="458" t="s">
        <v>183</v>
      </c>
      <c r="AS245" s="462">
        <f t="shared" si="51"/>
        <v>1</v>
      </c>
      <c r="AT245">
        <f t="shared" si="52"/>
        <v>1</v>
      </c>
      <c r="AU245" s="462">
        <f>IF(AT245=0,"",IF(AND(AT245=1,M245="F",SUMIF(C2:C391,C245,AS2:AS391)&lt;=1),SUMIF(C2:C391,C245,AS2:AS391),IF(AND(AT245=1,M245="F",SUMIF(C2:C391,C245,AS2:AS391)&gt;1),1,"")))</f>
        <v>1</v>
      </c>
      <c r="AV245" s="462" t="str">
        <f>IF(AT245=0,"",IF(AND(AT245=3,M245="F",SUMIF(C2:C391,C245,AS2:AS391)&lt;=1),SUMIF(C2:C391,C245,AS2:AS391),IF(AND(AT245=3,M245="F",SUMIF(C2:C391,C245,AS2:AS391)&gt;1),1,"")))</f>
        <v/>
      </c>
      <c r="AW245" s="462">
        <f>SUMIF(C2:C391,C245,O2:O391)</f>
        <v>1</v>
      </c>
      <c r="AX245" s="462">
        <f>IF(AND(M245="F",AS245&lt;&gt;0),SUMIF(C2:C391,C245,W2:W391),0)</f>
        <v>36379.199999999997</v>
      </c>
      <c r="AY245" s="462">
        <f t="shared" si="53"/>
        <v>36379.199999999997</v>
      </c>
      <c r="AZ245" s="462" t="str">
        <f t="shared" si="54"/>
        <v/>
      </c>
      <c r="BA245" s="462">
        <f t="shared" si="55"/>
        <v>0</v>
      </c>
      <c r="BB245" s="462">
        <f>IF(AND(AT245=1,AK245="E",AU245&gt;=0.75,AW245=1),Health,IF(AND(AT245=1,AK245="E",AU245&gt;=0.75),Health*P245,IF(AND(AT245=1,AK245="E",AU245&gt;=0.5,AW245=1),PTHealth,IF(AND(AT245=1,AK245="E",AU245&gt;=0.5),PTHealth*P245,0))))</f>
        <v>11650</v>
      </c>
      <c r="BC245" s="462">
        <f>IF(AND(AT245=3,AK245="E",AV245&gt;=0.75,AW245=1),Health,IF(AND(AT245=3,AK245="E",AV245&gt;=0.75),Health*P245,IF(AND(AT245=3,AK245="E",AV245&gt;=0.5,AW245=1),PTHealth,IF(AND(AT245=3,AK245="E",AV245&gt;=0.5),PTHealth*P245,0))))</f>
        <v>0</v>
      </c>
      <c r="BD245" s="462">
        <f>IF(AND(AT245&lt;&gt;0,AX245&gt;=MAXSSDI),SSDI*MAXSSDI*P245,IF(AT245&lt;&gt;0,SSDI*W245,0))</f>
        <v>2255.5103999999997</v>
      </c>
      <c r="BE245" s="462">
        <f>IF(AT245&lt;&gt;0,SSHI*W245,0)</f>
        <v>527.49839999999995</v>
      </c>
      <c r="BF245" s="462">
        <f>IF(AND(AT245&lt;&gt;0,AN245&lt;&gt;"NE"),VLOOKUP(AN245,Retirement_Rates,3,FALSE)*W245,0)</f>
        <v>4343.6764800000001</v>
      </c>
      <c r="BG245" s="462">
        <f>IF(AND(AT245&lt;&gt;0,AJ245&lt;&gt;"PF"),Life*W245,0)</f>
        <v>262.29403200000002</v>
      </c>
      <c r="BH245" s="462">
        <f>IF(AND(AT245&lt;&gt;0,AM245="Y"),UI*W245,0)</f>
        <v>178.25807999999998</v>
      </c>
      <c r="BI245" s="462">
        <f>IF(AND(AT245&lt;&gt;0,N245&lt;&gt;"NR"),DHR*W245,0)</f>
        <v>111.32035199999999</v>
      </c>
      <c r="BJ245" s="462">
        <f>IF(AT245&lt;&gt;0,WC*W245,0)</f>
        <v>978.60047999999995</v>
      </c>
      <c r="BK245" s="462">
        <f>IF(OR(AND(AT245&lt;&gt;0,AJ245&lt;&gt;"PF",AN245&lt;&gt;"NE",AG245&lt;&gt;"A"),AND(AL245="E",OR(AT245=1,AT245=3))),Sick*W245,0)</f>
        <v>0</v>
      </c>
      <c r="BL245" s="462">
        <f t="shared" si="56"/>
        <v>8657.1582239999989</v>
      </c>
      <c r="BM245" s="462">
        <f t="shared" si="57"/>
        <v>0</v>
      </c>
      <c r="BN245" s="462">
        <f>IF(AND(AT245=1,AK245="E",AU245&gt;=0.75,AW245=1),HealthBY,IF(AND(AT245=1,AK245="E",AU245&gt;=0.75),HealthBY*P245,IF(AND(AT245=1,AK245="E",AU245&gt;=0.5,AW245=1),PTHealthBY,IF(AND(AT245=1,AK245="E",AU245&gt;=0.5),PTHealthBY*P245,0))))</f>
        <v>11650</v>
      </c>
      <c r="BO245" s="462">
        <f>IF(AND(AT245=3,AK245="E",AV245&gt;=0.75,AW245=1),HealthBY,IF(AND(AT245=3,AK245="E",AV245&gt;=0.75),HealthBY*P245,IF(AND(AT245=3,AK245="E",AV245&gt;=0.5,AW245=1),PTHealthBY,IF(AND(AT245=3,AK245="E",AV245&gt;=0.5),PTHealthBY*P245,0))))</f>
        <v>0</v>
      </c>
      <c r="BP245" s="462">
        <f>IF(AND(AT245&lt;&gt;0,(AX245+BA245)&gt;=MAXSSDIBY),SSDIBY*MAXSSDIBY*P245,IF(AT245&lt;&gt;0,SSDIBY*W245,0))</f>
        <v>2255.5103999999997</v>
      </c>
      <c r="BQ245" s="462">
        <f>IF(AT245&lt;&gt;0,SSHIBY*W245,0)</f>
        <v>527.49839999999995</v>
      </c>
      <c r="BR245" s="462">
        <f>IF(AND(AT245&lt;&gt;0,AN245&lt;&gt;"NE"),VLOOKUP(AN245,Retirement_Rates,4,FALSE)*W245,0)</f>
        <v>4343.6764800000001</v>
      </c>
      <c r="BS245" s="462">
        <f>IF(AND(AT245&lt;&gt;0,AJ245&lt;&gt;"PF"),LifeBY*W245,0)</f>
        <v>262.29403200000002</v>
      </c>
      <c r="BT245" s="462">
        <f>IF(AND(AT245&lt;&gt;0,AM245="Y"),UIBY*W245,0)</f>
        <v>0</v>
      </c>
      <c r="BU245" s="462">
        <f>IF(AND(AT245&lt;&gt;0,N245&lt;&gt;"NR"),DHRBY*W245,0)</f>
        <v>111.32035199999999</v>
      </c>
      <c r="BV245" s="462">
        <f>IF(AT245&lt;&gt;0,WCBY*W245,0)</f>
        <v>1262.35824</v>
      </c>
      <c r="BW245" s="462">
        <f>IF(OR(AND(AT245&lt;&gt;0,AJ245&lt;&gt;"PF",AN245&lt;&gt;"NE",AG245&lt;&gt;"A"),AND(AL245="E",OR(AT245=1,AT245=3))),SickBY*W245,0)</f>
        <v>0</v>
      </c>
      <c r="BX245" s="462">
        <f t="shared" si="58"/>
        <v>8762.6579039999997</v>
      </c>
      <c r="BY245" s="462">
        <f t="shared" si="59"/>
        <v>0</v>
      </c>
      <c r="BZ245" s="462">
        <f t="shared" si="60"/>
        <v>0</v>
      </c>
      <c r="CA245" s="462">
        <f t="shared" si="61"/>
        <v>0</v>
      </c>
      <c r="CB245" s="462">
        <f t="shared" si="62"/>
        <v>0</v>
      </c>
      <c r="CC245" s="462">
        <f>IF(AT245&lt;&gt;0,SSHICHG*Y245,0)</f>
        <v>0</v>
      </c>
      <c r="CD245" s="462">
        <f>IF(AND(AT245&lt;&gt;0,AN245&lt;&gt;"NE"),VLOOKUP(AN245,Retirement_Rates,5,FALSE)*Y245,0)</f>
        <v>0</v>
      </c>
      <c r="CE245" s="462">
        <f>IF(AND(AT245&lt;&gt;0,AJ245&lt;&gt;"PF"),LifeCHG*Y245,0)</f>
        <v>0</v>
      </c>
      <c r="CF245" s="462">
        <f>IF(AND(AT245&lt;&gt;0,AM245="Y"),UICHG*Y245,0)</f>
        <v>-178.25807999999998</v>
      </c>
      <c r="CG245" s="462">
        <f>IF(AND(AT245&lt;&gt;0,N245&lt;&gt;"NR"),DHRCHG*Y245,0)</f>
        <v>0</v>
      </c>
      <c r="CH245" s="462">
        <f>IF(AT245&lt;&gt;0,WCCHG*Y245,0)</f>
        <v>283.75776000000002</v>
      </c>
      <c r="CI245" s="462">
        <f>IF(OR(AND(AT245&lt;&gt;0,AJ245&lt;&gt;"PF",AN245&lt;&gt;"NE",AG245&lt;&gt;"A"),AND(AL245="E",OR(AT245=1,AT245=3))),SickCHG*Y245,0)</f>
        <v>0</v>
      </c>
      <c r="CJ245" s="462">
        <f t="shared" si="63"/>
        <v>105.49968000000004</v>
      </c>
      <c r="CK245" s="462" t="str">
        <f t="shared" si="64"/>
        <v/>
      </c>
      <c r="CL245" s="462" t="str">
        <f t="shared" si="65"/>
        <v/>
      </c>
      <c r="CM245" s="462" t="str">
        <f t="shared" si="66"/>
        <v/>
      </c>
      <c r="CN245" s="462" t="str">
        <f t="shared" si="67"/>
        <v>0243-00</v>
      </c>
    </row>
    <row r="246" spans="1:92" ht="15" thickBot="1" x14ac:dyDescent="0.35">
      <c r="A246" s="376" t="s">
        <v>161</v>
      </c>
      <c r="B246" s="376" t="s">
        <v>162</v>
      </c>
      <c r="C246" s="376" t="s">
        <v>881</v>
      </c>
      <c r="D246" s="376" t="s">
        <v>438</v>
      </c>
      <c r="E246" s="376" t="s">
        <v>273</v>
      </c>
      <c r="F246" s="377" t="s">
        <v>166</v>
      </c>
      <c r="G246" s="376" t="s">
        <v>432</v>
      </c>
      <c r="H246" s="378"/>
      <c r="I246" s="378"/>
      <c r="J246" s="376" t="s">
        <v>168</v>
      </c>
      <c r="K246" s="376" t="s">
        <v>439</v>
      </c>
      <c r="L246" s="376" t="s">
        <v>231</v>
      </c>
      <c r="M246" s="376" t="s">
        <v>171</v>
      </c>
      <c r="N246" s="376" t="s">
        <v>172</v>
      </c>
      <c r="O246" s="379">
        <v>1</v>
      </c>
      <c r="P246" s="460">
        <v>1</v>
      </c>
      <c r="Q246" s="460">
        <v>1</v>
      </c>
      <c r="R246" s="380">
        <v>80</v>
      </c>
      <c r="S246" s="460">
        <v>1</v>
      </c>
      <c r="T246" s="380">
        <v>41582.400000000001</v>
      </c>
      <c r="U246" s="380">
        <v>0</v>
      </c>
      <c r="V246" s="380">
        <v>21060.21</v>
      </c>
      <c r="W246" s="380">
        <v>41808</v>
      </c>
      <c r="X246" s="380">
        <v>21599.01</v>
      </c>
      <c r="Y246" s="380">
        <v>41808</v>
      </c>
      <c r="Z246" s="380">
        <v>21720.26</v>
      </c>
      <c r="AA246" s="376" t="s">
        <v>882</v>
      </c>
      <c r="AB246" s="376" t="s">
        <v>883</v>
      </c>
      <c r="AC246" s="376" t="s">
        <v>557</v>
      </c>
      <c r="AD246" s="376" t="s">
        <v>446</v>
      </c>
      <c r="AE246" s="376" t="s">
        <v>439</v>
      </c>
      <c r="AF246" s="376" t="s">
        <v>236</v>
      </c>
      <c r="AG246" s="376" t="s">
        <v>178</v>
      </c>
      <c r="AH246" s="381">
        <v>20.100000000000001</v>
      </c>
      <c r="AI246" s="381">
        <v>6520.6</v>
      </c>
      <c r="AJ246" s="376" t="s">
        <v>179</v>
      </c>
      <c r="AK246" s="376" t="s">
        <v>180</v>
      </c>
      <c r="AL246" s="376" t="s">
        <v>181</v>
      </c>
      <c r="AM246" s="376" t="s">
        <v>182</v>
      </c>
      <c r="AN246" s="376" t="s">
        <v>68</v>
      </c>
      <c r="AO246" s="379">
        <v>80</v>
      </c>
      <c r="AP246" s="460">
        <v>1</v>
      </c>
      <c r="AQ246" s="460">
        <v>1</v>
      </c>
      <c r="AR246" s="458" t="s">
        <v>183</v>
      </c>
      <c r="AS246" s="462">
        <f t="shared" si="51"/>
        <v>1</v>
      </c>
      <c r="AT246">
        <f t="shared" si="52"/>
        <v>1</v>
      </c>
      <c r="AU246" s="462">
        <f>IF(AT246=0,"",IF(AND(AT246=1,M246="F",SUMIF(C2:C391,C246,AS2:AS391)&lt;=1),SUMIF(C2:C391,C246,AS2:AS391),IF(AND(AT246=1,M246="F",SUMIF(C2:C391,C246,AS2:AS391)&gt;1),1,"")))</f>
        <v>1</v>
      </c>
      <c r="AV246" s="462" t="str">
        <f>IF(AT246=0,"",IF(AND(AT246=3,M246="F",SUMIF(C2:C391,C246,AS2:AS391)&lt;=1),SUMIF(C2:C391,C246,AS2:AS391),IF(AND(AT246=3,M246="F",SUMIF(C2:C391,C246,AS2:AS391)&gt;1),1,"")))</f>
        <v/>
      </c>
      <c r="AW246" s="462">
        <f>SUMIF(C2:C391,C246,O2:O391)</f>
        <v>1</v>
      </c>
      <c r="AX246" s="462">
        <f>IF(AND(M246="F",AS246&lt;&gt;0),SUMIF(C2:C391,C246,W2:W391),0)</f>
        <v>41808</v>
      </c>
      <c r="AY246" s="462">
        <f t="shared" si="53"/>
        <v>41808</v>
      </c>
      <c r="AZ246" s="462" t="str">
        <f t="shared" si="54"/>
        <v/>
      </c>
      <c r="BA246" s="462">
        <f t="shared" si="55"/>
        <v>0</v>
      </c>
      <c r="BB246" s="462">
        <f>IF(AND(AT246=1,AK246="E",AU246&gt;=0.75,AW246=1),Health,IF(AND(AT246=1,AK246="E",AU246&gt;=0.75),Health*P246,IF(AND(AT246=1,AK246="E",AU246&gt;=0.5,AW246=1),PTHealth,IF(AND(AT246=1,AK246="E",AU246&gt;=0.5),PTHealth*P246,0))))</f>
        <v>11650</v>
      </c>
      <c r="BC246" s="462">
        <f>IF(AND(AT246=3,AK246="E",AV246&gt;=0.75,AW246=1),Health,IF(AND(AT246=3,AK246="E",AV246&gt;=0.75),Health*P246,IF(AND(AT246=3,AK246="E",AV246&gt;=0.5,AW246=1),PTHealth,IF(AND(AT246=3,AK246="E",AV246&gt;=0.5),PTHealth*P246,0))))</f>
        <v>0</v>
      </c>
      <c r="BD246" s="462">
        <f>IF(AND(AT246&lt;&gt;0,AX246&gt;=MAXSSDI),SSDI*MAXSSDI*P246,IF(AT246&lt;&gt;0,SSDI*W246,0))</f>
        <v>2592.096</v>
      </c>
      <c r="BE246" s="462">
        <f>IF(AT246&lt;&gt;0,SSHI*W246,0)</f>
        <v>606.21600000000001</v>
      </c>
      <c r="BF246" s="462">
        <f>IF(AND(AT246&lt;&gt;0,AN246&lt;&gt;"NE"),VLOOKUP(AN246,Retirement_Rates,3,FALSE)*W246,0)</f>
        <v>4991.8752000000004</v>
      </c>
      <c r="BG246" s="462">
        <f>IF(AND(AT246&lt;&gt;0,AJ246&lt;&gt;"PF"),Life*W246,0)</f>
        <v>301.43567999999999</v>
      </c>
      <c r="BH246" s="462">
        <f>IF(AND(AT246&lt;&gt;0,AM246="Y"),UI*W246,0)</f>
        <v>204.85919999999999</v>
      </c>
      <c r="BI246" s="462">
        <f>IF(AND(AT246&lt;&gt;0,N246&lt;&gt;"NR"),DHR*W246,0)</f>
        <v>127.93247999999998</v>
      </c>
      <c r="BJ246" s="462">
        <f>IF(AT246&lt;&gt;0,WC*W246,0)</f>
        <v>1124.6351999999999</v>
      </c>
      <c r="BK246" s="462">
        <f>IF(OR(AND(AT246&lt;&gt;0,AJ246&lt;&gt;"PF",AN246&lt;&gt;"NE",AG246&lt;&gt;"A"),AND(AL246="E",OR(AT246=1,AT246=3))),Sick*W246,0)</f>
        <v>0</v>
      </c>
      <c r="BL246" s="462">
        <f t="shared" si="56"/>
        <v>9949.0497600000017</v>
      </c>
      <c r="BM246" s="462">
        <f t="shared" si="57"/>
        <v>0</v>
      </c>
      <c r="BN246" s="462">
        <f>IF(AND(AT246=1,AK246="E",AU246&gt;=0.75,AW246=1),HealthBY,IF(AND(AT246=1,AK246="E",AU246&gt;=0.75),HealthBY*P246,IF(AND(AT246=1,AK246="E",AU246&gt;=0.5,AW246=1),PTHealthBY,IF(AND(AT246=1,AK246="E",AU246&gt;=0.5),PTHealthBY*P246,0))))</f>
        <v>11650</v>
      </c>
      <c r="BO246" s="462">
        <f>IF(AND(AT246=3,AK246="E",AV246&gt;=0.75,AW246=1),HealthBY,IF(AND(AT246=3,AK246="E",AV246&gt;=0.75),HealthBY*P246,IF(AND(AT246=3,AK246="E",AV246&gt;=0.5,AW246=1),PTHealthBY,IF(AND(AT246=3,AK246="E",AV246&gt;=0.5),PTHealthBY*P246,0))))</f>
        <v>0</v>
      </c>
      <c r="BP246" s="462">
        <f>IF(AND(AT246&lt;&gt;0,(AX246+BA246)&gt;=MAXSSDIBY),SSDIBY*MAXSSDIBY*P246,IF(AT246&lt;&gt;0,SSDIBY*W246,0))</f>
        <v>2592.096</v>
      </c>
      <c r="BQ246" s="462">
        <f>IF(AT246&lt;&gt;0,SSHIBY*W246,0)</f>
        <v>606.21600000000001</v>
      </c>
      <c r="BR246" s="462">
        <f>IF(AND(AT246&lt;&gt;0,AN246&lt;&gt;"NE"),VLOOKUP(AN246,Retirement_Rates,4,FALSE)*W246,0)</f>
        <v>4991.8752000000004</v>
      </c>
      <c r="BS246" s="462">
        <f>IF(AND(AT246&lt;&gt;0,AJ246&lt;&gt;"PF"),LifeBY*W246,0)</f>
        <v>301.43567999999999</v>
      </c>
      <c r="BT246" s="462">
        <f>IF(AND(AT246&lt;&gt;0,AM246="Y"),UIBY*W246,0)</f>
        <v>0</v>
      </c>
      <c r="BU246" s="462">
        <f>IF(AND(AT246&lt;&gt;0,N246&lt;&gt;"NR"),DHRBY*W246,0)</f>
        <v>127.93247999999998</v>
      </c>
      <c r="BV246" s="462">
        <f>IF(AT246&lt;&gt;0,WCBY*W246,0)</f>
        <v>1450.7376000000002</v>
      </c>
      <c r="BW246" s="462">
        <f>IF(OR(AND(AT246&lt;&gt;0,AJ246&lt;&gt;"PF",AN246&lt;&gt;"NE",AG246&lt;&gt;"A"),AND(AL246="E",OR(AT246=1,AT246=3))),SickBY*W246,0)</f>
        <v>0</v>
      </c>
      <c r="BX246" s="462">
        <f t="shared" si="58"/>
        <v>10070.292960000001</v>
      </c>
      <c r="BY246" s="462">
        <f t="shared" si="59"/>
        <v>0</v>
      </c>
      <c r="BZ246" s="462">
        <f t="shared" si="60"/>
        <v>0</v>
      </c>
      <c r="CA246" s="462">
        <f t="shared" si="61"/>
        <v>0</v>
      </c>
      <c r="CB246" s="462">
        <f t="shared" si="62"/>
        <v>0</v>
      </c>
      <c r="CC246" s="462">
        <f>IF(AT246&lt;&gt;0,SSHICHG*Y246,0)</f>
        <v>0</v>
      </c>
      <c r="CD246" s="462">
        <f>IF(AND(AT246&lt;&gt;0,AN246&lt;&gt;"NE"),VLOOKUP(AN246,Retirement_Rates,5,FALSE)*Y246,0)</f>
        <v>0</v>
      </c>
      <c r="CE246" s="462">
        <f>IF(AND(AT246&lt;&gt;0,AJ246&lt;&gt;"PF"),LifeCHG*Y246,0)</f>
        <v>0</v>
      </c>
      <c r="CF246" s="462">
        <f>IF(AND(AT246&lt;&gt;0,AM246="Y"),UICHG*Y246,0)</f>
        <v>-204.85919999999999</v>
      </c>
      <c r="CG246" s="462">
        <f>IF(AND(AT246&lt;&gt;0,N246&lt;&gt;"NR"),DHRCHG*Y246,0)</f>
        <v>0</v>
      </c>
      <c r="CH246" s="462">
        <f>IF(AT246&lt;&gt;0,WCCHG*Y246,0)</f>
        <v>326.10240000000005</v>
      </c>
      <c r="CI246" s="462">
        <f>IF(OR(AND(AT246&lt;&gt;0,AJ246&lt;&gt;"PF",AN246&lt;&gt;"NE",AG246&lt;&gt;"A"),AND(AL246="E",OR(AT246=1,AT246=3))),SickCHG*Y246,0)</f>
        <v>0</v>
      </c>
      <c r="CJ246" s="462">
        <f t="shared" si="63"/>
        <v>121.24320000000006</v>
      </c>
      <c r="CK246" s="462" t="str">
        <f t="shared" si="64"/>
        <v/>
      </c>
      <c r="CL246" s="462" t="str">
        <f t="shared" si="65"/>
        <v/>
      </c>
      <c r="CM246" s="462" t="str">
        <f t="shared" si="66"/>
        <v/>
      </c>
      <c r="CN246" s="462" t="str">
        <f t="shared" si="67"/>
        <v>0243-00</v>
      </c>
    </row>
    <row r="247" spans="1:92" ht="15" thickBot="1" x14ac:dyDescent="0.35">
      <c r="A247" s="376" t="s">
        <v>161</v>
      </c>
      <c r="B247" s="376" t="s">
        <v>162</v>
      </c>
      <c r="C247" s="376" t="s">
        <v>884</v>
      </c>
      <c r="D247" s="376" t="s">
        <v>460</v>
      </c>
      <c r="E247" s="376" t="s">
        <v>273</v>
      </c>
      <c r="F247" s="377" t="s">
        <v>166</v>
      </c>
      <c r="G247" s="376" t="s">
        <v>432</v>
      </c>
      <c r="H247" s="378"/>
      <c r="I247" s="378"/>
      <c r="J247" s="376" t="s">
        <v>193</v>
      </c>
      <c r="K247" s="376" t="s">
        <v>461</v>
      </c>
      <c r="L247" s="376" t="s">
        <v>240</v>
      </c>
      <c r="M247" s="376" t="s">
        <v>225</v>
      </c>
      <c r="N247" s="376" t="s">
        <v>172</v>
      </c>
      <c r="O247" s="379">
        <v>0</v>
      </c>
      <c r="P247" s="460">
        <v>0.75</v>
      </c>
      <c r="Q247" s="460">
        <v>0.75</v>
      </c>
      <c r="R247" s="380">
        <v>80</v>
      </c>
      <c r="S247" s="460">
        <v>0.75</v>
      </c>
      <c r="T247" s="380">
        <v>40517.11</v>
      </c>
      <c r="U247" s="380">
        <v>0</v>
      </c>
      <c r="V247" s="380">
        <v>15101.41</v>
      </c>
      <c r="W247" s="380">
        <v>35552.400000000001</v>
      </c>
      <c r="X247" s="380">
        <v>15571.95</v>
      </c>
      <c r="Y247" s="380">
        <v>35552.400000000001</v>
      </c>
      <c r="Z247" s="380">
        <v>15394.18</v>
      </c>
      <c r="AA247" s="378"/>
      <c r="AB247" s="376" t="s">
        <v>45</v>
      </c>
      <c r="AC247" s="376" t="s">
        <v>45</v>
      </c>
      <c r="AD247" s="378"/>
      <c r="AE247" s="378"/>
      <c r="AF247" s="378"/>
      <c r="AG247" s="378"/>
      <c r="AH247" s="379">
        <v>0</v>
      </c>
      <c r="AI247" s="379">
        <v>0</v>
      </c>
      <c r="AJ247" s="378"/>
      <c r="AK247" s="378"/>
      <c r="AL247" s="376" t="s">
        <v>181</v>
      </c>
      <c r="AM247" s="378"/>
      <c r="AN247" s="378"/>
      <c r="AO247" s="379">
        <v>0</v>
      </c>
      <c r="AP247" s="460">
        <v>0</v>
      </c>
      <c r="AQ247" s="460">
        <v>0</v>
      </c>
      <c r="AR247" s="459"/>
      <c r="AS247" s="462">
        <f t="shared" si="51"/>
        <v>0</v>
      </c>
      <c r="AT247">
        <f t="shared" si="52"/>
        <v>0</v>
      </c>
      <c r="AU247" s="462" t="str">
        <f>IF(AT247=0,"",IF(AND(AT247=1,M247="F",SUMIF(C2:C391,C247,AS2:AS391)&lt;=1),SUMIF(C2:C391,C247,AS2:AS391),IF(AND(AT247=1,M247="F",SUMIF(C2:C391,C247,AS2:AS391)&gt;1),1,"")))</f>
        <v/>
      </c>
      <c r="AV247" s="462" t="str">
        <f>IF(AT247=0,"",IF(AND(AT247=3,M247="F",SUMIF(C2:C391,C247,AS2:AS391)&lt;=1),SUMIF(C2:C391,C247,AS2:AS391),IF(AND(AT247=3,M247="F",SUMIF(C2:C391,C247,AS2:AS391)&gt;1),1,"")))</f>
        <v/>
      </c>
      <c r="AW247" s="462">
        <f>SUMIF(C2:C391,C247,O2:O391)</f>
        <v>0</v>
      </c>
      <c r="AX247" s="462">
        <f>IF(AND(M247="F",AS247&lt;&gt;0),SUMIF(C2:C391,C247,W2:W391),0)</f>
        <v>0</v>
      </c>
      <c r="AY247" s="462" t="str">
        <f t="shared" si="53"/>
        <v/>
      </c>
      <c r="AZ247" s="462" t="str">
        <f t="shared" si="54"/>
        <v/>
      </c>
      <c r="BA247" s="462">
        <f t="shared" si="55"/>
        <v>0</v>
      </c>
      <c r="BB247" s="462">
        <f>IF(AND(AT247=1,AK247="E",AU247&gt;=0.75,AW247=1),Health,IF(AND(AT247=1,AK247="E",AU247&gt;=0.75),Health*P247,IF(AND(AT247=1,AK247="E",AU247&gt;=0.5,AW247=1),PTHealth,IF(AND(AT247=1,AK247="E",AU247&gt;=0.5),PTHealth*P247,0))))</f>
        <v>0</v>
      </c>
      <c r="BC247" s="462">
        <f>IF(AND(AT247=3,AK247="E",AV247&gt;=0.75,AW247=1),Health,IF(AND(AT247=3,AK247="E",AV247&gt;=0.75),Health*P247,IF(AND(AT247=3,AK247="E",AV247&gt;=0.5,AW247=1),PTHealth,IF(AND(AT247=3,AK247="E",AV247&gt;=0.5),PTHealth*P247,0))))</f>
        <v>0</v>
      </c>
      <c r="BD247" s="462">
        <f>IF(AND(AT247&lt;&gt;0,AX247&gt;=MAXSSDI),SSDI*MAXSSDI*P247,IF(AT247&lt;&gt;0,SSDI*W247,0))</f>
        <v>0</v>
      </c>
      <c r="BE247" s="462">
        <f>IF(AT247&lt;&gt;0,SSHI*W247,0)</f>
        <v>0</v>
      </c>
      <c r="BF247" s="462">
        <f>IF(AND(AT247&lt;&gt;0,AN247&lt;&gt;"NE"),VLOOKUP(AN247,Retirement_Rates,3,FALSE)*W247,0)</f>
        <v>0</v>
      </c>
      <c r="BG247" s="462">
        <f>IF(AND(AT247&lt;&gt;0,AJ247&lt;&gt;"PF"),Life*W247,0)</f>
        <v>0</v>
      </c>
      <c r="BH247" s="462">
        <f>IF(AND(AT247&lt;&gt;0,AM247="Y"),UI*W247,0)</f>
        <v>0</v>
      </c>
      <c r="BI247" s="462">
        <f>IF(AND(AT247&lt;&gt;0,N247&lt;&gt;"NR"),DHR*W247,0)</f>
        <v>0</v>
      </c>
      <c r="BJ247" s="462">
        <f>IF(AT247&lt;&gt;0,WC*W247,0)</f>
        <v>0</v>
      </c>
      <c r="BK247" s="462">
        <f>IF(OR(AND(AT247&lt;&gt;0,AJ247&lt;&gt;"PF",AN247&lt;&gt;"NE",AG247&lt;&gt;"A"),AND(AL247="E",OR(AT247=1,AT247=3))),Sick*W247,0)</f>
        <v>0</v>
      </c>
      <c r="BL247" s="462">
        <f t="shared" si="56"/>
        <v>0</v>
      </c>
      <c r="BM247" s="462">
        <f t="shared" si="57"/>
        <v>0</v>
      </c>
      <c r="BN247" s="462">
        <f>IF(AND(AT247=1,AK247="E",AU247&gt;=0.75,AW247=1),HealthBY,IF(AND(AT247=1,AK247="E",AU247&gt;=0.75),HealthBY*P247,IF(AND(AT247=1,AK247="E",AU247&gt;=0.5,AW247=1),PTHealthBY,IF(AND(AT247=1,AK247="E",AU247&gt;=0.5),PTHealthBY*P247,0))))</f>
        <v>0</v>
      </c>
      <c r="BO247" s="462">
        <f>IF(AND(AT247=3,AK247="E",AV247&gt;=0.75,AW247=1),HealthBY,IF(AND(AT247=3,AK247="E",AV247&gt;=0.75),HealthBY*P247,IF(AND(AT247=3,AK247="E",AV247&gt;=0.5,AW247=1),PTHealthBY,IF(AND(AT247=3,AK247="E",AV247&gt;=0.5),PTHealthBY*P247,0))))</f>
        <v>0</v>
      </c>
      <c r="BP247" s="462">
        <f>IF(AND(AT247&lt;&gt;0,(AX247+BA247)&gt;=MAXSSDIBY),SSDIBY*MAXSSDIBY*P247,IF(AT247&lt;&gt;0,SSDIBY*W247,0))</f>
        <v>0</v>
      </c>
      <c r="BQ247" s="462">
        <f>IF(AT247&lt;&gt;0,SSHIBY*W247,0)</f>
        <v>0</v>
      </c>
      <c r="BR247" s="462">
        <f>IF(AND(AT247&lt;&gt;0,AN247&lt;&gt;"NE"),VLOOKUP(AN247,Retirement_Rates,4,FALSE)*W247,0)</f>
        <v>0</v>
      </c>
      <c r="BS247" s="462">
        <f>IF(AND(AT247&lt;&gt;0,AJ247&lt;&gt;"PF"),LifeBY*W247,0)</f>
        <v>0</v>
      </c>
      <c r="BT247" s="462">
        <f>IF(AND(AT247&lt;&gt;0,AM247="Y"),UIBY*W247,0)</f>
        <v>0</v>
      </c>
      <c r="BU247" s="462">
        <f>IF(AND(AT247&lt;&gt;0,N247&lt;&gt;"NR"),DHRBY*W247,0)</f>
        <v>0</v>
      </c>
      <c r="BV247" s="462">
        <f>IF(AT247&lt;&gt;0,WCBY*W247,0)</f>
        <v>0</v>
      </c>
      <c r="BW247" s="462">
        <f>IF(OR(AND(AT247&lt;&gt;0,AJ247&lt;&gt;"PF",AN247&lt;&gt;"NE",AG247&lt;&gt;"A"),AND(AL247="E",OR(AT247=1,AT247=3))),SickBY*W247,0)</f>
        <v>0</v>
      </c>
      <c r="BX247" s="462">
        <f t="shared" si="58"/>
        <v>0</v>
      </c>
      <c r="BY247" s="462">
        <f t="shared" si="59"/>
        <v>0</v>
      </c>
      <c r="BZ247" s="462">
        <f t="shared" si="60"/>
        <v>0</v>
      </c>
      <c r="CA247" s="462">
        <f t="shared" si="61"/>
        <v>0</v>
      </c>
      <c r="CB247" s="462">
        <f t="shared" si="62"/>
        <v>0</v>
      </c>
      <c r="CC247" s="462">
        <f>IF(AT247&lt;&gt;0,SSHICHG*Y247,0)</f>
        <v>0</v>
      </c>
      <c r="CD247" s="462">
        <f>IF(AND(AT247&lt;&gt;0,AN247&lt;&gt;"NE"),VLOOKUP(AN247,Retirement_Rates,5,FALSE)*Y247,0)</f>
        <v>0</v>
      </c>
      <c r="CE247" s="462">
        <f>IF(AND(AT247&lt;&gt;0,AJ247&lt;&gt;"PF"),LifeCHG*Y247,0)</f>
        <v>0</v>
      </c>
      <c r="CF247" s="462">
        <f>IF(AND(AT247&lt;&gt;0,AM247="Y"),UICHG*Y247,0)</f>
        <v>0</v>
      </c>
      <c r="CG247" s="462">
        <f>IF(AND(AT247&lt;&gt;0,N247&lt;&gt;"NR"),DHRCHG*Y247,0)</f>
        <v>0</v>
      </c>
      <c r="CH247" s="462">
        <f>IF(AT247&lt;&gt;0,WCCHG*Y247,0)</f>
        <v>0</v>
      </c>
      <c r="CI247" s="462">
        <f>IF(OR(AND(AT247&lt;&gt;0,AJ247&lt;&gt;"PF",AN247&lt;&gt;"NE",AG247&lt;&gt;"A"),AND(AL247="E",OR(AT247=1,AT247=3))),SickCHG*Y247,0)</f>
        <v>0</v>
      </c>
      <c r="CJ247" s="462">
        <f t="shared" si="63"/>
        <v>0</v>
      </c>
      <c r="CK247" s="462" t="str">
        <f t="shared" si="64"/>
        <v/>
      </c>
      <c r="CL247" s="462" t="str">
        <f t="shared" si="65"/>
        <v/>
      </c>
      <c r="CM247" s="462" t="str">
        <f t="shared" si="66"/>
        <v/>
      </c>
      <c r="CN247" s="462" t="str">
        <f t="shared" si="67"/>
        <v>0243-00</v>
      </c>
    </row>
    <row r="248" spans="1:92" ht="15" thickBot="1" x14ac:dyDescent="0.35">
      <c r="A248" s="376" t="s">
        <v>161</v>
      </c>
      <c r="B248" s="376" t="s">
        <v>162</v>
      </c>
      <c r="C248" s="376" t="s">
        <v>885</v>
      </c>
      <c r="D248" s="376" t="s">
        <v>221</v>
      </c>
      <c r="E248" s="376" t="s">
        <v>273</v>
      </c>
      <c r="F248" s="377" t="s">
        <v>166</v>
      </c>
      <c r="G248" s="376" t="s">
        <v>432</v>
      </c>
      <c r="H248" s="378"/>
      <c r="I248" s="378"/>
      <c r="J248" s="376" t="s">
        <v>168</v>
      </c>
      <c r="K248" s="376" t="s">
        <v>222</v>
      </c>
      <c r="L248" s="376" t="s">
        <v>166</v>
      </c>
      <c r="M248" s="376" t="s">
        <v>225</v>
      </c>
      <c r="N248" s="376" t="s">
        <v>223</v>
      </c>
      <c r="O248" s="379">
        <v>0</v>
      </c>
      <c r="P248" s="460">
        <v>1</v>
      </c>
      <c r="Q248" s="460">
        <v>0</v>
      </c>
      <c r="R248" s="380">
        <v>0</v>
      </c>
      <c r="S248" s="460">
        <v>0</v>
      </c>
      <c r="T248" s="380">
        <v>3415</v>
      </c>
      <c r="U248" s="380">
        <v>144</v>
      </c>
      <c r="V248" s="380">
        <v>438.49</v>
      </c>
      <c r="W248" s="380">
        <v>3559</v>
      </c>
      <c r="X248" s="380">
        <v>438.49</v>
      </c>
      <c r="Y248" s="380">
        <v>3559</v>
      </c>
      <c r="Z248" s="380">
        <v>438.49</v>
      </c>
      <c r="AA248" s="378"/>
      <c r="AB248" s="376" t="s">
        <v>45</v>
      </c>
      <c r="AC248" s="376" t="s">
        <v>45</v>
      </c>
      <c r="AD248" s="378"/>
      <c r="AE248" s="378"/>
      <c r="AF248" s="378"/>
      <c r="AG248" s="378"/>
      <c r="AH248" s="379">
        <v>0</v>
      </c>
      <c r="AI248" s="379">
        <v>0</v>
      </c>
      <c r="AJ248" s="378"/>
      <c r="AK248" s="378"/>
      <c r="AL248" s="376" t="s">
        <v>181</v>
      </c>
      <c r="AM248" s="378"/>
      <c r="AN248" s="378"/>
      <c r="AO248" s="379">
        <v>0</v>
      </c>
      <c r="AP248" s="460">
        <v>0</v>
      </c>
      <c r="AQ248" s="460">
        <v>0</v>
      </c>
      <c r="AR248" s="459"/>
      <c r="AS248" s="462">
        <f t="shared" si="51"/>
        <v>0</v>
      </c>
      <c r="AT248">
        <f t="shared" si="52"/>
        <v>0</v>
      </c>
      <c r="AU248" s="462" t="str">
        <f>IF(AT248=0,"",IF(AND(AT248=1,M248="F",SUMIF(C2:C391,C248,AS2:AS391)&lt;=1),SUMIF(C2:C391,C248,AS2:AS391),IF(AND(AT248=1,M248="F",SUMIF(C2:C391,C248,AS2:AS391)&gt;1),1,"")))</f>
        <v/>
      </c>
      <c r="AV248" s="462" t="str">
        <f>IF(AT248=0,"",IF(AND(AT248=3,M248="F",SUMIF(C2:C391,C248,AS2:AS391)&lt;=1),SUMIF(C2:C391,C248,AS2:AS391),IF(AND(AT248=3,M248="F",SUMIF(C2:C391,C248,AS2:AS391)&gt;1),1,"")))</f>
        <v/>
      </c>
      <c r="AW248" s="462">
        <f>SUMIF(C2:C391,C248,O2:O391)</f>
        <v>0</v>
      </c>
      <c r="AX248" s="462">
        <f>IF(AND(M248="F",AS248&lt;&gt;0),SUMIF(C2:C391,C248,W2:W391),0)</f>
        <v>0</v>
      </c>
      <c r="AY248" s="462" t="str">
        <f t="shared" si="53"/>
        <v/>
      </c>
      <c r="AZ248" s="462" t="str">
        <f t="shared" si="54"/>
        <v/>
      </c>
      <c r="BA248" s="462">
        <f t="shared" si="55"/>
        <v>0</v>
      </c>
      <c r="BB248" s="462">
        <f>IF(AND(AT248=1,AK248="E",AU248&gt;=0.75,AW248=1),Health,IF(AND(AT248=1,AK248="E",AU248&gt;=0.75),Health*P248,IF(AND(AT248=1,AK248="E",AU248&gt;=0.5,AW248=1),PTHealth,IF(AND(AT248=1,AK248="E",AU248&gt;=0.5),PTHealth*P248,0))))</f>
        <v>0</v>
      </c>
      <c r="BC248" s="462">
        <f>IF(AND(AT248=3,AK248="E",AV248&gt;=0.75,AW248=1),Health,IF(AND(AT248=3,AK248="E",AV248&gt;=0.75),Health*P248,IF(AND(AT248=3,AK248="E",AV248&gt;=0.5,AW248=1),PTHealth,IF(AND(AT248=3,AK248="E",AV248&gt;=0.5),PTHealth*P248,0))))</f>
        <v>0</v>
      </c>
      <c r="BD248" s="462">
        <f>IF(AND(AT248&lt;&gt;0,AX248&gt;=MAXSSDI),SSDI*MAXSSDI*P248,IF(AT248&lt;&gt;0,SSDI*W248,0))</f>
        <v>0</v>
      </c>
      <c r="BE248" s="462">
        <f>IF(AT248&lt;&gt;0,SSHI*W248,0)</f>
        <v>0</v>
      </c>
      <c r="BF248" s="462">
        <f>IF(AND(AT248&lt;&gt;0,AN248&lt;&gt;"NE"),VLOOKUP(AN248,Retirement_Rates,3,FALSE)*W248,0)</f>
        <v>0</v>
      </c>
      <c r="BG248" s="462">
        <f>IF(AND(AT248&lt;&gt;0,AJ248&lt;&gt;"PF"),Life*W248,0)</f>
        <v>0</v>
      </c>
      <c r="BH248" s="462">
        <f>IF(AND(AT248&lt;&gt;0,AM248="Y"),UI*W248,0)</f>
        <v>0</v>
      </c>
      <c r="BI248" s="462">
        <f>IF(AND(AT248&lt;&gt;0,N248&lt;&gt;"NR"),DHR*W248,0)</f>
        <v>0</v>
      </c>
      <c r="BJ248" s="462">
        <f>IF(AT248&lt;&gt;0,WC*W248,0)</f>
        <v>0</v>
      </c>
      <c r="BK248" s="462">
        <f>IF(OR(AND(AT248&lt;&gt;0,AJ248&lt;&gt;"PF",AN248&lt;&gt;"NE",AG248&lt;&gt;"A"),AND(AL248="E",OR(AT248=1,AT248=3))),Sick*W248,0)</f>
        <v>0</v>
      </c>
      <c r="BL248" s="462">
        <f t="shared" si="56"/>
        <v>0</v>
      </c>
      <c r="BM248" s="462">
        <f t="shared" si="57"/>
        <v>0</v>
      </c>
      <c r="BN248" s="462">
        <f>IF(AND(AT248=1,AK248="E",AU248&gt;=0.75,AW248=1),HealthBY,IF(AND(AT248=1,AK248="E",AU248&gt;=0.75),HealthBY*P248,IF(AND(AT248=1,AK248="E",AU248&gt;=0.5,AW248=1),PTHealthBY,IF(AND(AT248=1,AK248="E",AU248&gt;=0.5),PTHealthBY*P248,0))))</f>
        <v>0</v>
      </c>
      <c r="BO248" s="462">
        <f>IF(AND(AT248=3,AK248="E",AV248&gt;=0.75,AW248=1),HealthBY,IF(AND(AT248=3,AK248="E",AV248&gt;=0.75),HealthBY*P248,IF(AND(AT248=3,AK248="E",AV248&gt;=0.5,AW248=1),PTHealthBY,IF(AND(AT248=3,AK248="E",AV248&gt;=0.5),PTHealthBY*P248,0))))</f>
        <v>0</v>
      </c>
      <c r="BP248" s="462">
        <f>IF(AND(AT248&lt;&gt;0,(AX248+BA248)&gt;=MAXSSDIBY),SSDIBY*MAXSSDIBY*P248,IF(AT248&lt;&gt;0,SSDIBY*W248,0))</f>
        <v>0</v>
      </c>
      <c r="BQ248" s="462">
        <f>IF(AT248&lt;&gt;0,SSHIBY*W248,0)</f>
        <v>0</v>
      </c>
      <c r="BR248" s="462">
        <f>IF(AND(AT248&lt;&gt;0,AN248&lt;&gt;"NE"),VLOOKUP(AN248,Retirement_Rates,4,FALSE)*W248,0)</f>
        <v>0</v>
      </c>
      <c r="BS248" s="462">
        <f>IF(AND(AT248&lt;&gt;0,AJ248&lt;&gt;"PF"),LifeBY*W248,0)</f>
        <v>0</v>
      </c>
      <c r="BT248" s="462">
        <f>IF(AND(AT248&lt;&gt;0,AM248="Y"),UIBY*W248,0)</f>
        <v>0</v>
      </c>
      <c r="BU248" s="462">
        <f>IF(AND(AT248&lt;&gt;0,N248&lt;&gt;"NR"),DHRBY*W248,0)</f>
        <v>0</v>
      </c>
      <c r="BV248" s="462">
        <f>IF(AT248&lt;&gt;0,WCBY*W248,0)</f>
        <v>0</v>
      </c>
      <c r="BW248" s="462">
        <f>IF(OR(AND(AT248&lt;&gt;0,AJ248&lt;&gt;"PF",AN248&lt;&gt;"NE",AG248&lt;&gt;"A"),AND(AL248="E",OR(AT248=1,AT248=3))),SickBY*W248,0)</f>
        <v>0</v>
      </c>
      <c r="BX248" s="462">
        <f t="shared" si="58"/>
        <v>0</v>
      </c>
      <c r="BY248" s="462">
        <f t="shared" si="59"/>
        <v>0</v>
      </c>
      <c r="BZ248" s="462">
        <f t="shared" si="60"/>
        <v>0</v>
      </c>
      <c r="CA248" s="462">
        <f t="shared" si="61"/>
        <v>0</v>
      </c>
      <c r="CB248" s="462">
        <f t="shared" si="62"/>
        <v>0</v>
      </c>
      <c r="CC248" s="462">
        <f>IF(AT248&lt;&gt;0,SSHICHG*Y248,0)</f>
        <v>0</v>
      </c>
      <c r="CD248" s="462">
        <f>IF(AND(AT248&lt;&gt;0,AN248&lt;&gt;"NE"),VLOOKUP(AN248,Retirement_Rates,5,FALSE)*Y248,0)</f>
        <v>0</v>
      </c>
      <c r="CE248" s="462">
        <f>IF(AND(AT248&lt;&gt;0,AJ248&lt;&gt;"PF"),LifeCHG*Y248,0)</f>
        <v>0</v>
      </c>
      <c r="CF248" s="462">
        <f>IF(AND(AT248&lt;&gt;0,AM248="Y"),UICHG*Y248,0)</f>
        <v>0</v>
      </c>
      <c r="CG248" s="462">
        <f>IF(AND(AT248&lt;&gt;0,N248&lt;&gt;"NR"),DHRCHG*Y248,0)</f>
        <v>0</v>
      </c>
      <c r="CH248" s="462">
        <f>IF(AT248&lt;&gt;0,WCCHG*Y248,0)</f>
        <v>0</v>
      </c>
      <c r="CI248" s="462">
        <f>IF(OR(AND(AT248&lt;&gt;0,AJ248&lt;&gt;"PF",AN248&lt;&gt;"NE",AG248&lt;&gt;"A"),AND(AL248="E",OR(AT248=1,AT248=3))),SickCHG*Y248,0)</f>
        <v>0</v>
      </c>
      <c r="CJ248" s="462">
        <f t="shared" si="63"/>
        <v>0</v>
      </c>
      <c r="CK248" s="462" t="str">
        <f t="shared" si="64"/>
        <v/>
      </c>
      <c r="CL248" s="462">
        <f t="shared" si="65"/>
        <v>3559</v>
      </c>
      <c r="CM248" s="462">
        <f t="shared" si="66"/>
        <v>438.49</v>
      </c>
      <c r="CN248" s="462" t="str">
        <f t="shared" si="67"/>
        <v>0243-00</v>
      </c>
    </row>
    <row r="249" spans="1:92" ht="15" thickBot="1" x14ac:dyDescent="0.35">
      <c r="A249" s="376" t="s">
        <v>161</v>
      </c>
      <c r="B249" s="376" t="s">
        <v>162</v>
      </c>
      <c r="C249" s="376" t="s">
        <v>886</v>
      </c>
      <c r="D249" s="376" t="s">
        <v>627</v>
      </c>
      <c r="E249" s="376" t="s">
        <v>273</v>
      </c>
      <c r="F249" s="377" t="s">
        <v>166</v>
      </c>
      <c r="G249" s="376" t="s">
        <v>432</v>
      </c>
      <c r="H249" s="378"/>
      <c r="I249" s="378"/>
      <c r="J249" s="376" t="s">
        <v>168</v>
      </c>
      <c r="K249" s="376" t="s">
        <v>628</v>
      </c>
      <c r="L249" s="376" t="s">
        <v>240</v>
      </c>
      <c r="M249" s="376" t="s">
        <v>171</v>
      </c>
      <c r="N249" s="376" t="s">
        <v>172</v>
      </c>
      <c r="O249" s="379">
        <v>1</v>
      </c>
      <c r="P249" s="460">
        <v>1</v>
      </c>
      <c r="Q249" s="460">
        <v>1</v>
      </c>
      <c r="R249" s="380">
        <v>80</v>
      </c>
      <c r="S249" s="460">
        <v>1</v>
      </c>
      <c r="T249" s="380">
        <v>46160.33</v>
      </c>
      <c r="U249" s="380">
        <v>0</v>
      </c>
      <c r="V249" s="380">
        <v>22116.14</v>
      </c>
      <c r="W249" s="380">
        <v>47299.199999999997</v>
      </c>
      <c r="X249" s="380">
        <v>22905.75</v>
      </c>
      <c r="Y249" s="380">
        <v>47299.199999999997</v>
      </c>
      <c r="Z249" s="380">
        <v>23042.93</v>
      </c>
      <c r="AA249" s="376" t="s">
        <v>887</v>
      </c>
      <c r="AB249" s="376" t="s">
        <v>888</v>
      </c>
      <c r="AC249" s="376" t="s">
        <v>889</v>
      </c>
      <c r="AD249" s="376" t="s">
        <v>574</v>
      </c>
      <c r="AE249" s="376" t="s">
        <v>628</v>
      </c>
      <c r="AF249" s="376" t="s">
        <v>244</v>
      </c>
      <c r="AG249" s="376" t="s">
        <v>178</v>
      </c>
      <c r="AH249" s="381">
        <v>22.74</v>
      </c>
      <c r="AI249" s="381">
        <v>33569.199999999997</v>
      </c>
      <c r="AJ249" s="376" t="s">
        <v>179</v>
      </c>
      <c r="AK249" s="376" t="s">
        <v>180</v>
      </c>
      <c r="AL249" s="376" t="s">
        <v>181</v>
      </c>
      <c r="AM249" s="376" t="s">
        <v>182</v>
      </c>
      <c r="AN249" s="376" t="s">
        <v>68</v>
      </c>
      <c r="AO249" s="379">
        <v>80</v>
      </c>
      <c r="AP249" s="460">
        <v>1</v>
      </c>
      <c r="AQ249" s="460">
        <v>1</v>
      </c>
      <c r="AR249" s="458" t="s">
        <v>183</v>
      </c>
      <c r="AS249" s="462">
        <f t="shared" si="51"/>
        <v>1</v>
      </c>
      <c r="AT249">
        <f t="shared" si="52"/>
        <v>1</v>
      </c>
      <c r="AU249" s="462">
        <f>IF(AT249=0,"",IF(AND(AT249=1,M249="F",SUMIF(C2:C391,C249,AS2:AS391)&lt;=1),SUMIF(C2:C391,C249,AS2:AS391),IF(AND(AT249=1,M249="F",SUMIF(C2:C391,C249,AS2:AS391)&gt;1),1,"")))</f>
        <v>1</v>
      </c>
      <c r="AV249" s="462" t="str">
        <f>IF(AT249=0,"",IF(AND(AT249=3,M249="F",SUMIF(C2:C391,C249,AS2:AS391)&lt;=1),SUMIF(C2:C391,C249,AS2:AS391),IF(AND(AT249=3,M249="F",SUMIF(C2:C391,C249,AS2:AS391)&gt;1),1,"")))</f>
        <v/>
      </c>
      <c r="AW249" s="462">
        <f>SUMIF(C2:C391,C249,O2:O391)</f>
        <v>1</v>
      </c>
      <c r="AX249" s="462">
        <f>IF(AND(M249="F",AS249&lt;&gt;0),SUMIF(C2:C391,C249,W2:W391),0)</f>
        <v>47299.199999999997</v>
      </c>
      <c r="AY249" s="462">
        <f t="shared" si="53"/>
        <v>47299.199999999997</v>
      </c>
      <c r="AZ249" s="462" t="str">
        <f t="shared" si="54"/>
        <v/>
      </c>
      <c r="BA249" s="462">
        <f t="shared" si="55"/>
        <v>0</v>
      </c>
      <c r="BB249" s="462">
        <f>IF(AND(AT249=1,AK249="E",AU249&gt;=0.75,AW249=1),Health,IF(AND(AT249=1,AK249="E",AU249&gt;=0.75),Health*P249,IF(AND(AT249=1,AK249="E",AU249&gt;=0.5,AW249=1),PTHealth,IF(AND(AT249=1,AK249="E",AU249&gt;=0.5),PTHealth*P249,0))))</f>
        <v>11650</v>
      </c>
      <c r="BC249" s="462">
        <f>IF(AND(AT249=3,AK249="E",AV249&gt;=0.75,AW249=1),Health,IF(AND(AT249=3,AK249="E",AV249&gt;=0.75),Health*P249,IF(AND(AT249=3,AK249="E",AV249&gt;=0.5,AW249=1),PTHealth,IF(AND(AT249=3,AK249="E",AV249&gt;=0.5),PTHealth*P249,0))))</f>
        <v>0</v>
      </c>
      <c r="BD249" s="462">
        <f>IF(AND(AT249&lt;&gt;0,AX249&gt;=MAXSSDI),SSDI*MAXSSDI*P249,IF(AT249&lt;&gt;0,SSDI*W249,0))</f>
        <v>2932.5503999999996</v>
      </c>
      <c r="BE249" s="462">
        <f>IF(AT249&lt;&gt;0,SSHI*W249,0)</f>
        <v>685.83839999999998</v>
      </c>
      <c r="BF249" s="462">
        <f>IF(AND(AT249&lt;&gt;0,AN249&lt;&gt;"NE"),VLOOKUP(AN249,Retirement_Rates,3,FALSE)*W249,0)</f>
        <v>5647.52448</v>
      </c>
      <c r="BG249" s="462">
        <f>IF(AND(AT249&lt;&gt;0,AJ249&lt;&gt;"PF"),Life*W249,0)</f>
        <v>341.02723199999997</v>
      </c>
      <c r="BH249" s="462">
        <f>IF(AND(AT249&lt;&gt;0,AM249="Y"),UI*W249,0)</f>
        <v>231.76607999999999</v>
      </c>
      <c r="BI249" s="462">
        <f>IF(AND(AT249&lt;&gt;0,N249&lt;&gt;"NR"),DHR*W249,0)</f>
        <v>144.73555199999998</v>
      </c>
      <c r="BJ249" s="462">
        <f>IF(AT249&lt;&gt;0,WC*W249,0)</f>
        <v>1272.3484799999999</v>
      </c>
      <c r="BK249" s="462">
        <f>IF(OR(AND(AT249&lt;&gt;0,AJ249&lt;&gt;"PF",AN249&lt;&gt;"NE",AG249&lt;&gt;"A"),AND(AL249="E",OR(AT249=1,AT249=3))),Sick*W249,0)</f>
        <v>0</v>
      </c>
      <c r="BL249" s="462">
        <f t="shared" si="56"/>
        <v>11255.790624000001</v>
      </c>
      <c r="BM249" s="462">
        <f t="shared" si="57"/>
        <v>0</v>
      </c>
      <c r="BN249" s="462">
        <f>IF(AND(AT249=1,AK249="E",AU249&gt;=0.75,AW249=1),HealthBY,IF(AND(AT249=1,AK249="E",AU249&gt;=0.75),HealthBY*P249,IF(AND(AT249=1,AK249="E",AU249&gt;=0.5,AW249=1),PTHealthBY,IF(AND(AT249=1,AK249="E",AU249&gt;=0.5),PTHealthBY*P249,0))))</f>
        <v>11650</v>
      </c>
      <c r="BO249" s="462">
        <f>IF(AND(AT249=3,AK249="E",AV249&gt;=0.75,AW249=1),HealthBY,IF(AND(AT249=3,AK249="E",AV249&gt;=0.75),HealthBY*P249,IF(AND(AT249=3,AK249="E",AV249&gt;=0.5,AW249=1),PTHealthBY,IF(AND(AT249=3,AK249="E",AV249&gt;=0.5),PTHealthBY*P249,0))))</f>
        <v>0</v>
      </c>
      <c r="BP249" s="462">
        <f>IF(AND(AT249&lt;&gt;0,(AX249+BA249)&gt;=MAXSSDIBY),SSDIBY*MAXSSDIBY*P249,IF(AT249&lt;&gt;0,SSDIBY*W249,0))</f>
        <v>2932.5503999999996</v>
      </c>
      <c r="BQ249" s="462">
        <f>IF(AT249&lt;&gt;0,SSHIBY*W249,0)</f>
        <v>685.83839999999998</v>
      </c>
      <c r="BR249" s="462">
        <f>IF(AND(AT249&lt;&gt;0,AN249&lt;&gt;"NE"),VLOOKUP(AN249,Retirement_Rates,4,FALSE)*W249,0)</f>
        <v>5647.52448</v>
      </c>
      <c r="BS249" s="462">
        <f>IF(AND(AT249&lt;&gt;0,AJ249&lt;&gt;"PF"),LifeBY*W249,0)</f>
        <v>341.02723199999997</v>
      </c>
      <c r="BT249" s="462">
        <f>IF(AND(AT249&lt;&gt;0,AM249="Y"),UIBY*W249,0)</f>
        <v>0</v>
      </c>
      <c r="BU249" s="462">
        <f>IF(AND(AT249&lt;&gt;0,N249&lt;&gt;"NR"),DHRBY*W249,0)</f>
        <v>144.73555199999998</v>
      </c>
      <c r="BV249" s="462">
        <f>IF(AT249&lt;&gt;0,WCBY*W249,0)</f>
        <v>1641.28224</v>
      </c>
      <c r="BW249" s="462">
        <f>IF(OR(AND(AT249&lt;&gt;0,AJ249&lt;&gt;"PF",AN249&lt;&gt;"NE",AG249&lt;&gt;"A"),AND(AL249="E",OR(AT249=1,AT249=3))),SickBY*W249,0)</f>
        <v>0</v>
      </c>
      <c r="BX249" s="462">
        <f t="shared" si="58"/>
        <v>11392.958304000002</v>
      </c>
      <c r="BY249" s="462">
        <f t="shared" si="59"/>
        <v>0</v>
      </c>
      <c r="BZ249" s="462">
        <f t="shared" si="60"/>
        <v>0</v>
      </c>
      <c r="CA249" s="462">
        <f t="shared" si="61"/>
        <v>0</v>
      </c>
      <c r="CB249" s="462">
        <f t="shared" si="62"/>
        <v>0</v>
      </c>
      <c r="CC249" s="462">
        <f>IF(AT249&lt;&gt;0,SSHICHG*Y249,0)</f>
        <v>0</v>
      </c>
      <c r="CD249" s="462">
        <f>IF(AND(AT249&lt;&gt;0,AN249&lt;&gt;"NE"),VLOOKUP(AN249,Retirement_Rates,5,FALSE)*Y249,0)</f>
        <v>0</v>
      </c>
      <c r="CE249" s="462">
        <f>IF(AND(AT249&lt;&gt;0,AJ249&lt;&gt;"PF"),LifeCHG*Y249,0)</f>
        <v>0</v>
      </c>
      <c r="CF249" s="462">
        <f>IF(AND(AT249&lt;&gt;0,AM249="Y"),UICHG*Y249,0)</f>
        <v>-231.76607999999999</v>
      </c>
      <c r="CG249" s="462">
        <f>IF(AND(AT249&lt;&gt;0,N249&lt;&gt;"NR"),DHRCHG*Y249,0)</f>
        <v>0</v>
      </c>
      <c r="CH249" s="462">
        <f>IF(AT249&lt;&gt;0,WCCHG*Y249,0)</f>
        <v>368.93376000000006</v>
      </c>
      <c r="CI249" s="462">
        <f>IF(OR(AND(AT249&lt;&gt;0,AJ249&lt;&gt;"PF",AN249&lt;&gt;"NE",AG249&lt;&gt;"A"),AND(AL249="E",OR(AT249=1,AT249=3))),SickCHG*Y249,0)</f>
        <v>0</v>
      </c>
      <c r="CJ249" s="462">
        <f t="shared" si="63"/>
        <v>137.16768000000008</v>
      </c>
      <c r="CK249" s="462" t="str">
        <f t="shared" si="64"/>
        <v/>
      </c>
      <c r="CL249" s="462" t="str">
        <f t="shared" si="65"/>
        <v/>
      </c>
      <c r="CM249" s="462" t="str">
        <f t="shared" si="66"/>
        <v/>
      </c>
      <c r="CN249" s="462" t="str">
        <f t="shared" si="67"/>
        <v>0243-00</v>
      </c>
    </row>
    <row r="250" spans="1:92" ht="15" thickBot="1" x14ac:dyDescent="0.35">
      <c r="A250" s="376" t="s">
        <v>161</v>
      </c>
      <c r="B250" s="376" t="s">
        <v>162</v>
      </c>
      <c r="C250" s="376" t="s">
        <v>890</v>
      </c>
      <c r="D250" s="376" t="s">
        <v>431</v>
      </c>
      <c r="E250" s="376" t="s">
        <v>273</v>
      </c>
      <c r="F250" s="377" t="s">
        <v>166</v>
      </c>
      <c r="G250" s="376" t="s">
        <v>432</v>
      </c>
      <c r="H250" s="378"/>
      <c r="I250" s="378"/>
      <c r="J250" s="376" t="s">
        <v>168</v>
      </c>
      <c r="K250" s="376" t="s">
        <v>433</v>
      </c>
      <c r="L250" s="376" t="s">
        <v>195</v>
      </c>
      <c r="M250" s="376" t="s">
        <v>171</v>
      </c>
      <c r="N250" s="376" t="s">
        <v>172</v>
      </c>
      <c r="O250" s="379">
        <v>1</v>
      </c>
      <c r="P250" s="460">
        <v>1</v>
      </c>
      <c r="Q250" s="460">
        <v>1</v>
      </c>
      <c r="R250" s="380">
        <v>80</v>
      </c>
      <c r="S250" s="460">
        <v>1</v>
      </c>
      <c r="T250" s="380">
        <v>62273.72</v>
      </c>
      <c r="U250" s="380">
        <v>0</v>
      </c>
      <c r="V250" s="380">
        <v>25283.81</v>
      </c>
      <c r="W250" s="380">
        <v>62524.800000000003</v>
      </c>
      <c r="X250" s="380">
        <v>26528.99</v>
      </c>
      <c r="Y250" s="380">
        <v>62524.800000000003</v>
      </c>
      <c r="Z250" s="380">
        <v>26710.32</v>
      </c>
      <c r="AA250" s="376" t="s">
        <v>891</v>
      </c>
      <c r="AB250" s="376" t="s">
        <v>892</v>
      </c>
      <c r="AC250" s="376" t="s">
        <v>893</v>
      </c>
      <c r="AD250" s="376" t="s">
        <v>574</v>
      </c>
      <c r="AE250" s="376" t="s">
        <v>433</v>
      </c>
      <c r="AF250" s="376" t="s">
        <v>199</v>
      </c>
      <c r="AG250" s="376" t="s">
        <v>178</v>
      </c>
      <c r="AH250" s="381">
        <v>30.06</v>
      </c>
      <c r="AI250" s="381">
        <v>97178.7</v>
      </c>
      <c r="AJ250" s="376" t="s">
        <v>179</v>
      </c>
      <c r="AK250" s="376" t="s">
        <v>180</v>
      </c>
      <c r="AL250" s="376" t="s">
        <v>181</v>
      </c>
      <c r="AM250" s="376" t="s">
        <v>182</v>
      </c>
      <c r="AN250" s="376" t="s">
        <v>68</v>
      </c>
      <c r="AO250" s="379">
        <v>80</v>
      </c>
      <c r="AP250" s="460">
        <v>1</v>
      </c>
      <c r="AQ250" s="460">
        <v>1</v>
      </c>
      <c r="AR250" s="458" t="s">
        <v>183</v>
      </c>
      <c r="AS250" s="462">
        <f t="shared" si="51"/>
        <v>1</v>
      </c>
      <c r="AT250">
        <f t="shared" si="52"/>
        <v>1</v>
      </c>
      <c r="AU250" s="462">
        <f>IF(AT250=0,"",IF(AND(AT250=1,M250="F",SUMIF(C2:C391,C250,AS2:AS391)&lt;=1),SUMIF(C2:C391,C250,AS2:AS391),IF(AND(AT250=1,M250="F",SUMIF(C2:C391,C250,AS2:AS391)&gt;1),1,"")))</f>
        <v>1</v>
      </c>
      <c r="AV250" s="462" t="str">
        <f>IF(AT250=0,"",IF(AND(AT250=3,M250="F",SUMIF(C2:C391,C250,AS2:AS391)&lt;=1),SUMIF(C2:C391,C250,AS2:AS391),IF(AND(AT250=3,M250="F",SUMIF(C2:C391,C250,AS2:AS391)&gt;1),1,"")))</f>
        <v/>
      </c>
      <c r="AW250" s="462">
        <f>SUMIF(C2:C391,C250,O2:O391)</f>
        <v>1</v>
      </c>
      <c r="AX250" s="462">
        <f>IF(AND(M250="F",AS250&lt;&gt;0),SUMIF(C2:C391,C250,W2:W391),0)</f>
        <v>62524.800000000003</v>
      </c>
      <c r="AY250" s="462">
        <f t="shared" si="53"/>
        <v>62524.800000000003</v>
      </c>
      <c r="AZ250" s="462" t="str">
        <f t="shared" si="54"/>
        <v/>
      </c>
      <c r="BA250" s="462">
        <f t="shared" si="55"/>
        <v>0</v>
      </c>
      <c r="BB250" s="462">
        <f>IF(AND(AT250=1,AK250="E",AU250&gt;=0.75,AW250=1),Health,IF(AND(AT250=1,AK250="E",AU250&gt;=0.75),Health*P250,IF(AND(AT250=1,AK250="E",AU250&gt;=0.5,AW250=1),PTHealth,IF(AND(AT250=1,AK250="E",AU250&gt;=0.5),PTHealth*P250,0))))</f>
        <v>11650</v>
      </c>
      <c r="BC250" s="462">
        <f>IF(AND(AT250=3,AK250="E",AV250&gt;=0.75,AW250=1),Health,IF(AND(AT250=3,AK250="E",AV250&gt;=0.75),Health*P250,IF(AND(AT250=3,AK250="E",AV250&gt;=0.5,AW250=1),PTHealth,IF(AND(AT250=3,AK250="E",AV250&gt;=0.5),PTHealth*P250,0))))</f>
        <v>0</v>
      </c>
      <c r="BD250" s="462">
        <f>IF(AND(AT250&lt;&gt;0,AX250&gt;=MAXSSDI),SSDI*MAXSSDI*P250,IF(AT250&lt;&gt;0,SSDI*W250,0))</f>
        <v>3876.5376000000001</v>
      </c>
      <c r="BE250" s="462">
        <f>IF(AT250&lt;&gt;0,SSHI*W250,0)</f>
        <v>906.60960000000011</v>
      </c>
      <c r="BF250" s="462">
        <f>IF(AND(AT250&lt;&gt;0,AN250&lt;&gt;"NE"),VLOOKUP(AN250,Retirement_Rates,3,FALSE)*W250,0)</f>
        <v>7465.4611200000008</v>
      </c>
      <c r="BG250" s="462">
        <f>IF(AND(AT250&lt;&gt;0,AJ250&lt;&gt;"PF"),Life*W250,0)</f>
        <v>450.80380800000006</v>
      </c>
      <c r="BH250" s="462">
        <f>IF(AND(AT250&lt;&gt;0,AM250="Y"),UI*W250,0)</f>
        <v>306.37152000000003</v>
      </c>
      <c r="BI250" s="462">
        <f>IF(AND(AT250&lt;&gt;0,N250&lt;&gt;"NR"),DHR*W250,0)</f>
        <v>191.32588799999999</v>
      </c>
      <c r="BJ250" s="462">
        <f>IF(AT250&lt;&gt;0,WC*W250,0)</f>
        <v>1681.9171200000001</v>
      </c>
      <c r="BK250" s="462">
        <f>IF(OR(AND(AT250&lt;&gt;0,AJ250&lt;&gt;"PF",AN250&lt;&gt;"NE",AG250&lt;&gt;"A"),AND(AL250="E",OR(AT250=1,AT250=3))),Sick*W250,0)</f>
        <v>0</v>
      </c>
      <c r="BL250" s="462">
        <f t="shared" si="56"/>
        <v>14879.026656000002</v>
      </c>
      <c r="BM250" s="462">
        <f t="shared" si="57"/>
        <v>0</v>
      </c>
      <c r="BN250" s="462">
        <f>IF(AND(AT250=1,AK250="E",AU250&gt;=0.75,AW250=1),HealthBY,IF(AND(AT250=1,AK250="E",AU250&gt;=0.75),HealthBY*P250,IF(AND(AT250=1,AK250="E",AU250&gt;=0.5,AW250=1),PTHealthBY,IF(AND(AT250=1,AK250="E",AU250&gt;=0.5),PTHealthBY*P250,0))))</f>
        <v>11650</v>
      </c>
      <c r="BO250" s="462">
        <f>IF(AND(AT250=3,AK250="E",AV250&gt;=0.75,AW250=1),HealthBY,IF(AND(AT250=3,AK250="E",AV250&gt;=0.75),HealthBY*P250,IF(AND(AT250=3,AK250="E",AV250&gt;=0.5,AW250=1),PTHealthBY,IF(AND(AT250=3,AK250="E",AV250&gt;=0.5),PTHealthBY*P250,0))))</f>
        <v>0</v>
      </c>
      <c r="BP250" s="462">
        <f>IF(AND(AT250&lt;&gt;0,(AX250+BA250)&gt;=MAXSSDIBY),SSDIBY*MAXSSDIBY*P250,IF(AT250&lt;&gt;0,SSDIBY*W250,0))</f>
        <v>3876.5376000000001</v>
      </c>
      <c r="BQ250" s="462">
        <f>IF(AT250&lt;&gt;0,SSHIBY*W250,0)</f>
        <v>906.60960000000011</v>
      </c>
      <c r="BR250" s="462">
        <f>IF(AND(AT250&lt;&gt;0,AN250&lt;&gt;"NE"),VLOOKUP(AN250,Retirement_Rates,4,FALSE)*W250,0)</f>
        <v>7465.4611200000008</v>
      </c>
      <c r="BS250" s="462">
        <f>IF(AND(AT250&lt;&gt;0,AJ250&lt;&gt;"PF"),LifeBY*W250,0)</f>
        <v>450.80380800000006</v>
      </c>
      <c r="BT250" s="462">
        <f>IF(AND(AT250&lt;&gt;0,AM250="Y"),UIBY*W250,0)</f>
        <v>0</v>
      </c>
      <c r="BU250" s="462">
        <f>IF(AND(AT250&lt;&gt;0,N250&lt;&gt;"NR"),DHRBY*W250,0)</f>
        <v>191.32588799999999</v>
      </c>
      <c r="BV250" s="462">
        <f>IF(AT250&lt;&gt;0,WCBY*W250,0)</f>
        <v>2169.6105600000001</v>
      </c>
      <c r="BW250" s="462">
        <f>IF(OR(AND(AT250&lt;&gt;0,AJ250&lt;&gt;"PF",AN250&lt;&gt;"NE",AG250&lt;&gt;"A"),AND(AL250="E",OR(AT250=1,AT250=3))),SickBY*W250,0)</f>
        <v>0</v>
      </c>
      <c r="BX250" s="462">
        <f t="shared" si="58"/>
        <v>15060.348576</v>
      </c>
      <c r="BY250" s="462">
        <f t="shared" si="59"/>
        <v>0</v>
      </c>
      <c r="BZ250" s="462">
        <f t="shared" si="60"/>
        <v>0</v>
      </c>
      <c r="CA250" s="462">
        <f t="shared" si="61"/>
        <v>0</v>
      </c>
      <c r="CB250" s="462">
        <f t="shared" si="62"/>
        <v>0</v>
      </c>
      <c r="CC250" s="462">
        <f>IF(AT250&lt;&gt;0,SSHICHG*Y250,0)</f>
        <v>0</v>
      </c>
      <c r="CD250" s="462">
        <f>IF(AND(AT250&lt;&gt;0,AN250&lt;&gt;"NE"),VLOOKUP(AN250,Retirement_Rates,5,FALSE)*Y250,0)</f>
        <v>0</v>
      </c>
      <c r="CE250" s="462">
        <f>IF(AND(AT250&lt;&gt;0,AJ250&lt;&gt;"PF"),LifeCHG*Y250,0)</f>
        <v>0</v>
      </c>
      <c r="CF250" s="462">
        <f>IF(AND(AT250&lt;&gt;0,AM250="Y"),UICHG*Y250,0)</f>
        <v>-306.37152000000003</v>
      </c>
      <c r="CG250" s="462">
        <f>IF(AND(AT250&lt;&gt;0,N250&lt;&gt;"NR"),DHRCHG*Y250,0)</f>
        <v>0</v>
      </c>
      <c r="CH250" s="462">
        <f>IF(AT250&lt;&gt;0,WCCHG*Y250,0)</f>
        <v>487.69344000000012</v>
      </c>
      <c r="CI250" s="462">
        <f>IF(OR(AND(AT250&lt;&gt;0,AJ250&lt;&gt;"PF",AN250&lt;&gt;"NE",AG250&lt;&gt;"A"),AND(AL250="E",OR(AT250=1,AT250=3))),SickCHG*Y250,0)</f>
        <v>0</v>
      </c>
      <c r="CJ250" s="462">
        <f t="shared" si="63"/>
        <v>181.32192000000009</v>
      </c>
      <c r="CK250" s="462" t="str">
        <f t="shared" si="64"/>
        <v/>
      </c>
      <c r="CL250" s="462" t="str">
        <f t="shared" si="65"/>
        <v/>
      </c>
      <c r="CM250" s="462" t="str">
        <f t="shared" si="66"/>
        <v/>
      </c>
      <c r="CN250" s="462" t="str">
        <f t="shared" si="67"/>
        <v>0243-00</v>
      </c>
    </row>
    <row r="251" spans="1:92" ht="15" thickBot="1" x14ac:dyDescent="0.35">
      <c r="A251" s="376" t="s">
        <v>161</v>
      </c>
      <c r="B251" s="376" t="s">
        <v>162</v>
      </c>
      <c r="C251" s="376" t="s">
        <v>894</v>
      </c>
      <c r="D251" s="376" t="s">
        <v>438</v>
      </c>
      <c r="E251" s="376" t="s">
        <v>273</v>
      </c>
      <c r="F251" s="377" t="s">
        <v>166</v>
      </c>
      <c r="G251" s="376" t="s">
        <v>432</v>
      </c>
      <c r="H251" s="378"/>
      <c r="I251" s="378"/>
      <c r="J251" s="376" t="s">
        <v>168</v>
      </c>
      <c r="K251" s="376" t="s">
        <v>439</v>
      </c>
      <c r="L251" s="376" t="s">
        <v>231</v>
      </c>
      <c r="M251" s="376" t="s">
        <v>225</v>
      </c>
      <c r="N251" s="376" t="s">
        <v>172</v>
      </c>
      <c r="O251" s="379">
        <v>0</v>
      </c>
      <c r="P251" s="460">
        <v>1</v>
      </c>
      <c r="Q251" s="460">
        <v>0.5</v>
      </c>
      <c r="R251" s="380">
        <v>40</v>
      </c>
      <c r="S251" s="460">
        <v>0.25</v>
      </c>
      <c r="T251" s="380">
        <v>0</v>
      </c>
      <c r="U251" s="380">
        <v>0</v>
      </c>
      <c r="V251" s="380">
        <v>0</v>
      </c>
      <c r="W251" s="380">
        <v>10582</v>
      </c>
      <c r="X251" s="380">
        <v>4634.91</v>
      </c>
      <c r="Y251" s="380">
        <v>10582</v>
      </c>
      <c r="Z251" s="380">
        <v>4582</v>
      </c>
      <c r="AA251" s="378"/>
      <c r="AB251" s="376" t="s">
        <v>45</v>
      </c>
      <c r="AC251" s="376" t="s">
        <v>45</v>
      </c>
      <c r="AD251" s="378"/>
      <c r="AE251" s="378"/>
      <c r="AF251" s="378"/>
      <c r="AG251" s="378"/>
      <c r="AH251" s="379">
        <v>0</v>
      </c>
      <c r="AI251" s="379">
        <v>0</v>
      </c>
      <c r="AJ251" s="378"/>
      <c r="AK251" s="378"/>
      <c r="AL251" s="376" t="s">
        <v>181</v>
      </c>
      <c r="AM251" s="378"/>
      <c r="AN251" s="378"/>
      <c r="AO251" s="379">
        <v>0</v>
      </c>
      <c r="AP251" s="460">
        <v>0</v>
      </c>
      <c r="AQ251" s="460">
        <v>0</v>
      </c>
      <c r="AR251" s="459"/>
      <c r="AS251" s="462">
        <f t="shared" si="51"/>
        <v>0</v>
      </c>
      <c r="AT251">
        <f t="shared" si="52"/>
        <v>0</v>
      </c>
      <c r="AU251" s="462" t="str">
        <f>IF(AT251=0,"",IF(AND(AT251=1,M251="F",SUMIF(C2:C391,C251,AS2:AS391)&lt;=1),SUMIF(C2:C391,C251,AS2:AS391),IF(AND(AT251=1,M251="F",SUMIF(C2:C391,C251,AS2:AS391)&gt;1),1,"")))</f>
        <v/>
      </c>
      <c r="AV251" s="462" t="str">
        <f>IF(AT251=0,"",IF(AND(AT251=3,M251="F",SUMIF(C2:C391,C251,AS2:AS391)&lt;=1),SUMIF(C2:C391,C251,AS2:AS391),IF(AND(AT251=3,M251="F",SUMIF(C2:C391,C251,AS2:AS391)&gt;1),1,"")))</f>
        <v/>
      </c>
      <c r="AW251" s="462">
        <f>SUMIF(C2:C391,C251,O2:O391)</f>
        <v>0</v>
      </c>
      <c r="AX251" s="462">
        <f>IF(AND(M251="F",AS251&lt;&gt;0),SUMIF(C2:C391,C251,W2:W391),0)</f>
        <v>0</v>
      </c>
      <c r="AY251" s="462" t="str">
        <f t="shared" si="53"/>
        <v/>
      </c>
      <c r="AZ251" s="462" t="str">
        <f t="shared" si="54"/>
        <v/>
      </c>
      <c r="BA251" s="462">
        <f t="shared" si="55"/>
        <v>0</v>
      </c>
      <c r="BB251" s="462">
        <f>IF(AND(AT251=1,AK251="E",AU251&gt;=0.75,AW251=1),Health,IF(AND(AT251=1,AK251="E",AU251&gt;=0.75),Health*P251,IF(AND(AT251=1,AK251="E",AU251&gt;=0.5,AW251=1),PTHealth,IF(AND(AT251=1,AK251="E",AU251&gt;=0.5),PTHealth*P251,0))))</f>
        <v>0</v>
      </c>
      <c r="BC251" s="462">
        <f>IF(AND(AT251=3,AK251="E",AV251&gt;=0.75,AW251=1),Health,IF(AND(AT251=3,AK251="E",AV251&gt;=0.75),Health*P251,IF(AND(AT251=3,AK251="E",AV251&gt;=0.5,AW251=1),PTHealth,IF(AND(AT251=3,AK251="E",AV251&gt;=0.5),PTHealth*P251,0))))</f>
        <v>0</v>
      </c>
      <c r="BD251" s="462">
        <f>IF(AND(AT251&lt;&gt;0,AX251&gt;=MAXSSDI),SSDI*MAXSSDI*P251,IF(AT251&lt;&gt;0,SSDI*W251,0))</f>
        <v>0</v>
      </c>
      <c r="BE251" s="462">
        <f>IF(AT251&lt;&gt;0,SSHI*W251,0)</f>
        <v>0</v>
      </c>
      <c r="BF251" s="462">
        <f>IF(AND(AT251&lt;&gt;0,AN251&lt;&gt;"NE"),VLOOKUP(AN251,Retirement_Rates,3,FALSE)*W251,0)</f>
        <v>0</v>
      </c>
      <c r="BG251" s="462">
        <f>IF(AND(AT251&lt;&gt;0,AJ251&lt;&gt;"PF"),Life*W251,0)</f>
        <v>0</v>
      </c>
      <c r="BH251" s="462">
        <f>IF(AND(AT251&lt;&gt;0,AM251="Y"),UI*W251,0)</f>
        <v>0</v>
      </c>
      <c r="BI251" s="462">
        <f>IF(AND(AT251&lt;&gt;0,N251&lt;&gt;"NR"),DHR*W251,0)</f>
        <v>0</v>
      </c>
      <c r="BJ251" s="462">
        <f>IF(AT251&lt;&gt;0,WC*W251,0)</f>
        <v>0</v>
      </c>
      <c r="BK251" s="462">
        <f>IF(OR(AND(AT251&lt;&gt;0,AJ251&lt;&gt;"PF",AN251&lt;&gt;"NE",AG251&lt;&gt;"A"),AND(AL251="E",OR(AT251=1,AT251=3))),Sick*W251,0)</f>
        <v>0</v>
      </c>
      <c r="BL251" s="462">
        <f t="shared" si="56"/>
        <v>0</v>
      </c>
      <c r="BM251" s="462">
        <f t="shared" si="57"/>
        <v>0</v>
      </c>
      <c r="BN251" s="462">
        <f>IF(AND(AT251=1,AK251="E",AU251&gt;=0.75,AW251=1),HealthBY,IF(AND(AT251=1,AK251="E",AU251&gt;=0.75),HealthBY*P251,IF(AND(AT251=1,AK251="E",AU251&gt;=0.5,AW251=1),PTHealthBY,IF(AND(AT251=1,AK251="E",AU251&gt;=0.5),PTHealthBY*P251,0))))</f>
        <v>0</v>
      </c>
      <c r="BO251" s="462">
        <f>IF(AND(AT251=3,AK251="E",AV251&gt;=0.75,AW251=1),HealthBY,IF(AND(AT251=3,AK251="E",AV251&gt;=0.75),HealthBY*P251,IF(AND(AT251=3,AK251="E",AV251&gt;=0.5,AW251=1),PTHealthBY,IF(AND(AT251=3,AK251="E",AV251&gt;=0.5),PTHealthBY*P251,0))))</f>
        <v>0</v>
      </c>
      <c r="BP251" s="462">
        <f>IF(AND(AT251&lt;&gt;0,(AX251+BA251)&gt;=MAXSSDIBY),SSDIBY*MAXSSDIBY*P251,IF(AT251&lt;&gt;0,SSDIBY*W251,0))</f>
        <v>0</v>
      </c>
      <c r="BQ251" s="462">
        <f>IF(AT251&lt;&gt;0,SSHIBY*W251,0)</f>
        <v>0</v>
      </c>
      <c r="BR251" s="462">
        <f>IF(AND(AT251&lt;&gt;0,AN251&lt;&gt;"NE"),VLOOKUP(AN251,Retirement_Rates,4,FALSE)*W251,0)</f>
        <v>0</v>
      </c>
      <c r="BS251" s="462">
        <f>IF(AND(AT251&lt;&gt;0,AJ251&lt;&gt;"PF"),LifeBY*W251,0)</f>
        <v>0</v>
      </c>
      <c r="BT251" s="462">
        <f>IF(AND(AT251&lt;&gt;0,AM251="Y"),UIBY*W251,0)</f>
        <v>0</v>
      </c>
      <c r="BU251" s="462">
        <f>IF(AND(AT251&lt;&gt;0,N251&lt;&gt;"NR"),DHRBY*W251,0)</f>
        <v>0</v>
      </c>
      <c r="BV251" s="462">
        <f>IF(AT251&lt;&gt;0,WCBY*W251,0)</f>
        <v>0</v>
      </c>
      <c r="BW251" s="462">
        <f>IF(OR(AND(AT251&lt;&gt;0,AJ251&lt;&gt;"PF",AN251&lt;&gt;"NE",AG251&lt;&gt;"A"),AND(AL251="E",OR(AT251=1,AT251=3))),SickBY*W251,0)</f>
        <v>0</v>
      </c>
      <c r="BX251" s="462">
        <f t="shared" si="58"/>
        <v>0</v>
      </c>
      <c r="BY251" s="462">
        <f t="shared" si="59"/>
        <v>0</v>
      </c>
      <c r="BZ251" s="462">
        <f t="shared" si="60"/>
        <v>0</v>
      </c>
      <c r="CA251" s="462">
        <f t="shared" si="61"/>
        <v>0</v>
      </c>
      <c r="CB251" s="462">
        <f t="shared" si="62"/>
        <v>0</v>
      </c>
      <c r="CC251" s="462">
        <f>IF(AT251&lt;&gt;0,SSHICHG*Y251,0)</f>
        <v>0</v>
      </c>
      <c r="CD251" s="462">
        <f>IF(AND(AT251&lt;&gt;0,AN251&lt;&gt;"NE"),VLOOKUP(AN251,Retirement_Rates,5,FALSE)*Y251,0)</f>
        <v>0</v>
      </c>
      <c r="CE251" s="462">
        <f>IF(AND(AT251&lt;&gt;0,AJ251&lt;&gt;"PF"),LifeCHG*Y251,0)</f>
        <v>0</v>
      </c>
      <c r="CF251" s="462">
        <f>IF(AND(AT251&lt;&gt;0,AM251="Y"),UICHG*Y251,0)</f>
        <v>0</v>
      </c>
      <c r="CG251" s="462">
        <f>IF(AND(AT251&lt;&gt;0,N251&lt;&gt;"NR"),DHRCHG*Y251,0)</f>
        <v>0</v>
      </c>
      <c r="CH251" s="462">
        <f>IF(AT251&lt;&gt;0,WCCHG*Y251,0)</f>
        <v>0</v>
      </c>
      <c r="CI251" s="462">
        <f>IF(OR(AND(AT251&lt;&gt;0,AJ251&lt;&gt;"PF",AN251&lt;&gt;"NE",AG251&lt;&gt;"A"),AND(AL251="E",OR(AT251=1,AT251=3))),SickCHG*Y251,0)</f>
        <v>0</v>
      </c>
      <c r="CJ251" s="462">
        <f t="shared" si="63"/>
        <v>0</v>
      </c>
      <c r="CK251" s="462" t="str">
        <f t="shared" si="64"/>
        <v/>
      </c>
      <c r="CL251" s="462" t="str">
        <f t="shared" si="65"/>
        <v/>
      </c>
      <c r="CM251" s="462" t="str">
        <f t="shared" si="66"/>
        <v/>
      </c>
      <c r="CN251" s="462" t="str">
        <f t="shared" si="67"/>
        <v>0243-00</v>
      </c>
    </row>
    <row r="252" spans="1:92" ht="15" thickBot="1" x14ac:dyDescent="0.35">
      <c r="A252" s="376" t="s">
        <v>161</v>
      </c>
      <c r="B252" s="376" t="s">
        <v>162</v>
      </c>
      <c r="C252" s="376" t="s">
        <v>895</v>
      </c>
      <c r="D252" s="376" t="s">
        <v>221</v>
      </c>
      <c r="E252" s="376" t="s">
        <v>273</v>
      </c>
      <c r="F252" s="377" t="s">
        <v>166</v>
      </c>
      <c r="G252" s="376" t="s">
        <v>432</v>
      </c>
      <c r="H252" s="378"/>
      <c r="I252" s="378"/>
      <c r="J252" s="376" t="s">
        <v>168</v>
      </c>
      <c r="K252" s="376" t="s">
        <v>222</v>
      </c>
      <c r="L252" s="376" t="s">
        <v>166</v>
      </c>
      <c r="M252" s="376" t="s">
        <v>171</v>
      </c>
      <c r="N252" s="376" t="s">
        <v>223</v>
      </c>
      <c r="O252" s="379">
        <v>0</v>
      </c>
      <c r="P252" s="460">
        <v>0</v>
      </c>
      <c r="Q252" s="460">
        <v>0</v>
      </c>
      <c r="R252" s="380">
        <v>0</v>
      </c>
      <c r="S252" s="460">
        <v>0</v>
      </c>
      <c r="T252" s="380">
        <v>3256</v>
      </c>
      <c r="U252" s="380">
        <v>264</v>
      </c>
      <c r="V252" s="380">
        <v>413.14</v>
      </c>
      <c r="W252" s="380">
        <v>0</v>
      </c>
      <c r="X252" s="380">
        <v>0</v>
      </c>
      <c r="Y252" s="380">
        <v>0</v>
      </c>
      <c r="Z252" s="380">
        <v>0</v>
      </c>
      <c r="AA252" s="378"/>
      <c r="AB252" s="376" t="s">
        <v>45</v>
      </c>
      <c r="AC252" s="376" t="s">
        <v>45</v>
      </c>
      <c r="AD252" s="378"/>
      <c r="AE252" s="378"/>
      <c r="AF252" s="378"/>
      <c r="AG252" s="378"/>
      <c r="AH252" s="379">
        <v>0</v>
      </c>
      <c r="AI252" s="379">
        <v>0</v>
      </c>
      <c r="AJ252" s="378"/>
      <c r="AK252" s="378"/>
      <c r="AL252" s="376" t="s">
        <v>181</v>
      </c>
      <c r="AM252" s="378"/>
      <c r="AN252" s="378"/>
      <c r="AO252" s="379">
        <v>0</v>
      </c>
      <c r="AP252" s="460">
        <v>0</v>
      </c>
      <c r="AQ252" s="460">
        <v>0</v>
      </c>
      <c r="AR252" s="459"/>
      <c r="AS252" s="462">
        <f t="shared" si="51"/>
        <v>0</v>
      </c>
      <c r="AT252">
        <f t="shared" si="52"/>
        <v>0</v>
      </c>
      <c r="AU252" s="462" t="str">
        <f>IF(AT252=0,"",IF(AND(AT252=1,M252="F",SUMIF(C2:C391,C252,AS2:AS391)&lt;=1),SUMIF(C2:C391,C252,AS2:AS391),IF(AND(AT252=1,M252="F",SUMIF(C2:C391,C252,AS2:AS391)&gt;1),1,"")))</f>
        <v/>
      </c>
      <c r="AV252" s="462" t="str">
        <f>IF(AT252=0,"",IF(AND(AT252=3,M252="F",SUMIF(C2:C391,C252,AS2:AS391)&lt;=1),SUMIF(C2:C391,C252,AS2:AS391),IF(AND(AT252=3,M252="F",SUMIF(C2:C391,C252,AS2:AS391)&gt;1),1,"")))</f>
        <v/>
      </c>
      <c r="AW252" s="462">
        <f>SUMIF(C2:C391,C252,O2:O391)</f>
        <v>0</v>
      </c>
      <c r="AX252" s="462">
        <f>IF(AND(M252="F",AS252&lt;&gt;0),SUMIF(C2:C391,C252,W2:W391),0)</f>
        <v>0</v>
      </c>
      <c r="AY252" s="462" t="str">
        <f t="shared" si="53"/>
        <v/>
      </c>
      <c r="AZ252" s="462" t="str">
        <f t="shared" si="54"/>
        <v/>
      </c>
      <c r="BA252" s="462">
        <f t="shared" si="55"/>
        <v>0</v>
      </c>
      <c r="BB252" s="462">
        <f>IF(AND(AT252=1,AK252="E",AU252&gt;=0.75,AW252=1),Health,IF(AND(AT252=1,AK252="E",AU252&gt;=0.75),Health*P252,IF(AND(AT252=1,AK252="E",AU252&gt;=0.5,AW252=1),PTHealth,IF(AND(AT252=1,AK252="E",AU252&gt;=0.5),PTHealth*P252,0))))</f>
        <v>0</v>
      </c>
      <c r="BC252" s="462">
        <f>IF(AND(AT252=3,AK252="E",AV252&gt;=0.75,AW252=1),Health,IF(AND(AT252=3,AK252="E",AV252&gt;=0.75),Health*P252,IF(AND(AT252=3,AK252="E",AV252&gt;=0.5,AW252=1),PTHealth,IF(AND(AT252=3,AK252="E",AV252&gt;=0.5),PTHealth*P252,0))))</f>
        <v>0</v>
      </c>
      <c r="BD252" s="462">
        <f>IF(AND(AT252&lt;&gt;0,AX252&gt;=MAXSSDI),SSDI*MAXSSDI*P252,IF(AT252&lt;&gt;0,SSDI*W252,0))</f>
        <v>0</v>
      </c>
      <c r="BE252" s="462">
        <f>IF(AT252&lt;&gt;0,SSHI*W252,0)</f>
        <v>0</v>
      </c>
      <c r="BF252" s="462">
        <f>IF(AND(AT252&lt;&gt;0,AN252&lt;&gt;"NE"),VLOOKUP(AN252,Retirement_Rates,3,FALSE)*W252,0)</f>
        <v>0</v>
      </c>
      <c r="BG252" s="462">
        <f>IF(AND(AT252&lt;&gt;0,AJ252&lt;&gt;"PF"),Life*W252,0)</f>
        <v>0</v>
      </c>
      <c r="BH252" s="462">
        <f>IF(AND(AT252&lt;&gt;0,AM252="Y"),UI*W252,0)</f>
        <v>0</v>
      </c>
      <c r="BI252" s="462">
        <f>IF(AND(AT252&lt;&gt;0,N252&lt;&gt;"NR"),DHR*W252,0)</f>
        <v>0</v>
      </c>
      <c r="BJ252" s="462">
        <f>IF(AT252&lt;&gt;0,WC*W252,0)</f>
        <v>0</v>
      </c>
      <c r="BK252" s="462">
        <f>IF(OR(AND(AT252&lt;&gt;0,AJ252&lt;&gt;"PF",AN252&lt;&gt;"NE",AG252&lt;&gt;"A"),AND(AL252="E",OR(AT252=1,AT252=3))),Sick*W252,0)</f>
        <v>0</v>
      </c>
      <c r="BL252" s="462">
        <f t="shared" si="56"/>
        <v>0</v>
      </c>
      <c r="BM252" s="462">
        <f t="shared" si="57"/>
        <v>0</v>
      </c>
      <c r="BN252" s="462">
        <f>IF(AND(AT252=1,AK252="E",AU252&gt;=0.75,AW252=1),HealthBY,IF(AND(AT252=1,AK252="E",AU252&gt;=0.75),HealthBY*P252,IF(AND(AT252=1,AK252="E",AU252&gt;=0.5,AW252=1),PTHealthBY,IF(AND(AT252=1,AK252="E",AU252&gt;=0.5),PTHealthBY*P252,0))))</f>
        <v>0</v>
      </c>
      <c r="BO252" s="462">
        <f>IF(AND(AT252=3,AK252="E",AV252&gt;=0.75,AW252=1),HealthBY,IF(AND(AT252=3,AK252="E",AV252&gt;=0.75),HealthBY*P252,IF(AND(AT252=3,AK252="E",AV252&gt;=0.5,AW252=1),PTHealthBY,IF(AND(AT252=3,AK252="E",AV252&gt;=0.5),PTHealthBY*P252,0))))</f>
        <v>0</v>
      </c>
      <c r="BP252" s="462">
        <f>IF(AND(AT252&lt;&gt;0,(AX252+BA252)&gt;=MAXSSDIBY),SSDIBY*MAXSSDIBY*P252,IF(AT252&lt;&gt;0,SSDIBY*W252,0))</f>
        <v>0</v>
      </c>
      <c r="BQ252" s="462">
        <f>IF(AT252&lt;&gt;0,SSHIBY*W252,0)</f>
        <v>0</v>
      </c>
      <c r="BR252" s="462">
        <f>IF(AND(AT252&lt;&gt;0,AN252&lt;&gt;"NE"),VLOOKUP(AN252,Retirement_Rates,4,FALSE)*W252,0)</f>
        <v>0</v>
      </c>
      <c r="BS252" s="462">
        <f>IF(AND(AT252&lt;&gt;0,AJ252&lt;&gt;"PF"),LifeBY*W252,0)</f>
        <v>0</v>
      </c>
      <c r="BT252" s="462">
        <f>IF(AND(AT252&lt;&gt;0,AM252="Y"),UIBY*W252,0)</f>
        <v>0</v>
      </c>
      <c r="BU252" s="462">
        <f>IF(AND(AT252&lt;&gt;0,N252&lt;&gt;"NR"),DHRBY*W252,0)</f>
        <v>0</v>
      </c>
      <c r="BV252" s="462">
        <f>IF(AT252&lt;&gt;0,WCBY*W252,0)</f>
        <v>0</v>
      </c>
      <c r="BW252" s="462">
        <f>IF(OR(AND(AT252&lt;&gt;0,AJ252&lt;&gt;"PF",AN252&lt;&gt;"NE",AG252&lt;&gt;"A"),AND(AL252="E",OR(AT252=1,AT252=3))),SickBY*W252,0)</f>
        <v>0</v>
      </c>
      <c r="BX252" s="462">
        <f t="shared" si="58"/>
        <v>0</v>
      </c>
      <c r="BY252" s="462">
        <f t="shared" si="59"/>
        <v>0</v>
      </c>
      <c r="BZ252" s="462">
        <f t="shared" si="60"/>
        <v>0</v>
      </c>
      <c r="CA252" s="462">
        <f t="shared" si="61"/>
        <v>0</v>
      </c>
      <c r="CB252" s="462">
        <f t="shared" si="62"/>
        <v>0</v>
      </c>
      <c r="CC252" s="462">
        <f>IF(AT252&lt;&gt;0,SSHICHG*Y252,0)</f>
        <v>0</v>
      </c>
      <c r="CD252" s="462">
        <f>IF(AND(AT252&lt;&gt;0,AN252&lt;&gt;"NE"),VLOOKUP(AN252,Retirement_Rates,5,FALSE)*Y252,0)</f>
        <v>0</v>
      </c>
      <c r="CE252" s="462">
        <f>IF(AND(AT252&lt;&gt;0,AJ252&lt;&gt;"PF"),LifeCHG*Y252,0)</f>
        <v>0</v>
      </c>
      <c r="CF252" s="462">
        <f>IF(AND(AT252&lt;&gt;0,AM252="Y"),UICHG*Y252,0)</f>
        <v>0</v>
      </c>
      <c r="CG252" s="462">
        <f>IF(AND(AT252&lt;&gt;0,N252&lt;&gt;"NR"),DHRCHG*Y252,0)</f>
        <v>0</v>
      </c>
      <c r="CH252" s="462">
        <f>IF(AT252&lt;&gt;0,WCCHG*Y252,0)</f>
        <v>0</v>
      </c>
      <c r="CI252" s="462">
        <f>IF(OR(AND(AT252&lt;&gt;0,AJ252&lt;&gt;"PF",AN252&lt;&gt;"NE",AG252&lt;&gt;"A"),AND(AL252="E",OR(AT252=1,AT252=3))),SickCHG*Y252,0)</f>
        <v>0</v>
      </c>
      <c r="CJ252" s="462">
        <f t="shared" si="63"/>
        <v>0</v>
      </c>
      <c r="CK252" s="462" t="str">
        <f t="shared" si="64"/>
        <v/>
      </c>
      <c r="CL252" s="462">
        <f t="shared" si="65"/>
        <v>3520</v>
      </c>
      <c r="CM252" s="462">
        <f t="shared" si="66"/>
        <v>413.14</v>
      </c>
      <c r="CN252" s="462" t="str">
        <f t="shared" si="67"/>
        <v>0243-00</v>
      </c>
    </row>
    <row r="253" spans="1:92" ht="15" thickBot="1" x14ac:dyDescent="0.35">
      <c r="A253" s="376" t="s">
        <v>161</v>
      </c>
      <c r="B253" s="376" t="s">
        <v>162</v>
      </c>
      <c r="C253" s="376" t="s">
        <v>896</v>
      </c>
      <c r="D253" s="376" t="s">
        <v>438</v>
      </c>
      <c r="E253" s="376" t="s">
        <v>273</v>
      </c>
      <c r="F253" s="377" t="s">
        <v>166</v>
      </c>
      <c r="G253" s="376" t="s">
        <v>432</v>
      </c>
      <c r="H253" s="378"/>
      <c r="I253" s="378"/>
      <c r="J253" s="376" t="s">
        <v>168</v>
      </c>
      <c r="K253" s="376" t="s">
        <v>439</v>
      </c>
      <c r="L253" s="376" t="s">
        <v>231</v>
      </c>
      <c r="M253" s="376" t="s">
        <v>171</v>
      </c>
      <c r="N253" s="376" t="s">
        <v>172</v>
      </c>
      <c r="O253" s="379">
        <v>1</v>
      </c>
      <c r="P253" s="460">
        <v>1</v>
      </c>
      <c r="Q253" s="460">
        <v>1</v>
      </c>
      <c r="R253" s="380">
        <v>80</v>
      </c>
      <c r="S253" s="460">
        <v>1</v>
      </c>
      <c r="T253" s="380">
        <v>43452.480000000003</v>
      </c>
      <c r="U253" s="380">
        <v>0</v>
      </c>
      <c r="V253" s="380">
        <v>21535.31</v>
      </c>
      <c r="W253" s="380">
        <v>42515.199999999997</v>
      </c>
      <c r="X253" s="380">
        <v>21767.31</v>
      </c>
      <c r="Y253" s="380">
        <v>42515.199999999997</v>
      </c>
      <c r="Z253" s="380">
        <v>21890.61</v>
      </c>
      <c r="AA253" s="376" t="s">
        <v>897</v>
      </c>
      <c r="AB253" s="376" t="s">
        <v>898</v>
      </c>
      <c r="AC253" s="376" t="s">
        <v>899</v>
      </c>
      <c r="AD253" s="376" t="s">
        <v>574</v>
      </c>
      <c r="AE253" s="376" t="s">
        <v>439</v>
      </c>
      <c r="AF253" s="376" t="s">
        <v>236</v>
      </c>
      <c r="AG253" s="376" t="s">
        <v>178</v>
      </c>
      <c r="AH253" s="381">
        <v>20.440000000000001</v>
      </c>
      <c r="AI253" s="381">
        <v>32269.8</v>
      </c>
      <c r="AJ253" s="376" t="s">
        <v>179</v>
      </c>
      <c r="AK253" s="376" t="s">
        <v>180</v>
      </c>
      <c r="AL253" s="376" t="s">
        <v>181</v>
      </c>
      <c r="AM253" s="376" t="s">
        <v>182</v>
      </c>
      <c r="AN253" s="376" t="s">
        <v>68</v>
      </c>
      <c r="AO253" s="379">
        <v>80</v>
      </c>
      <c r="AP253" s="460">
        <v>1</v>
      </c>
      <c r="AQ253" s="460">
        <v>1</v>
      </c>
      <c r="AR253" s="458" t="s">
        <v>183</v>
      </c>
      <c r="AS253" s="462">
        <f t="shared" si="51"/>
        <v>1</v>
      </c>
      <c r="AT253">
        <f t="shared" si="52"/>
        <v>1</v>
      </c>
      <c r="AU253" s="462">
        <f>IF(AT253=0,"",IF(AND(AT253=1,M253="F",SUMIF(C2:C391,C253,AS2:AS391)&lt;=1),SUMIF(C2:C391,C253,AS2:AS391),IF(AND(AT253=1,M253="F",SUMIF(C2:C391,C253,AS2:AS391)&gt;1),1,"")))</f>
        <v>1</v>
      </c>
      <c r="AV253" s="462" t="str">
        <f>IF(AT253=0,"",IF(AND(AT253=3,M253="F",SUMIF(C2:C391,C253,AS2:AS391)&lt;=1),SUMIF(C2:C391,C253,AS2:AS391),IF(AND(AT253=3,M253="F",SUMIF(C2:C391,C253,AS2:AS391)&gt;1),1,"")))</f>
        <v/>
      </c>
      <c r="AW253" s="462">
        <f>SUMIF(C2:C391,C253,O2:O391)</f>
        <v>1</v>
      </c>
      <c r="AX253" s="462">
        <f>IF(AND(M253="F",AS253&lt;&gt;0),SUMIF(C2:C391,C253,W2:W391),0)</f>
        <v>42515.199999999997</v>
      </c>
      <c r="AY253" s="462">
        <f t="shared" si="53"/>
        <v>42515.199999999997</v>
      </c>
      <c r="AZ253" s="462" t="str">
        <f t="shared" si="54"/>
        <v/>
      </c>
      <c r="BA253" s="462">
        <f t="shared" si="55"/>
        <v>0</v>
      </c>
      <c r="BB253" s="462">
        <f>IF(AND(AT253=1,AK253="E",AU253&gt;=0.75,AW253=1),Health,IF(AND(AT253=1,AK253="E",AU253&gt;=0.75),Health*P253,IF(AND(AT253=1,AK253="E",AU253&gt;=0.5,AW253=1),PTHealth,IF(AND(AT253=1,AK253="E",AU253&gt;=0.5),PTHealth*P253,0))))</f>
        <v>11650</v>
      </c>
      <c r="BC253" s="462">
        <f>IF(AND(AT253=3,AK253="E",AV253&gt;=0.75,AW253=1),Health,IF(AND(AT253=3,AK253="E",AV253&gt;=0.75),Health*P253,IF(AND(AT253=3,AK253="E",AV253&gt;=0.5,AW253=1),PTHealth,IF(AND(AT253=3,AK253="E",AV253&gt;=0.5),PTHealth*P253,0))))</f>
        <v>0</v>
      </c>
      <c r="BD253" s="462">
        <f>IF(AND(AT253&lt;&gt;0,AX253&gt;=MAXSSDI),SSDI*MAXSSDI*P253,IF(AT253&lt;&gt;0,SSDI*W253,0))</f>
        <v>2635.9423999999999</v>
      </c>
      <c r="BE253" s="462">
        <f>IF(AT253&lt;&gt;0,SSHI*W253,0)</f>
        <v>616.47040000000004</v>
      </c>
      <c r="BF253" s="462">
        <f>IF(AND(AT253&lt;&gt;0,AN253&lt;&gt;"NE"),VLOOKUP(AN253,Retirement_Rates,3,FALSE)*W253,0)</f>
        <v>5076.3148799999999</v>
      </c>
      <c r="BG253" s="462">
        <f>IF(AND(AT253&lt;&gt;0,AJ253&lt;&gt;"PF"),Life*W253,0)</f>
        <v>306.53459199999998</v>
      </c>
      <c r="BH253" s="462">
        <f>IF(AND(AT253&lt;&gt;0,AM253="Y"),UI*W253,0)</f>
        <v>208.32447999999997</v>
      </c>
      <c r="BI253" s="462">
        <f>IF(AND(AT253&lt;&gt;0,N253&lt;&gt;"NR"),DHR*W253,0)</f>
        <v>130.09651199999999</v>
      </c>
      <c r="BJ253" s="462">
        <f>IF(AT253&lt;&gt;0,WC*W253,0)</f>
        <v>1143.65888</v>
      </c>
      <c r="BK253" s="462">
        <f>IF(OR(AND(AT253&lt;&gt;0,AJ253&lt;&gt;"PF",AN253&lt;&gt;"NE",AG253&lt;&gt;"A"),AND(AL253="E",OR(AT253=1,AT253=3))),Sick*W253,0)</f>
        <v>0</v>
      </c>
      <c r="BL253" s="462">
        <f t="shared" si="56"/>
        <v>10117.342143999998</v>
      </c>
      <c r="BM253" s="462">
        <f t="shared" si="57"/>
        <v>0</v>
      </c>
      <c r="BN253" s="462">
        <f>IF(AND(AT253=1,AK253="E",AU253&gt;=0.75,AW253=1),HealthBY,IF(AND(AT253=1,AK253="E",AU253&gt;=0.75),HealthBY*P253,IF(AND(AT253=1,AK253="E",AU253&gt;=0.5,AW253=1),PTHealthBY,IF(AND(AT253=1,AK253="E",AU253&gt;=0.5),PTHealthBY*P253,0))))</f>
        <v>11650</v>
      </c>
      <c r="BO253" s="462">
        <f>IF(AND(AT253=3,AK253="E",AV253&gt;=0.75,AW253=1),HealthBY,IF(AND(AT253=3,AK253="E",AV253&gt;=0.75),HealthBY*P253,IF(AND(AT253=3,AK253="E",AV253&gt;=0.5,AW253=1),PTHealthBY,IF(AND(AT253=3,AK253="E",AV253&gt;=0.5),PTHealthBY*P253,0))))</f>
        <v>0</v>
      </c>
      <c r="BP253" s="462">
        <f>IF(AND(AT253&lt;&gt;0,(AX253+BA253)&gt;=MAXSSDIBY),SSDIBY*MAXSSDIBY*P253,IF(AT253&lt;&gt;0,SSDIBY*W253,0))</f>
        <v>2635.9423999999999</v>
      </c>
      <c r="BQ253" s="462">
        <f>IF(AT253&lt;&gt;0,SSHIBY*W253,0)</f>
        <v>616.47040000000004</v>
      </c>
      <c r="BR253" s="462">
        <f>IF(AND(AT253&lt;&gt;0,AN253&lt;&gt;"NE"),VLOOKUP(AN253,Retirement_Rates,4,FALSE)*W253,0)</f>
        <v>5076.3148799999999</v>
      </c>
      <c r="BS253" s="462">
        <f>IF(AND(AT253&lt;&gt;0,AJ253&lt;&gt;"PF"),LifeBY*W253,0)</f>
        <v>306.53459199999998</v>
      </c>
      <c r="BT253" s="462">
        <f>IF(AND(AT253&lt;&gt;0,AM253="Y"),UIBY*W253,0)</f>
        <v>0</v>
      </c>
      <c r="BU253" s="462">
        <f>IF(AND(AT253&lt;&gt;0,N253&lt;&gt;"NR"),DHRBY*W253,0)</f>
        <v>130.09651199999999</v>
      </c>
      <c r="BV253" s="462">
        <f>IF(AT253&lt;&gt;0,WCBY*W253,0)</f>
        <v>1475.2774400000001</v>
      </c>
      <c r="BW253" s="462">
        <f>IF(OR(AND(AT253&lt;&gt;0,AJ253&lt;&gt;"PF",AN253&lt;&gt;"NE",AG253&lt;&gt;"A"),AND(AL253="E",OR(AT253=1,AT253=3))),SickBY*W253,0)</f>
        <v>0</v>
      </c>
      <c r="BX253" s="462">
        <f t="shared" si="58"/>
        <v>10240.636224</v>
      </c>
      <c r="BY253" s="462">
        <f t="shared" si="59"/>
        <v>0</v>
      </c>
      <c r="BZ253" s="462">
        <f t="shared" si="60"/>
        <v>0</v>
      </c>
      <c r="CA253" s="462">
        <f t="shared" si="61"/>
        <v>0</v>
      </c>
      <c r="CB253" s="462">
        <f t="shared" si="62"/>
        <v>0</v>
      </c>
      <c r="CC253" s="462">
        <f>IF(AT253&lt;&gt;0,SSHICHG*Y253,0)</f>
        <v>0</v>
      </c>
      <c r="CD253" s="462">
        <f>IF(AND(AT253&lt;&gt;0,AN253&lt;&gt;"NE"),VLOOKUP(AN253,Retirement_Rates,5,FALSE)*Y253,0)</f>
        <v>0</v>
      </c>
      <c r="CE253" s="462">
        <f>IF(AND(AT253&lt;&gt;0,AJ253&lt;&gt;"PF"),LifeCHG*Y253,0)</f>
        <v>0</v>
      </c>
      <c r="CF253" s="462">
        <f>IF(AND(AT253&lt;&gt;0,AM253="Y"),UICHG*Y253,0)</f>
        <v>-208.32447999999997</v>
      </c>
      <c r="CG253" s="462">
        <f>IF(AND(AT253&lt;&gt;0,N253&lt;&gt;"NR"),DHRCHG*Y253,0)</f>
        <v>0</v>
      </c>
      <c r="CH253" s="462">
        <f>IF(AT253&lt;&gt;0,WCCHG*Y253,0)</f>
        <v>331.61856000000006</v>
      </c>
      <c r="CI253" s="462">
        <f>IF(OR(AND(AT253&lt;&gt;0,AJ253&lt;&gt;"PF",AN253&lt;&gt;"NE",AG253&lt;&gt;"A"),AND(AL253="E",OR(AT253=1,AT253=3))),SickCHG*Y253,0)</f>
        <v>0</v>
      </c>
      <c r="CJ253" s="462">
        <f t="shared" si="63"/>
        <v>123.29408000000009</v>
      </c>
      <c r="CK253" s="462" t="str">
        <f t="shared" si="64"/>
        <v/>
      </c>
      <c r="CL253" s="462" t="str">
        <f t="shared" si="65"/>
        <v/>
      </c>
      <c r="CM253" s="462" t="str">
        <f t="shared" si="66"/>
        <v/>
      </c>
      <c r="CN253" s="462" t="str">
        <f t="shared" si="67"/>
        <v>0243-00</v>
      </c>
    </row>
    <row r="254" spans="1:92" ht="15" thickBot="1" x14ac:dyDescent="0.35">
      <c r="A254" s="376" t="s">
        <v>161</v>
      </c>
      <c r="B254" s="376" t="s">
        <v>162</v>
      </c>
      <c r="C254" s="376" t="s">
        <v>900</v>
      </c>
      <c r="D254" s="376" t="s">
        <v>901</v>
      </c>
      <c r="E254" s="376" t="s">
        <v>416</v>
      </c>
      <c r="F254" s="382" t="s">
        <v>902</v>
      </c>
      <c r="G254" s="376" t="s">
        <v>432</v>
      </c>
      <c r="H254" s="378"/>
      <c r="I254" s="378"/>
      <c r="J254" s="376" t="s">
        <v>193</v>
      </c>
      <c r="K254" s="376" t="s">
        <v>903</v>
      </c>
      <c r="L254" s="376" t="s">
        <v>240</v>
      </c>
      <c r="M254" s="376" t="s">
        <v>225</v>
      </c>
      <c r="N254" s="376" t="s">
        <v>172</v>
      </c>
      <c r="O254" s="379">
        <v>0</v>
      </c>
      <c r="P254" s="460">
        <v>0</v>
      </c>
      <c r="Q254" s="460">
        <v>0</v>
      </c>
      <c r="R254" s="380">
        <v>80</v>
      </c>
      <c r="S254" s="460">
        <v>0</v>
      </c>
      <c r="T254" s="380">
        <v>0</v>
      </c>
      <c r="U254" s="380">
        <v>0</v>
      </c>
      <c r="V254" s="380">
        <v>-0.49</v>
      </c>
      <c r="W254" s="380">
        <v>0</v>
      </c>
      <c r="X254" s="380">
        <v>0</v>
      </c>
      <c r="Y254" s="380">
        <v>0</v>
      </c>
      <c r="Z254" s="380">
        <v>0</v>
      </c>
      <c r="AA254" s="378"/>
      <c r="AB254" s="376" t="s">
        <v>45</v>
      </c>
      <c r="AC254" s="376" t="s">
        <v>45</v>
      </c>
      <c r="AD254" s="378"/>
      <c r="AE254" s="378"/>
      <c r="AF254" s="378"/>
      <c r="AG254" s="378"/>
      <c r="AH254" s="379">
        <v>0</v>
      </c>
      <c r="AI254" s="379">
        <v>0</v>
      </c>
      <c r="AJ254" s="378"/>
      <c r="AK254" s="378"/>
      <c r="AL254" s="376" t="s">
        <v>181</v>
      </c>
      <c r="AM254" s="378"/>
      <c r="AN254" s="378"/>
      <c r="AO254" s="379">
        <v>0</v>
      </c>
      <c r="AP254" s="460">
        <v>0</v>
      </c>
      <c r="AQ254" s="460">
        <v>0</v>
      </c>
      <c r="AR254" s="459"/>
      <c r="AS254" s="462">
        <f t="shared" si="51"/>
        <v>0</v>
      </c>
      <c r="AT254">
        <f t="shared" si="52"/>
        <v>0</v>
      </c>
      <c r="AU254" s="462" t="str">
        <f>IF(AT254=0,"",IF(AND(AT254=1,M254="F",SUMIF(C2:C391,C254,AS2:AS391)&lt;=1),SUMIF(C2:C391,C254,AS2:AS391),IF(AND(AT254=1,M254="F",SUMIF(C2:C391,C254,AS2:AS391)&gt;1),1,"")))</f>
        <v/>
      </c>
      <c r="AV254" s="462" t="str">
        <f>IF(AT254=0,"",IF(AND(AT254=3,M254="F",SUMIF(C2:C391,C254,AS2:AS391)&lt;=1),SUMIF(C2:C391,C254,AS2:AS391),IF(AND(AT254=3,M254="F",SUMIF(C2:C391,C254,AS2:AS391)&gt;1),1,"")))</f>
        <v/>
      </c>
      <c r="AW254" s="462">
        <f>SUMIF(C2:C391,C254,O2:O391)</f>
        <v>0</v>
      </c>
      <c r="AX254" s="462">
        <f>IF(AND(M254="F",AS254&lt;&gt;0),SUMIF(C2:C391,C254,W2:W391),0)</f>
        <v>0</v>
      </c>
      <c r="AY254" s="462" t="str">
        <f t="shared" si="53"/>
        <v/>
      </c>
      <c r="AZ254" s="462" t="str">
        <f t="shared" si="54"/>
        <v/>
      </c>
      <c r="BA254" s="462">
        <f t="shared" si="55"/>
        <v>0</v>
      </c>
      <c r="BB254" s="462">
        <f>IF(AND(AT254=1,AK254="E",AU254&gt;=0.75,AW254=1),Health,IF(AND(AT254=1,AK254="E",AU254&gt;=0.75),Health*P254,IF(AND(AT254=1,AK254="E",AU254&gt;=0.5,AW254=1),PTHealth,IF(AND(AT254=1,AK254="E",AU254&gt;=0.5),PTHealth*P254,0))))</f>
        <v>0</v>
      </c>
      <c r="BC254" s="462">
        <f>IF(AND(AT254=3,AK254="E",AV254&gt;=0.75,AW254=1),Health,IF(AND(AT254=3,AK254="E",AV254&gt;=0.75),Health*P254,IF(AND(AT254=3,AK254="E",AV254&gt;=0.5,AW254=1),PTHealth,IF(AND(AT254=3,AK254="E",AV254&gt;=0.5),PTHealth*P254,0))))</f>
        <v>0</v>
      </c>
      <c r="BD254" s="462">
        <f>IF(AND(AT254&lt;&gt;0,AX254&gt;=MAXSSDI),SSDI*MAXSSDI*P254,IF(AT254&lt;&gt;0,SSDI*W254,0))</f>
        <v>0</v>
      </c>
      <c r="BE254" s="462">
        <f>IF(AT254&lt;&gt;0,SSHI*W254,0)</f>
        <v>0</v>
      </c>
      <c r="BF254" s="462">
        <f>IF(AND(AT254&lt;&gt;0,AN254&lt;&gt;"NE"),VLOOKUP(AN254,Retirement_Rates,3,FALSE)*W254,0)</f>
        <v>0</v>
      </c>
      <c r="BG254" s="462">
        <f>IF(AND(AT254&lt;&gt;0,AJ254&lt;&gt;"PF"),Life*W254,0)</f>
        <v>0</v>
      </c>
      <c r="BH254" s="462">
        <f>IF(AND(AT254&lt;&gt;0,AM254="Y"),UI*W254,0)</f>
        <v>0</v>
      </c>
      <c r="BI254" s="462">
        <f>IF(AND(AT254&lt;&gt;0,N254&lt;&gt;"NR"),DHR*W254,0)</f>
        <v>0</v>
      </c>
      <c r="BJ254" s="462">
        <f>IF(AT254&lt;&gt;0,WC*W254,0)</f>
        <v>0</v>
      </c>
      <c r="BK254" s="462">
        <f>IF(OR(AND(AT254&lt;&gt;0,AJ254&lt;&gt;"PF",AN254&lt;&gt;"NE",AG254&lt;&gt;"A"),AND(AL254="E",OR(AT254=1,AT254=3))),Sick*W254,0)</f>
        <v>0</v>
      </c>
      <c r="BL254" s="462">
        <f t="shared" si="56"/>
        <v>0</v>
      </c>
      <c r="BM254" s="462">
        <f t="shared" si="57"/>
        <v>0</v>
      </c>
      <c r="BN254" s="462">
        <f>IF(AND(AT254=1,AK254="E",AU254&gt;=0.75,AW254=1),HealthBY,IF(AND(AT254=1,AK254="E",AU254&gt;=0.75),HealthBY*P254,IF(AND(AT254=1,AK254="E",AU254&gt;=0.5,AW254=1),PTHealthBY,IF(AND(AT254=1,AK254="E",AU254&gt;=0.5),PTHealthBY*P254,0))))</f>
        <v>0</v>
      </c>
      <c r="BO254" s="462">
        <f>IF(AND(AT254=3,AK254="E",AV254&gt;=0.75,AW254=1),HealthBY,IF(AND(AT254=3,AK254="E",AV254&gt;=0.75),HealthBY*P254,IF(AND(AT254=3,AK254="E",AV254&gt;=0.5,AW254=1),PTHealthBY,IF(AND(AT254=3,AK254="E",AV254&gt;=0.5),PTHealthBY*P254,0))))</f>
        <v>0</v>
      </c>
      <c r="BP254" s="462">
        <f>IF(AND(AT254&lt;&gt;0,(AX254+BA254)&gt;=MAXSSDIBY),SSDIBY*MAXSSDIBY*P254,IF(AT254&lt;&gt;0,SSDIBY*W254,0))</f>
        <v>0</v>
      </c>
      <c r="BQ254" s="462">
        <f>IF(AT254&lt;&gt;0,SSHIBY*W254,0)</f>
        <v>0</v>
      </c>
      <c r="BR254" s="462">
        <f>IF(AND(AT254&lt;&gt;0,AN254&lt;&gt;"NE"),VLOOKUP(AN254,Retirement_Rates,4,FALSE)*W254,0)</f>
        <v>0</v>
      </c>
      <c r="BS254" s="462">
        <f>IF(AND(AT254&lt;&gt;0,AJ254&lt;&gt;"PF"),LifeBY*W254,0)</f>
        <v>0</v>
      </c>
      <c r="BT254" s="462">
        <f>IF(AND(AT254&lt;&gt;0,AM254="Y"),UIBY*W254,0)</f>
        <v>0</v>
      </c>
      <c r="BU254" s="462">
        <f>IF(AND(AT254&lt;&gt;0,N254&lt;&gt;"NR"),DHRBY*W254,0)</f>
        <v>0</v>
      </c>
      <c r="BV254" s="462">
        <f>IF(AT254&lt;&gt;0,WCBY*W254,0)</f>
        <v>0</v>
      </c>
      <c r="BW254" s="462">
        <f>IF(OR(AND(AT254&lt;&gt;0,AJ254&lt;&gt;"PF",AN254&lt;&gt;"NE",AG254&lt;&gt;"A"),AND(AL254="E",OR(AT254=1,AT254=3))),SickBY*W254,0)</f>
        <v>0</v>
      </c>
      <c r="BX254" s="462">
        <f t="shared" si="58"/>
        <v>0</v>
      </c>
      <c r="BY254" s="462">
        <f t="shared" si="59"/>
        <v>0</v>
      </c>
      <c r="BZ254" s="462">
        <f t="shared" si="60"/>
        <v>0</v>
      </c>
      <c r="CA254" s="462">
        <f t="shared" si="61"/>
        <v>0</v>
      </c>
      <c r="CB254" s="462">
        <f t="shared" si="62"/>
        <v>0</v>
      </c>
      <c r="CC254" s="462">
        <f>IF(AT254&lt;&gt;0,SSHICHG*Y254,0)</f>
        <v>0</v>
      </c>
      <c r="CD254" s="462">
        <f>IF(AND(AT254&lt;&gt;0,AN254&lt;&gt;"NE"),VLOOKUP(AN254,Retirement_Rates,5,FALSE)*Y254,0)</f>
        <v>0</v>
      </c>
      <c r="CE254" s="462">
        <f>IF(AND(AT254&lt;&gt;0,AJ254&lt;&gt;"PF"),LifeCHG*Y254,0)</f>
        <v>0</v>
      </c>
      <c r="CF254" s="462">
        <f>IF(AND(AT254&lt;&gt;0,AM254="Y"),UICHG*Y254,0)</f>
        <v>0</v>
      </c>
      <c r="CG254" s="462">
        <f>IF(AND(AT254&lt;&gt;0,N254&lt;&gt;"NR"),DHRCHG*Y254,0)</f>
        <v>0</v>
      </c>
      <c r="CH254" s="462">
        <f>IF(AT254&lt;&gt;0,WCCHG*Y254,0)</f>
        <v>0</v>
      </c>
      <c r="CI254" s="462">
        <f>IF(OR(AND(AT254&lt;&gt;0,AJ254&lt;&gt;"PF",AN254&lt;&gt;"NE",AG254&lt;&gt;"A"),AND(AL254="E",OR(AT254=1,AT254=3))),SickCHG*Y254,0)</f>
        <v>0</v>
      </c>
      <c r="CJ254" s="462">
        <f t="shared" si="63"/>
        <v>0</v>
      </c>
      <c r="CK254" s="462" t="str">
        <f t="shared" si="64"/>
        <v/>
      </c>
      <c r="CL254" s="462" t="str">
        <f t="shared" si="65"/>
        <v/>
      </c>
      <c r="CM254" s="462" t="str">
        <f t="shared" si="66"/>
        <v/>
      </c>
      <c r="CN254" s="462" t="str">
        <f t="shared" si="67"/>
        <v>0247-03</v>
      </c>
    </row>
    <row r="255" spans="1:92" ht="15" thickBot="1" x14ac:dyDescent="0.35">
      <c r="A255" s="376" t="s">
        <v>161</v>
      </c>
      <c r="B255" s="376" t="s">
        <v>162</v>
      </c>
      <c r="C255" s="376" t="s">
        <v>904</v>
      </c>
      <c r="D255" s="376" t="s">
        <v>221</v>
      </c>
      <c r="E255" s="376" t="s">
        <v>416</v>
      </c>
      <c r="F255" s="382" t="s">
        <v>417</v>
      </c>
      <c r="G255" s="376" t="s">
        <v>432</v>
      </c>
      <c r="H255" s="378"/>
      <c r="I255" s="378"/>
      <c r="J255" s="376" t="s">
        <v>168</v>
      </c>
      <c r="K255" s="376" t="s">
        <v>222</v>
      </c>
      <c r="L255" s="376" t="s">
        <v>166</v>
      </c>
      <c r="M255" s="376" t="s">
        <v>225</v>
      </c>
      <c r="N255" s="376" t="s">
        <v>223</v>
      </c>
      <c r="O255" s="379">
        <v>0</v>
      </c>
      <c r="P255" s="460">
        <v>1</v>
      </c>
      <c r="Q255" s="460">
        <v>0</v>
      </c>
      <c r="R255" s="380">
        <v>0</v>
      </c>
      <c r="S255" s="460">
        <v>0</v>
      </c>
      <c r="T255" s="380">
        <v>0</v>
      </c>
      <c r="U255" s="380">
        <v>0</v>
      </c>
      <c r="V255" s="380">
        <v>0</v>
      </c>
      <c r="W255" s="380">
        <v>0</v>
      </c>
      <c r="X255" s="380">
        <v>0</v>
      </c>
      <c r="Y255" s="380">
        <v>0</v>
      </c>
      <c r="Z255" s="380">
        <v>0</v>
      </c>
      <c r="AA255" s="378"/>
      <c r="AB255" s="376" t="s">
        <v>45</v>
      </c>
      <c r="AC255" s="376" t="s">
        <v>45</v>
      </c>
      <c r="AD255" s="378"/>
      <c r="AE255" s="378"/>
      <c r="AF255" s="378"/>
      <c r="AG255" s="378"/>
      <c r="AH255" s="379">
        <v>0</v>
      </c>
      <c r="AI255" s="379">
        <v>0</v>
      </c>
      <c r="AJ255" s="378"/>
      <c r="AK255" s="378"/>
      <c r="AL255" s="376" t="s">
        <v>181</v>
      </c>
      <c r="AM255" s="378"/>
      <c r="AN255" s="378"/>
      <c r="AO255" s="379">
        <v>0</v>
      </c>
      <c r="AP255" s="460">
        <v>0</v>
      </c>
      <c r="AQ255" s="460">
        <v>0</v>
      </c>
      <c r="AR255" s="459"/>
      <c r="AS255" s="462">
        <f t="shared" si="51"/>
        <v>0</v>
      </c>
      <c r="AT255">
        <f t="shared" si="52"/>
        <v>0</v>
      </c>
      <c r="AU255" s="462" t="str">
        <f>IF(AT255=0,"",IF(AND(AT255=1,M255="F",SUMIF(C2:C391,C255,AS2:AS391)&lt;=1),SUMIF(C2:C391,C255,AS2:AS391),IF(AND(AT255=1,M255="F",SUMIF(C2:C391,C255,AS2:AS391)&gt;1),1,"")))</f>
        <v/>
      </c>
      <c r="AV255" s="462" t="str">
        <f>IF(AT255=0,"",IF(AND(AT255=3,M255="F",SUMIF(C2:C391,C255,AS2:AS391)&lt;=1),SUMIF(C2:C391,C255,AS2:AS391),IF(AND(AT255=3,M255="F",SUMIF(C2:C391,C255,AS2:AS391)&gt;1),1,"")))</f>
        <v/>
      </c>
      <c r="AW255" s="462">
        <f>SUMIF(C2:C391,C255,O2:O391)</f>
        <v>0</v>
      </c>
      <c r="AX255" s="462">
        <f>IF(AND(M255="F",AS255&lt;&gt;0),SUMIF(C2:C391,C255,W2:W391),0)</f>
        <v>0</v>
      </c>
      <c r="AY255" s="462" t="str">
        <f t="shared" si="53"/>
        <v/>
      </c>
      <c r="AZ255" s="462" t="str">
        <f t="shared" si="54"/>
        <v/>
      </c>
      <c r="BA255" s="462">
        <f t="shared" si="55"/>
        <v>0</v>
      </c>
      <c r="BB255" s="462">
        <f>IF(AND(AT255=1,AK255="E",AU255&gt;=0.75,AW255=1),Health,IF(AND(AT255=1,AK255="E",AU255&gt;=0.75),Health*P255,IF(AND(AT255=1,AK255="E",AU255&gt;=0.5,AW255=1),PTHealth,IF(AND(AT255=1,AK255="E",AU255&gt;=0.5),PTHealth*P255,0))))</f>
        <v>0</v>
      </c>
      <c r="BC255" s="462">
        <f>IF(AND(AT255=3,AK255="E",AV255&gt;=0.75,AW255=1),Health,IF(AND(AT255=3,AK255="E",AV255&gt;=0.75),Health*P255,IF(AND(AT255=3,AK255="E",AV255&gt;=0.5,AW255=1),PTHealth,IF(AND(AT255=3,AK255="E",AV255&gt;=0.5),PTHealth*P255,0))))</f>
        <v>0</v>
      </c>
      <c r="BD255" s="462">
        <f>IF(AND(AT255&lt;&gt;0,AX255&gt;=MAXSSDI),SSDI*MAXSSDI*P255,IF(AT255&lt;&gt;0,SSDI*W255,0))</f>
        <v>0</v>
      </c>
      <c r="BE255" s="462">
        <f>IF(AT255&lt;&gt;0,SSHI*W255,0)</f>
        <v>0</v>
      </c>
      <c r="BF255" s="462">
        <f>IF(AND(AT255&lt;&gt;0,AN255&lt;&gt;"NE"),VLOOKUP(AN255,Retirement_Rates,3,FALSE)*W255,0)</f>
        <v>0</v>
      </c>
      <c r="BG255" s="462">
        <f>IF(AND(AT255&lt;&gt;0,AJ255&lt;&gt;"PF"),Life*W255,0)</f>
        <v>0</v>
      </c>
      <c r="BH255" s="462">
        <f>IF(AND(AT255&lt;&gt;0,AM255="Y"),UI*W255,0)</f>
        <v>0</v>
      </c>
      <c r="BI255" s="462">
        <f>IF(AND(AT255&lt;&gt;0,N255&lt;&gt;"NR"),DHR*W255,0)</f>
        <v>0</v>
      </c>
      <c r="BJ255" s="462">
        <f>IF(AT255&lt;&gt;0,WC*W255,0)</f>
        <v>0</v>
      </c>
      <c r="BK255" s="462">
        <f>IF(OR(AND(AT255&lt;&gt;0,AJ255&lt;&gt;"PF",AN255&lt;&gt;"NE",AG255&lt;&gt;"A"),AND(AL255="E",OR(AT255=1,AT255=3))),Sick*W255,0)</f>
        <v>0</v>
      </c>
      <c r="BL255" s="462">
        <f t="shared" si="56"/>
        <v>0</v>
      </c>
      <c r="BM255" s="462">
        <f t="shared" si="57"/>
        <v>0</v>
      </c>
      <c r="BN255" s="462">
        <f>IF(AND(AT255=1,AK255="E",AU255&gt;=0.75,AW255=1),HealthBY,IF(AND(AT255=1,AK255="E",AU255&gt;=0.75),HealthBY*P255,IF(AND(AT255=1,AK255="E",AU255&gt;=0.5,AW255=1),PTHealthBY,IF(AND(AT255=1,AK255="E",AU255&gt;=0.5),PTHealthBY*P255,0))))</f>
        <v>0</v>
      </c>
      <c r="BO255" s="462">
        <f>IF(AND(AT255=3,AK255="E",AV255&gt;=0.75,AW255=1),HealthBY,IF(AND(AT255=3,AK255="E",AV255&gt;=0.75),HealthBY*P255,IF(AND(AT255=3,AK255="E",AV255&gt;=0.5,AW255=1),PTHealthBY,IF(AND(AT255=3,AK255="E",AV255&gt;=0.5),PTHealthBY*P255,0))))</f>
        <v>0</v>
      </c>
      <c r="BP255" s="462">
        <f>IF(AND(AT255&lt;&gt;0,(AX255+BA255)&gt;=MAXSSDIBY),SSDIBY*MAXSSDIBY*P255,IF(AT255&lt;&gt;0,SSDIBY*W255,0))</f>
        <v>0</v>
      </c>
      <c r="BQ255" s="462">
        <f>IF(AT255&lt;&gt;0,SSHIBY*W255,0)</f>
        <v>0</v>
      </c>
      <c r="BR255" s="462">
        <f>IF(AND(AT255&lt;&gt;0,AN255&lt;&gt;"NE"),VLOOKUP(AN255,Retirement_Rates,4,FALSE)*W255,0)</f>
        <v>0</v>
      </c>
      <c r="BS255" s="462">
        <f>IF(AND(AT255&lt;&gt;0,AJ255&lt;&gt;"PF"),LifeBY*W255,0)</f>
        <v>0</v>
      </c>
      <c r="BT255" s="462">
        <f>IF(AND(AT255&lt;&gt;0,AM255="Y"),UIBY*W255,0)</f>
        <v>0</v>
      </c>
      <c r="BU255" s="462">
        <f>IF(AND(AT255&lt;&gt;0,N255&lt;&gt;"NR"),DHRBY*W255,0)</f>
        <v>0</v>
      </c>
      <c r="BV255" s="462">
        <f>IF(AT255&lt;&gt;0,WCBY*W255,0)</f>
        <v>0</v>
      </c>
      <c r="BW255" s="462">
        <f>IF(OR(AND(AT255&lt;&gt;0,AJ255&lt;&gt;"PF",AN255&lt;&gt;"NE",AG255&lt;&gt;"A"),AND(AL255="E",OR(AT255=1,AT255=3))),SickBY*W255,0)</f>
        <v>0</v>
      </c>
      <c r="BX255" s="462">
        <f t="shared" si="58"/>
        <v>0</v>
      </c>
      <c r="BY255" s="462">
        <f t="shared" si="59"/>
        <v>0</v>
      </c>
      <c r="BZ255" s="462">
        <f t="shared" si="60"/>
        <v>0</v>
      </c>
      <c r="CA255" s="462">
        <f t="shared" si="61"/>
        <v>0</v>
      </c>
      <c r="CB255" s="462">
        <f t="shared" si="62"/>
        <v>0</v>
      </c>
      <c r="CC255" s="462">
        <f>IF(AT255&lt;&gt;0,SSHICHG*Y255,0)</f>
        <v>0</v>
      </c>
      <c r="CD255" s="462">
        <f>IF(AND(AT255&lt;&gt;0,AN255&lt;&gt;"NE"),VLOOKUP(AN255,Retirement_Rates,5,FALSE)*Y255,0)</f>
        <v>0</v>
      </c>
      <c r="CE255" s="462">
        <f>IF(AND(AT255&lt;&gt;0,AJ255&lt;&gt;"PF"),LifeCHG*Y255,0)</f>
        <v>0</v>
      </c>
      <c r="CF255" s="462">
        <f>IF(AND(AT255&lt;&gt;0,AM255="Y"),UICHG*Y255,0)</f>
        <v>0</v>
      </c>
      <c r="CG255" s="462">
        <f>IF(AND(AT255&lt;&gt;0,N255&lt;&gt;"NR"),DHRCHG*Y255,0)</f>
        <v>0</v>
      </c>
      <c r="CH255" s="462">
        <f>IF(AT255&lt;&gt;0,WCCHG*Y255,0)</f>
        <v>0</v>
      </c>
      <c r="CI255" s="462">
        <f>IF(OR(AND(AT255&lt;&gt;0,AJ255&lt;&gt;"PF",AN255&lt;&gt;"NE",AG255&lt;&gt;"A"),AND(AL255="E",OR(AT255=1,AT255=3))),SickCHG*Y255,0)</f>
        <v>0</v>
      </c>
      <c r="CJ255" s="462">
        <f t="shared" si="63"/>
        <v>0</v>
      </c>
      <c r="CK255" s="462" t="str">
        <f t="shared" si="64"/>
        <v/>
      </c>
      <c r="CL255" s="462">
        <f t="shared" si="65"/>
        <v>0</v>
      </c>
      <c r="CM255" s="462">
        <f t="shared" si="66"/>
        <v>0</v>
      </c>
      <c r="CN255" s="462" t="str">
        <f t="shared" si="67"/>
        <v>0247-06</v>
      </c>
    </row>
    <row r="256" spans="1:92" ht="15" thickBot="1" x14ac:dyDescent="0.35">
      <c r="A256" s="376" t="s">
        <v>161</v>
      </c>
      <c r="B256" s="376" t="s">
        <v>162</v>
      </c>
      <c r="C256" s="376" t="s">
        <v>905</v>
      </c>
      <c r="D256" s="376" t="s">
        <v>221</v>
      </c>
      <c r="E256" s="376" t="s">
        <v>416</v>
      </c>
      <c r="F256" s="382" t="s">
        <v>417</v>
      </c>
      <c r="G256" s="376" t="s">
        <v>432</v>
      </c>
      <c r="H256" s="378"/>
      <c r="I256" s="378"/>
      <c r="J256" s="376" t="s">
        <v>168</v>
      </c>
      <c r="K256" s="376" t="s">
        <v>222</v>
      </c>
      <c r="L256" s="376" t="s">
        <v>166</v>
      </c>
      <c r="M256" s="376" t="s">
        <v>225</v>
      </c>
      <c r="N256" s="376" t="s">
        <v>223</v>
      </c>
      <c r="O256" s="379">
        <v>0</v>
      </c>
      <c r="P256" s="460">
        <v>1</v>
      </c>
      <c r="Q256" s="460">
        <v>0</v>
      </c>
      <c r="R256" s="380">
        <v>0</v>
      </c>
      <c r="S256" s="460">
        <v>0</v>
      </c>
      <c r="T256" s="380">
        <v>0</v>
      </c>
      <c r="U256" s="380">
        <v>0</v>
      </c>
      <c r="V256" s="380">
        <v>0</v>
      </c>
      <c r="W256" s="380">
        <v>0</v>
      </c>
      <c r="X256" s="380">
        <v>0</v>
      </c>
      <c r="Y256" s="380">
        <v>0</v>
      </c>
      <c r="Z256" s="380">
        <v>0</v>
      </c>
      <c r="AA256" s="378"/>
      <c r="AB256" s="376" t="s">
        <v>45</v>
      </c>
      <c r="AC256" s="376" t="s">
        <v>45</v>
      </c>
      <c r="AD256" s="378"/>
      <c r="AE256" s="378"/>
      <c r="AF256" s="378"/>
      <c r="AG256" s="378"/>
      <c r="AH256" s="379">
        <v>0</v>
      </c>
      <c r="AI256" s="379">
        <v>0</v>
      </c>
      <c r="AJ256" s="378"/>
      <c r="AK256" s="378"/>
      <c r="AL256" s="376" t="s">
        <v>181</v>
      </c>
      <c r="AM256" s="378"/>
      <c r="AN256" s="378"/>
      <c r="AO256" s="379">
        <v>0</v>
      </c>
      <c r="AP256" s="460">
        <v>0</v>
      </c>
      <c r="AQ256" s="460">
        <v>0</v>
      </c>
      <c r="AR256" s="459"/>
      <c r="AS256" s="462">
        <f t="shared" si="51"/>
        <v>0</v>
      </c>
      <c r="AT256">
        <f t="shared" si="52"/>
        <v>0</v>
      </c>
      <c r="AU256" s="462" t="str">
        <f>IF(AT256=0,"",IF(AND(AT256=1,M256="F",SUMIF(C2:C391,C256,AS2:AS391)&lt;=1),SUMIF(C2:C391,C256,AS2:AS391),IF(AND(AT256=1,M256="F",SUMIF(C2:C391,C256,AS2:AS391)&gt;1),1,"")))</f>
        <v/>
      </c>
      <c r="AV256" s="462" t="str">
        <f>IF(AT256=0,"",IF(AND(AT256=3,M256="F",SUMIF(C2:C391,C256,AS2:AS391)&lt;=1),SUMIF(C2:C391,C256,AS2:AS391),IF(AND(AT256=3,M256="F",SUMIF(C2:C391,C256,AS2:AS391)&gt;1),1,"")))</f>
        <v/>
      </c>
      <c r="AW256" s="462">
        <f>SUMIF(C2:C391,C256,O2:O391)</f>
        <v>0</v>
      </c>
      <c r="AX256" s="462">
        <f>IF(AND(M256="F",AS256&lt;&gt;0),SUMIF(C2:C391,C256,W2:W391),0)</f>
        <v>0</v>
      </c>
      <c r="AY256" s="462" t="str">
        <f t="shared" si="53"/>
        <v/>
      </c>
      <c r="AZ256" s="462" t="str">
        <f t="shared" si="54"/>
        <v/>
      </c>
      <c r="BA256" s="462">
        <f t="shared" si="55"/>
        <v>0</v>
      </c>
      <c r="BB256" s="462">
        <f>IF(AND(AT256=1,AK256="E",AU256&gt;=0.75,AW256=1),Health,IF(AND(AT256=1,AK256="E",AU256&gt;=0.75),Health*P256,IF(AND(AT256=1,AK256="E",AU256&gt;=0.5,AW256=1),PTHealth,IF(AND(AT256=1,AK256="E",AU256&gt;=0.5),PTHealth*P256,0))))</f>
        <v>0</v>
      </c>
      <c r="BC256" s="462">
        <f>IF(AND(AT256=3,AK256="E",AV256&gt;=0.75,AW256=1),Health,IF(AND(AT256=3,AK256="E",AV256&gt;=0.75),Health*P256,IF(AND(AT256=3,AK256="E",AV256&gt;=0.5,AW256=1),PTHealth,IF(AND(AT256=3,AK256="E",AV256&gt;=0.5),PTHealth*P256,0))))</f>
        <v>0</v>
      </c>
      <c r="BD256" s="462">
        <f>IF(AND(AT256&lt;&gt;0,AX256&gt;=MAXSSDI),SSDI*MAXSSDI*P256,IF(AT256&lt;&gt;0,SSDI*W256,0))</f>
        <v>0</v>
      </c>
      <c r="BE256" s="462">
        <f>IF(AT256&lt;&gt;0,SSHI*W256,0)</f>
        <v>0</v>
      </c>
      <c r="BF256" s="462">
        <f>IF(AND(AT256&lt;&gt;0,AN256&lt;&gt;"NE"),VLOOKUP(AN256,Retirement_Rates,3,FALSE)*W256,0)</f>
        <v>0</v>
      </c>
      <c r="BG256" s="462">
        <f>IF(AND(AT256&lt;&gt;0,AJ256&lt;&gt;"PF"),Life*W256,0)</f>
        <v>0</v>
      </c>
      <c r="BH256" s="462">
        <f>IF(AND(AT256&lt;&gt;0,AM256="Y"),UI*W256,0)</f>
        <v>0</v>
      </c>
      <c r="BI256" s="462">
        <f>IF(AND(AT256&lt;&gt;0,N256&lt;&gt;"NR"),DHR*W256,0)</f>
        <v>0</v>
      </c>
      <c r="BJ256" s="462">
        <f>IF(AT256&lt;&gt;0,WC*W256,0)</f>
        <v>0</v>
      </c>
      <c r="BK256" s="462">
        <f>IF(OR(AND(AT256&lt;&gt;0,AJ256&lt;&gt;"PF",AN256&lt;&gt;"NE",AG256&lt;&gt;"A"),AND(AL256="E",OR(AT256=1,AT256=3))),Sick*W256,0)</f>
        <v>0</v>
      </c>
      <c r="BL256" s="462">
        <f t="shared" si="56"/>
        <v>0</v>
      </c>
      <c r="BM256" s="462">
        <f t="shared" si="57"/>
        <v>0</v>
      </c>
      <c r="BN256" s="462">
        <f>IF(AND(AT256=1,AK256="E",AU256&gt;=0.75,AW256=1),HealthBY,IF(AND(AT256=1,AK256="E",AU256&gt;=0.75),HealthBY*P256,IF(AND(AT256=1,AK256="E",AU256&gt;=0.5,AW256=1),PTHealthBY,IF(AND(AT256=1,AK256="E",AU256&gt;=0.5),PTHealthBY*P256,0))))</f>
        <v>0</v>
      </c>
      <c r="BO256" s="462">
        <f>IF(AND(AT256=3,AK256="E",AV256&gt;=0.75,AW256=1),HealthBY,IF(AND(AT256=3,AK256="E",AV256&gt;=0.75),HealthBY*P256,IF(AND(AT256=3,AK256="E",AV256&gt;=0.5,AW256=1),PTHealthBY,IF(AND(AT256=3,AK256="E",AV256&gt;=0.5),PTHealthBY*P256,0))))</f>
        <v>0</v>
      </c>
      <c r="BP256" s="462">
        <f>IF(AND(AT256&lt;&gt;0,(AX256+BA256)&gt;=MAXSSDIBY),SSDIBY*MAXSSDIBY*P256,IF(AT256&lt;&gt;0,SSDIBY*W256,0))</f>
        <v>0</v>
      </c>
      <c r="BQ256" s="462">
        <f>IF(AT256&lt;&gt;0,SSHIBY*W256,0)</f>
        <v>0</v>
      </c>
      <c r="BR256" s="462">
        <f>IF(AND(AT256&lt;&gt;0,AN256&lt;&gt;"NE"),VLOOKUP(AN256,Retirement_Rates,4,FALSE)*W256,0)</f>
        <v>0</v>
      </c>
      <c r="BS256" s="462">
        <f>IF(AND(AT256&lt;&gt;0,AJ256&lt;&gt;"PF"),LifeBY*W256,0)</f>
        <v>0</v>
      </c>
      <c r="BT256" s="462">
        <f>IF(AND(AT256&lt;&gt;0,AM256="Y"),UIBY*W256,0)</f>
        <v>0</v>
      </c>
      <c r="BU256" s="462">
        <f>IF(AND(AT256&lt;&gt;0,N256&lt;&gt;"NR"),DHRBY*W256,0)</f>
        <v>0</v>
      </c>
      <c r="BV256" s="462">
        <f>IF(AT256&lt;&gt;0,WCBY*W256,0)</f>
        <v>0</v>
      </c>
      <c r="BW256" s="462">
        <f>IF(OR(AND(AT256&lt;&gt;0,AJ256&lt;&gt;"PF",AN256&lt;&gt;"NE",AG256&lt;&gt;"A"),AND(AL256="E",OR(AT256=1,AT256=3))),SickBY*W256,0)</f>
        <v>0</v>
      </c>
      <c r="BX256" s="462">
        <f t="shared" si="58"/>
        <v>0</v>
      </c>
      <c r="BY256" s="462">
        <f t="shared" si="59"/>
        <v>0</v>
      </c>
      <c r="BZ256" s="462">
        <f t="shared" si="60"/>
        <v>0</v>
      </c>
      <c r="CA256" s="462">
        <f t="shared" si="61"/>
        <v>0</v>
      </c>
      <c r="CB256" s="462">
        <f t="shared" si="62"/>
        <v>0</v>
      </c>
      <c r="CC256" s="462">
        <f>IF(AT256&lt;&gt;0,SSHICHG*Y256,0)</f>
        <v>0</v>
      </c>
      <c r="CD256" s="462">
        <f>IF(AND(AT256&lt;&gt;0,AN256&lt;&gt;"NE"),VLOOKUP(AN256,Retirement_Rates,5,FALSE)*Y256,0)</f>
        <v>0</v>
      </c>
      <c r="CE256" s="462">
        <f>IF(AND(AT256&lt;&gt;0,AJ256&lt;&gt;"PF"),LifeCHG*Y256,0)</f>
        <v>0</v>
      </c>
      <c r="CF256" s="462">
        <f>IF(AND(AT256&lt;&gt;0,AM256="Y"),UICHG*Y256,0)</f>
        <v>0</v>
      </c>
      <c r="CG256" s="462">
        <f>IF(AND(AT256&lt;&gt;0,N256&lt;&gt;"NR"),DHRCHG*Y256,0)</f>
        <v>0</v>
      </c>
      <c r="CH256" s="462">
        <f>IF(AT256&lt;&gt;0,WCCHG*Y256,0)</f>
        <v>0</v>
      </c>
      <c r="CI256" s="462">
        <f>IF(OR(AND(AT256&lt;&gt;0,AJ256&lt;&gt;"PF",AN256&lt;&gt;"NE",AG256&lt;&gt;"A"),AND(AL256="E",OR(AT256=1,AT256=3))),SickCHG*Y256,0)</f>
        <v>0</v>
      </c>
      <c r="CJ256" s="462">
        <f t="shared" si="63"/>
        <v>0</v>
      </c>
      <c r="CK256" s="462" t="str">
        <f t="shared" si="64"/>
        <v/>
      </c>
      <c r="CL256" s="462">
        <f t="shared" si="65"/>
        <v>0</v>
      </c>
      <c r="CM256" s="462">
        <f t="shared" si="66"/>
        <v>0</v>
      </c>
      <c r="CN256" s="462" t="str">
        <f t="shared" si="67"/>
        <v>0247-06</v>
      </c>
    </row>
    <row r="257" spans="1:92" ht="15" thickBot="1" x14ac:dyDescent="0.35">
      <c r="A257" s="376" t="s">
        <v>161</v>
      </c>
      <c r="B257" s="376" t="s">
        <v>162</v>
      </c>
      <c r="C257" s="376" t="s">
        <v>906</v>
      </c>
      <c r="D257" s="376" t="s">
        <v>907</v>
      </c>
      <c r="E257" s="376" t="s">
        <v>416</v>
      </c>
      <c r="F257" s="382" t="s">
        <v>417</v>
      </c>
      <c r="G257" s="376" t="s">
        <v>432</v>
      </c>
      <c r="H257" s="378"/>
      <c r="I257" s="378"/>
      <c r="J257" s="376" t="s">
        <v>193</v>
      </c>
      <c r="K257" s="376" t="s">
        <v>908</v>
      </c>
      <c r="L257" s="376" t="s">
        <v>178</v>
      </c>
      <c r="M257" s="376" t="s">
        <v>225</v>
      </c>
      <c r="N257" s="376" t="s">
        <v>172</v>
      </c>
      <c r="O257" s="379">
        <v>0</v>
      </c>
      <c r="P257" s="460">
        <v>0.4</v>
      </c>
      <c r="Q257" s="460">
        <v>0.4</v>
      </c>
      <c r="R257" s="380">
        <v>80</v>
      </c>
      <c r="S257" s="460">
        <v>0.4</v>
      </c>
      <c r="T257" s="380">
        <v>0</v>
      </c>
      <c r="U257" s="380">
        <v>0</v>
      </c>
      <c r="V257" s="380">
        <v>0</v>
      </c>
      <c r="W257" s="380">
        <v>12837.76</v>
      </c>
      <c r="X257" s="380">
        <v>5622.93</v>
      </c>
      <c r="Y257" s="380">
        <v>12837.76</v>
      </c>
      <c r="Z257" s="380">
        <v>5558.74</v>
      </c>
      <c r="AA257" s="378"/>
      <c r="AB257" s="376" t="s">
        <v>45</v>
      </c>
      <c r="AC257" s="376" t="s">
        <v>45</v>
      </c>
      <c r="AD257" s="378"/>
      <c r="AE257" s="378"/>
      <c r="AF257" s="378"/>
      <c r="AG257" s="378"/>
      <c r="AH257" s="379">
        <v>0</v>
      </c>
      <c r="AI257" s="379">
        <v>0</v>
      </c>
      <c r="AJ257" s="378"/>
      <c r="AK257" s="378"/>
      <c r="AL257" s="376" t="s">
        <v>181</v>
      </c>
      <c r="AM257" s="378"/>
      <c r="AN257" s="378"/>
      <c r="AO257" s="379">
        <v>0</v>
      </c>
      <c r="AP257" s="460">
        <v>0</v>
      </c>
      <c r="AQ257" s="460">
        <v>0</v>
      </c>
      <c r="AR257" s="459"/>
      <c r="AS257" s="462">
        <f t="shared" si="51"/>
        <v>0</v>
      </c>
      <c r="AT257">
        <f t="shared" si="52"/>
        <v>0</v>
      </c>
      <c r="AU257" s="462" t="str">
        <f>IF(AT257=0,"",IF(AND(AT257=1,M257="F",SUMIF(C2:C391,C257,AS2:AS391)&lt;=1),SUMIF(C2:C391,C257,AS2:AS391),IF(AND(AT257=1,M257="F",SUMIF(C2:C391,C257,AS2:AS391)&gt;1),1,"")))</f>
        <v/>
      </c>
      <c r="AV257" s="462" t="str">
        <f>IF(AT257=0,"",IF(AND(AT257=3,M257="F",SUMIF(C2:C391,C257,AS2:AS391)&lt;=1),SUMIF(C2:C391,C257,AS2:AS391),IF(AND(AT257=3,M257="F",SUMIF(C2:C391,C257,AS2:AS391)&gt;1),1,"")))</f>
        <v/>
      </c>
      <c r="AW257" s="462">
        <f>SUMIF(C2:C391,C257,O2:O391)</f>
        <v>0</v>
      </c>
      <c r="AX257" s="462">
        <f>IF(AND(M257="F",AS257&lt;&gt;0),SUMIF(C2:C391,C257,W2:W391),0)</f>
        <v>0</v>
      </c>
      <c r="AY257" s="462" t="str">
        <f t="shared" si="53"/>
        <v/>
      </c>
      <c r="AZ257" s="462" t="str">
        <f t="shared" si="54"/>
        <v/>
      </c>
      <c r="BA257" s="462">
        <f t="shared" si="55"/>
        <v>0</v>
      </c>
      <c r="BB257" s="462">
        <f>IF(AND(AT257=1,AK257="E",AU257&gt;=0.75,AW257=1),Health,IF(AND(AT257=1,AK257="E",AU257&gt;=0.75),Health*P257,IF(AND(AT257=1,AK257="E",AU257&gt;=0.5,AW257=1),PTHealth,IF(AND(AT257=1,AK257="E",AU257&gt;=0.5),PTHealth*P257,0))))</f>
        <v>0</v>
      </c>
      <c r="BC257" s="462">
        <f>IF(AND(AT257=3,AK257="E",AV257&gt;=0.75,AW257=1),Health,IF(AND(AT257=3,AK257="E",AV257&gt;=0.75),Health*P257,IF(AND(AT257=3,AK257="E",AV257&gt;=0.5,AW257=1),PTHealth,IF(AND(AT257=3,AK257="E",AV257&gt;=0.5),PTHealth*P257,0))))</f>
        <v>0</v>
      </c>
      <c r="BD257" s="462">
        <f>IF(AND(AT257&lt;&gt;0,AX257&gt;=MAXSSDI),SSDI*MAXSSDI*P257,IF(AT257&lt;&gt;0,SSDI*W257,0))</f>
        <v>0</v>
      </c>
      <c r="BE257" s="462">
        <f>IF(AT257&lt;&gt;0,SSHI*W257,0)</f>
        <v>0</v>
      </c>
      <c r="BF257" s="462">
        <f>IF(AND(AT257&lt;&gt;0,AN257&lt;&gt;"NE"),VLOOKUP(AN257,Retirement_Rates,3,FALSE)*W257,0)</f>
        <v>0</v>
      </c>
      <c r="BG257" s="462">
        <f>IF(AND(AT257&lt;&gt;0,AJ257&lt;&gt;"PF"),Life*W257,0)</f>
        <v>0</v>
      </c>
      <c r="BH257" s="462">
        <f>IF(AND(AT257&lt;&gt;0,AM257="Y"),UI*W257,0)</f>
        <v>0</v>
      </c>
      <c r="BI257" s="462">
        <f>IF(AND(AT257&lt;&gt;0,N257&lt;&gt;"NR"),DHR*W257,0)</f>
        <v>0</v>
      </c>
      <c r="BJ257" s="462">
        <f>IF(AT257&lt;&gt;0,WC*W257,0)</f>
        <v>0</v>
      </c>
      <c r="BK257" s="462">
        <f>IF(OR(AND(AT257&lt;&gt;0,AJ257&lt;&gt;"PF",AN257&lt;&gt;"NE",AG257&lt;&gt;"A"),AND(AL257="E",OR(AT257=1,AT257=3))),Sick*W257,0)</f>
        <v>0</v>
      </c>
      <c r="BL257" s="462">
        <f t="shared" si="56"/>
        <v>0</v>
      </c>
      <c r="BM257" s="462">
        <f t="shared" si="57"/>
        <v>0</v>
      </c>
      <c r="BN257" s="462">
        <f>IF(AND(AT257=1,AK257="E",AU257&gt;=0.75,AW257=1),HealthBY,IF(AND(AT257=1,AK257="E",AU257&gt;=0.75),HealthBY*P257,IF(AND(AT257=1,AK257="E",AU257&gt;=0.5,AW257=1),PTHealthBY,IF(AND(AT257=1,AK257="E",AU257&gt;=0.5),PTHealthBY*P257,0))))</f>
        <v>0</v>
      </c>
      <c r="BO257" s="462">
        <f>IF(AND(AT257=3,AK257="E",AV257&gt;=0.75,AW257=1),HealthBY,IF(AND(AT257=3,AK257="E",AV257&gt;=0.75),HealthBY*P257,IF(AND(AT257=3,AK257="E",AV257&gt;=0.5,AW257=1),PTHealthBY,IF(AND(AT257=3,AK257="E",AV257&gt;=0.5),PTHealthBY*P257,0))))</f>
        <v>0</v>
      </c>
      <c r="BP257" s="462">
        <f>IF(AND(AT257&lt;&gt;0,(AX257+BA257)&gt;=MAXSSDIBY),SSDIBY*MAXSSDIBY*P257,IF(AT257&lt;&gt;0,SSDIBY*W257,0))</f>
        <v>0</v>
      </c>
      <c r="BQ257" s="462">
        <f>IF(AT257&lt;&gt;0,SSHIBY*W257,0)</f>
        <v>0</v>
      </c>
      <c r="BR257" s="462">
        <f>IF(AND(AT257&lt;&gt;0,AN257&lt;&gt;"NE"),VLOOKUP(AN257,Retirement_Rates,4,FALSE)*W257,0)</f>
        <v>0</v>
      </c>
      <c r="BS257" s="462">
        <f>IF(AND(AT257&lt;&gt;0,AJ257&lt;&gt;"PF"),LifeBY*W257,0)</f>
        <v>0</v>
      </c>
      <c r="BT257" s="462">
        <f>IF(AND(AT257&lt;&gt;0,AM257="Y"),UIBY*W257,0)</f>
        <v>0</v>
      </c>
      <c r="BU257" s="462">
        <f>IF(AND(AT257&lt;&gt;0,N257&lt;&gt;"NR"),DHRBY*W257,0)</f>
        <v>0</v>
      </c>
      <c r="BV257" s="462">
        <f>IF(AT257&lt;&gt;0,WCBY*W257,0)</f>
        <v>0</v>
      </c>
      <c r="BW257" s="462">
        <f>IF(OR(AND(AT257&lt;&gt;0,AJ257&lt;&gt;"PF",AN257&lt;&gt;"NE",AG257&lt;&gt;"A"),AND(AL257="E",OR(AT257=1,AT257=3))),SickBY*W257,0)</f>
        <v>0</v>
      </c>
      <c r="BX257" s="462">
        <f t="shared" si="58"/>
        <v>0</v>
      </c>
      <c r="BY257" s="462">
        <f t="shared" si="59"/>
        <v>0</v>
      </c>
      <c r="BZ257" s="462">
        <f t="shared" si="60"/>
        <v>0</v>
      </c>
      <c r="CA257" s="462">
        <f t="shared" si="61"/>
        <v>0</v>
      </c>
      <c r="CB257" s="462">
        <f t="shared" si="62"/>
        <v>0</v>
      </c>
      <c r="CC257" s="462">
        <f>IF(AT257&lt;&gt;0,SSHICHG*Y257,0)</f>
        <v>0</v>
      </c>
      <c r="CD257" s="462">
        <f>IF(AND(AT257&lt;&gt;0,AN257&lt;&gt;"NE"),VLOOKUP(AN257,Retirement_Rates,5,FALSE)*Y257,0)</f>
        <v>0</v>
      </c>
      <c r="CE257" s="462">
        <f>IF(AND(AT257&lt;&gt;0,AJ257&lt;&gt;"PF"),LifeCHG*Y257,0)</f>
        <v>0</v>
      </c>
      <c r="CF257" s="462">
        <f>IF(AND(AT257&lt;&gt;0,AM257="Y"),UICHG*Y257,0)</f>
        <v>0</v>
      </c>
      <c r="CG257" s="462">
        <f>IF(AND(AT257&lt;&gt;0,N257&lt;&gt;"NR"),DHRCHG*Y257,0)</f>
        <v>0</v>
      </c>
      <c r="CH257" s="462">
        <f>IF(AT257&lt;&gt;0,WCCHG*Y257,0)</f>
        <v>0</v>
      </c>
      <c r="CI257" s="462">
        <f>IF(OR(AND(AT257&lt;&gt;0,AJ257&lt;&gt;"PF",AN257&lt;&gt;"NE",AG257&lt;&gt;"A"),AND(AL257="E",OR(AT257=1,AT257=3))),SickCHG*Y257,0)</f>
        <v>0</v>
      </c>
      <c r="CJ257" s="462">
        <f t="shared" si="63"/>
        <v>0</v>
      </c>
      <c r="CK257" s="462" t="str">
        <f t="shared" si="64"/>
        <v/>
      </c>
      <c r="CL257" s="462" t="str">
        <f t="shared" si="65"/>
        <v/>
      </c>
      <c r="CM257" s="462" t="str">
        <f t="shared" si="66"/>
        <v/>
      </c>
      <c r="CN257" s="462" t="str">
        <f t="shared" si="67"/>
        <v>0247-06</v>
      </c>
    </row>
    <row r="258" spans="1:92" ht="15" thickBot="1" x14ac:dyDescent="0.35">
      <c r="A258" s="376" t="s">
        <v>161</v>
      </c>
      <c r="B258" s="376" t="s">
        <v>162</v>
      </c>
      <c r="C258" s="376" t="s">
        <v>909</v>
      </c>
      <c r="D258" s="376" t="s">
        <v>690</v>
      </c>
      <c r="E258" s="376" t="s">
        <v>416</v>
      </c>
      <c r="F258" s="382" t="s">
        <v>417</v>
      </c>
      <c r="G258" s="376" t="s">
        <v>432</v>
      </c>
      <c r="H258" s="378"/>
      <c r="I258" s="378"/>
      <c r="J258" s="376" t="s">
        <v>229</v>
      </c>
      <c r="K258" s="376" t="s">
        <v>691</v>
      </c>
      <c r="L258" s="376" t="s">
        <v>170</v>
      </c>
      <c r="M258" s="376" t="s">
        <v>171</v>
      </c>
      <c r="N258" s="376" t="s">
        <v>172</v>
      </c>
      <c r="O258" s="379">
        <v>1</v>
      </c>
      <c r="P258" s="460">
        <v>0.5</v>
      </c>
      <c r="Q258" s="460">
        <v>0.5</v>
      </c>
      <c r="R258" s="380">
        <v>80</v>
      </c>
      <c r="S258" s="460">
        <v>0.5</v>
      </c>
      <c r="T258" s="380">
        <v>18694.45</v>
      </c>
      <c r="U258" s="380">
        <v>0</v>
      </c>
      <c r="V258" s="380">
        <v>7712.94</v>
      </c>
      <c r="W258" s="380">
        <v>30045.599999999999</v>
      </c>
      <c r="X258" s="380">
        <v>12974.93</v>
      </c>
      <c r="Y258" s="380">
        <v>30045.599999999999</v>
      </c>
      <c r="Z258" s="380">
        <v>13062.06</v>
      </c>
      <c r="AA258" s="376" t="s">
        <v>910</v>
      </c>
      <c r="AB258" s="376" t="s">
        <v>911</v>
      </c>
      <c r="AC258" s="376" t="s">
        <v>912</v>
      </c>
      <c r="AD258" s="376" t="s">
        <v>574</v>
      </c>
      <c r="AE258" s="376" t="s">
        <v>691</v>
      </c>
      <c r="AF258" s="376" t="s">
        <v>177</v>
      </c>
      <c r="AG258" s="376" t="s">
        <v>178</v>
      </c>
      <c r="AH258" s="381">
        <v>28.89</v>
      </c>
      <c r="AI258" s="379">
        <v>37296</v>
      </c>
      <c r="AJ258" s="376" t="s">
        <v>179</v>
      </c>
      <c r="AK258" s="376" t="s">
        <v>180</v>
      </c>
      <c r="AL258" s="376" t="s">
        <v>181</v>
      </c>
      <c r="AM258" s="376" t="s">
        <v>182</v>
      </c>
      <c r="AN258" s="376" t="s">
        <v>68</v>
      </c>
      <c r="AO258" s="379">
        <v>80</v>
      </c>
      <c r="AP258" s="460">
        <v>1</v>
      </c>
      <c r="AQ258" s="460">
        <v>0.5</v>
      </c>
      <c r="AR258" s="458" t="s">
        <v>183</v>
      </c>
      <c r="AS258" s="462">
        <f t="shared" si="51"/>
        <v>0.5</v>
      </c>
      <c r="AT258">
        <f t="shared" si="52"/>
        <v>1</v>
      </c>
      <c r="AU258" s="462">
        <f>IF(AT258=0,"",IF(AND(AT258=1,M258="F",SUMIF(C2:C391,C258,AS2:AS391)&lt;=1),SUMIF(C2:C391,C258,AS2:AS391),IF(AND(AT258=1,M258="F",SUMIF(C2:C391,C258,AS2:AS391)&gt;1),1,"")))</f>
        <v>1</v>
      </c>
      <c r="AV258" s="462" t="str">
        <f>IF(AT258=0,"",IF(AND(AT258=3,M258="F",SUMIF(C2:C391,C258,AS2:AS391)&lt;=1),SUMIF(C2:C391,C258,AS2:AS391),IF(AND(AT258=3,M258="F",SUMIF(C2:C391,C258,AS2:AS391)&gt;1),1,"")))</f>
        <v/>
      </c>
      <c r="AW258" s="462">
        <f>SUMIF(C2:C391,C258,O2:O391)</f>
        <v>3</v>
      </c>
      <c r="AX258" s="462">
        <f>IF(AND(M258="F",AS258&lt;&gt;0),SUMIF(C2:C391,C258,W2:W391),0)</f>
        <v>60091.199999999997</v>
      </c>
      <c r="AY258" s="462">
        <f t="shared" si="53"/>
        <v>30045.599999999999</v>
      </c>
      <c r="AZ258" s="462" t="str">
        <f t="shared" si="54"/>
        <v/>
      </c>
      <c r="BA258" s="462">
        <f t="shared" si="55"/>
        <v>0</v>
      </c>
      <c r="BB258" s="462">
        <f>IF(AND(AT258=1,AK258="E",AU258&gt;=0.75,AW258=1),Health,IF(AND(AT258=1,AK258="E",AU258&gt;=0.75),Health*P258,IF(AND(AT258=1,AK258="E",AU258&gt;=0.5,AW258=1),PTHealth,IF(AND(AT258=1,AK258="E",AU258&gt;=0.5),PTHealth*P258,0))))</f>
        <v>5825</v>
      </c>
      <c r="BC258" s="462">
        <f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462">
        <f>IF(AND(AT258&lt;&gt;0,AX258&gt;=MAXSSDI),SSDI*MAXSSDI*P258,IF(AT258&lt;&gt;0,SSDI*W258,0))</f>
        <v>1862.8271999999999</v>
      </c>
      <c r="BE258" s="462">
        <f>IF(AT258&lt;&gt;0,SSHI*W258,0)</f>
        <v>435.66120000000001</v>
      </c>
      <c r="BF258" s="462">
        <f>IF(AND(AT258&lt;&gt;0,AN258&lt;&gt;"NE"),VLOOKUP(AN258,Retirement_Rates,3,FALSE)*W258,0)</f>
        <v>3587.4446400000002</v>
      </c>
      <c r="BG258" s="462">
        <f>IF(AND(AT258&lt;&gt;0,AJ258&lt;&gt;"PF"),Life*W258,0)</f>
        <v>216.62877599999999</v>
      </c>
      <c r="BH258" s="462">
        <f>IF(AND(AT258&lt;&gt;0,AM258="Y"),UI*W258,0)</f>
        <v>147.22343999999998</v>
      </c>
      <c r="BI258" s="462">
        <f>IF(AND(AT258&lt;&gt;0,N258&lt;&gt;"NR"),DHR*W258,0)</f>
        <v>91.93953599999999</v>
      </c>
      <c r="BJ258" s="462">
        <f>IF(AT258&lt;&gt;0,WC*W258,0)</f>
        <v>808.22663999999997</v>
      </c>
      <c r="BK258" s="462">
        <f>IF(OR(AND(AT258&lt;&gt;0,AJ258&lt;&gt;"PF",AN258&lt;&gt;"NE",AG258&lt;&gt;"A"),AND(AL258="E",OR(AT258=1,AT258=3))),Sick*W258,0)</f>
        <v>0</v>
      </c>
      <c r="BL258" s="462">
        <f t="shared" si="56"/>
        <v>7149.9514319999989</v>
      </c>
      <c r="BM258" s="462">
        <f t="shared" si="57"/>
        <v>0</v>
      </c>
      <c r="BN258" s="462">
        <f>IF(AND(AT258=1,AK258="E",AU258&gt;=0.75,AW258=1),HealthBY,IF(AND(AT258=1,AK258="E",AU258&gt;=0.75),HealthBY*P258,IF(AND(AT258=1,AK258="E",AU258&gt;=0.5,AW258=1),PTHealthBY,IF(AND(AT258=1,AK258="E",AU258&gt;=0.5),PTHealthBY*P258,0))))</f>
        <v>5825</v>
      </c>
      <c r="BO258" s="462">
        <f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462">
        <f>IF(AND(AT258&lt;&gt;0,(AX258+BA258)&gt;=MAXSSDIBY),SSDIBY*MAXSSDIBY*P258,IF(AT258&lt;&gt;0,SSDIBY*W258,0))</f>
        <v>1862.8271999999999</v>
      </c>
      <c r="BQ258" s="462">
        <f>IF(AT258&lt;&gt;0,SSHIBY*W258,0)</f>
        <v>435.66120000000001</v>
      </c>
      <c r="BR258" s="462">
        <f>IF(AND(AT258&lt;&gt;0,AN258&lt;&gt;"NE"),VLOOKUP(AN258,Retirement_Rates,4,FALSE)*W258,0)</f>
        <v>3587.4446400000002</v>
      </c>
      <c r="BS258" s="462">
        <f>IF(AND(AT258&lt;&gt;0,AJ258&lt;&gt;"PF"),LifeBY*W258,0)</f>
        <v>216.62877599999999</v>
      </c>
      <c r="BT258" s="462">
        <f>IF(AND(AT258&lt;&gt;0,AM258="Y"),UIBY*W258,0)</f>
        <v>0</v>
      </c>
      <c r="BU258" s="462">
        <f>IF(AND(AT258&lt;&gt;0,N258&lt;&gt;"NR"),DHRBY*W258,0)</f>
        <v>91.93953599999999</v>
      </c>
      <c r="BV258" s="462">
        <f>IF(AT258&lt;&gt;0,WCBY*W258,0)</f>
        <v>1042.58232</v>
      </c>
      <c r="BW258" s="462">
        <f>IF(OR(AND(AT258&lt;&gt;0,AJ258&lt;&gt;"PF",AN258&lt;&gt;"NE",AG258&lt;&gt;"A"),AND(AL258="E",OR(AT258=1,AT258=3))),SickBY*W258,0)</f>
        <v>0</v>
      </c>
      <c r="BX258" s="462">
        <f t="shared" si="58"/>
        <v>7237.0836719999988</v>
      </c>
      <c r="BY258" s="462">
        <f t="shared" si="59"/>
        <v>0</v>
      </c>
      <c r="BZ258" s="462">
        <f t="shared" si="60"/>
        <v>0</v>
      </c>
      <c r="CA258" s="462">
        <f t="shared" si="61"/>
        <v>0</v>
      </c>
      <c r="CB258" s="462">
        <f t="shared" si="62"/>
        <v>0</v>
      </c>
      <c r="CC258" s="462">
        <f>IF(AT258&lt;&gt;0,SSHICHG*Y258,0)</f>
        <v>0</v>
      </c>
      <c r="CD258" s="462">
        <f>IF(AND(AT258&lt;&gt;0,AN258&lt;&gt;"NE"),VLOOKUP(AN258,Retirement_Rates,5,FALSE)*Y258,0)</f>
        <v>0</v>
      </c>
      <c r="CE258" s="462">
        <f>IF(AND(AT258&lt;&gt;0,AJ258&lt;&gt;"PF"),LifeCHG*Y258,0)</f>
        <v>0</v>
      </c>
      <c r="CF258" s="462">
        <f>IF(AND(AT258&lt;&gt;0,AM258="Y"),UICHG*Y258,0)</f>
        <v>-147.22343999999998</v>
      </c>
      <c r="CG258" s="462">
        <f>IF(AND(AT258&lt;&gt;0,N258&lt;&gt;"NR"),DHRCHG*Y258,0)</f>
        <v>0</v>
      </c>
      <c r="CH258" s="462">
        <f>IF(AT258&lt;&gt;0,WCCHG*Y258,0)</f>
        <v>234.35568000000004</v>
      </c>
      <c r="CI258" s="462">
        <f>IF(OR(AND(AT258&lt;&gt;0,AJ258&lt;&gt;"PF",AN258&lt;&gt;"NE",AG258&lt;&gt;"A"),AND(AL258="E",OR(AT258=1,AT258=3))),SickCHG*Y258,0)</f>
        <v>0</v>
      </c>
      <c r="CJ258" s="462">
        <f t="shared" si="63"/>
        <v>87.132240000000053</v>
      </c>
      <c r="CK258" s="462" t="str">
        <f t="shared" si="64"/>
        <v/>
      </c>
      <c r="CL258" s="462" t="str">
        <f t="shared" si="65"/>
        <v/>
      </c>
      <c r="CM258" s="462" t="str">
        <f t="shared" si="66"/>
        <v/>
      </c>
      <c r="CN258" s="462" t="str">
        <f t="shared" si="67"/>
        <v>0247-06</v>
      </c>
    </row>
    <row r="259" spans="1:92" ht="15" thickBot="1" x14ac:dyDescent="0.35">
      <c r="A259" s="376" t="s">
        <v>161</v>
      </c>
      <c r="B259" s="376" t="s">
        <v>162</v>
      </c>
      <c r="C259" s="376" t="s">
        <v>913</v>
      </c>
      <c r="D259" s="376" t="s">
        <v>914</v>
      </c>
      <c r="E259" s="376" t="s">
        <v>416</v>
      </c>
      <c r="F259" s="382" t="s">
        <v>417</v>
      </c>
      <c r="G259" s="376" t="s">
        <v>432</v>
      </c>
      <c r="H259" s="378"/>
      <c r="I259" s="378"/>
      <c r="J259" s="376" t="s">
        <v>193</v>
      </c>
      <c r="K259" s="376" t="s">
        <v>915</v>
      </c>
      <c r="L259" s="376" t="s">
        <v>215</v>
      </c>
      <c r="M259" s="376" t="s">
        <v>171</v>
      </c>
      <c r="N259" s="376" t="s">
        <v>172</v>
      </c>
      <c r="O259" s="379">
        <v>1</v>
      </c>
      <c r="P259" s="460">
        <v>0.5</v>
      </c>
      <c r="Q259" s="460">
        <v>0.5</v>
      </c>
      <c r="R259" s="380">
        <v>80</v>
      </c>
      <c r="S259" s="460">
        <v>0.5</v>
      </c>
      <c r="T259" s="380">
        <v>45691.66</v>
      </c>
      <c r="U259" s="380">
        <v>0</v>
      </c>
      <c r="V259" s="380">
        <v>16542.39</v>
      </c>
      <c r="W259" s="380">
        <v>37960</v>
      </c>
      <c r="X259" s="380">
        <v>14858.32</v>
      </c>
      <c r="Y259" s="380">
        <v>37960</v>
      </c>
      <c r="Z259" s="380">
        <v>14968.41</v>
      </c>
      <c r="AA259" s="376" t="s">
        <v>916</v>
      </c>
      <c r="AB259" s="376" t="s">
        <v>917</v>
      </c>
      <c r="AC259" s="376" t="s">
        <v>445</v>
      </c>
      <c r="AD259" s="376" t="s">
        <v>446</v>
      </c>
      <c r="AE259" s="376" t="s">
        <v>915</v>
      </c>
      <c r="AF259" s="376" t="s">
        <v>219</v>
      </c>
      <c r="AG259" s="376" t="s">
        <v>178</v>
      </c>
      <c r="AH259" s="381">
        <v>36.5</v>
      </c>
      <c r="AI259" s="381">
        <v>44383.199999999997</v>
      </c>
      <c r="AJ259" s="376" t="s">
        <v>179</v>
      </c>
      <c r="AK259" s="376" t="s">
        <v>180</v>
      </c>
      <c r="AL259" s="376" t="s">
        <v>181</v>
      </c>
      <c r="AM259" s="376" t="s">
        <v>182</v>
      </c>
      <c r="AN259" s="376" t="s">
        <v>68</v>
      </c>
      <c r="AO259" s="379">
        <v>80</v>
      </c>
      <c r="AP259" s="460">
        <v>1</v>
      </c>
      <c r="AQ259" s="460">
        <v>0.5</v>
      </c>
      <c r="AR259" s="458" t="s">
        <v>183</v>
      </c>
      <c r="AS259" s="462">
        <f t="shared" ref="AS259:AS322" si="68">IF(((AO259/80)*AP259*P259)&gt;1,AQ259,((AO259/80)*AP259*P259))</f>
        <v>0.5</v>
      </c>
      <c r="AT259">
        <f t="shared" ref="AT259:AT322" si="69">IF(AND(M259="F",N259&lt;&gt;"NG",AS259&lt;&gt;0,AND(AR259&lt;&gt;6,AR259&lt;&gt;36,AR259&lt;&gt;56),AG259&lt;&gt;"A",OR(AG259="H",AJ259="FS")),1,IF(AND(M259="F",N259&lt;&gt;"NG",AS259&lt;&gt;0,AG259="A"),3,0))</f>
        <v>1</v>
      </c>
      <c r="AU259" s="462">
        <f>IF(AT259=0,"",IF(AND(AT259=1,M259="F",SUMIF(C2:C391,C259,AS2:AS391)&lt;=1),SUMIF(C2:C391,C259,AS2:AS391),IF(AND(AT259=1,M259="F",SUMIF(C2:C391,C259,AS2:AS391)&gt;1),1,"")))</f>
        <v>1</v>
      </c>
      <c r="AV259" s="462" t="str">
        <f>IF(AT259=0,"",IF(AND(AT259=3,M259="F",SUMIF(C2:C391,C259,AS2:AS391)&lt;=1),SUMIF(C2:C391,C259,AS2:AS391),IF(AND(AT259=3,M259="F",SUMIF(C2:C391,C259,AS2:AS391)&gt;1),1,"")))</f>
        <v/>
      </c>
      <c r="AW259" s="462">
        <f>SUMIF(C2:C391,C259,O2:O391)</f>
        <v>2</v>
      </c>
      <c r="AX259" s="462">
        <f>IF(AND(M259="F",AS259&lt;&gt;0),SUMIF(C2:C391,C259,W2:W391),0)</f>
        <v>75920</v>
      </c>
      <c r="AY259" s="462">
        <f t="shared" ref="AY259:AY322" si="70">IF(AT259=1,W259,"")</f>
        <v>37960</v>
      </c>
      <c r="AZ259" s="462" t="str">
        <f t="shared" ref="AZ259:AZ322" si="71">IF(AT259=3,W259,"")</f>
        <v/>
      </c>
      <c r="BA259" s="462">
        <f t="shared" ref="BA259:BA322" si="72">IF(AT259=1,Y259-W259,0)</f>
        <v>0</v>
      </c>
      <c r="BB259" s="462">
        <f>IF(AND(AT259=1,AK259="E",AU259&gt;=0.75,AW259=1),Health,IF(AND(AT259=1,AK259="E",AU259&gt;=0.75),Health*P259,IF(AND(AT259=1,AK259="E",AU259&gt;=0.5,AW259=1),PTHealth,IF(AND(AT259=1,AK259="E",AU259&gt;=0.5),PTHealth*P259,0))))</f>
        <v>5825</v>
      </c>
      <c r="BC259" s="462">
        <f>IF(AND(AT259=3,AK259="E",AV259&gt;=0.75,AW259=1),Health,IF(AND(AT259=3,AK259="E",AV259&gt;=0.75),Health*P259,IF(AND(AT259=3,AK259="E",AV259&gt;=0.5,AW259=1),PTHealth,IF(AND(AT259=3,AK259="E",AV259&gt;=0.5),PTHealth*P259,0))))</f>
        <v>0</v>
      </c>
      <c r="BD259" s="462">
        <f>IF(AND(AT259&lt;&gt;0,AX259&gt;=MAXSSDI),SSDI*MAXSSDI*P259,IF(AT259&lt;&gt;0,SSDI*W259,0))</f>
        <v>2353.52</v>
      </c>
      <c r="BE259" s="462">
        <f>IF(AT259&lt;&gt;0,SSHI*W259,0)</f>
        <v>550.42000000000007</v>
      </c>
      <c r="BF259" s="462">
        <f>IF(AND(AT259&lt;&gt;0,AN259&lt;&gt;"NE"),VLOOKUP(AN259,Retirement_Rates,3,FALSE)*W259,0)</f>
        <v>4532.424</v>
      </c>
      <c r="BG259" s="462">
        <f>IF(AND(AT259&lt;&gt;0,AJ259&lt;&gt;"PF"),Life*W259,0)</f>
        <v>273.69159999999999</v>
      </c>
      <c r="BH259" s="462">
        <f>IF(AND(AT259&lt;&gt;0,AM259="Y"),UI*W259,0)</f>
        <v>186.00399999999999</v>
      </c>
      <c r="BI259" s="462">
        <f>IF(AND(AT259&lt;&gt;0,N259&lt;&gt;"NR"),DHR*W259,0)</f>
        <v>116.15759999999999</v>
      </c>
      <c r="BJ259" s="462">
        <f>IF(AT259&lt;&gt;0,WC*W259,0)</f>
        <v>1021.124</v>
      </c>
      <c r="BK259" s="462">
        <f>IF(OR(AND(AT259&lt;&gt;0,AJ259&lt;&gt;"PF",AN259&lt;&gt;"NE",AG259&lt;&gt;"A"),AND(AL259="E",OR(AT259=1,AT259=3))),Sick*W259,0)</f>
        <v>0</v>
      </c>
      <c r="BL259" s="462">
        <f t="shared" ref="BL259:BL322" si="73">IF(AT259=1,SUM(BD259:BK259),0)</f>
        <v>9033.3411999999989</v>
      </c>
      <c r="BM259" s="462">
        <f t="shared" ref="BM259:BM322" si="74">IF(AT259=3,SUM(BD259:BK259),0)</f>
        <v>0</v>
      </c>
      <c r="BN259" s="462">
        <f>IF(AND(AT259=1,AK259="E",AU259&gt;=0.75,AW259=1),HealthBY,IF(AND(AT259=1,AK259="E",AU259&gt;=0.75),HealthBY*P259,IF(AND(AT259=1,AK259="E",AU259&gt;=0.5,AW259=1),PTHealthBY,IF(AND(AT259=1,AK259="E",AU259&gt;=0.5),PTHealthBY*P259,0))))</f>
        <v>5825</v>
      </c>
      <c r="BO259" s="462">
        <f>IF(AND(AT259=3,AK259="E",AV259&gt;=0.75,AW259=1),HealthBY,IF(AND(AT259=3,AK259="E",AV259&gt;=0.75),HealthBY*P259,IF(AND(AT259=3,AK259="E",AV259&gt;=0.5,AW259=1),PTHealthBY,IF(AND(AT259=3,AK259="E",AV259&gt;=0.5),PTHealthBY*P259,0))))</f>
        <v>0</v>
      </c>
      <c r="BP259" s="462">
        <f>IF(AND(AT259&lt;&gt;0,(AX259+BA259)&gt;=MAXSSDIBY),SSDIBY*MAXSSDIBY*P259,IF(AT259&lt;&gt;0,SSDIBY*W259,0))</f>
        <v>2353.52</v>
      </c>
      <c r="BQ259" s="462">
        <f>IF(AT259&lt;&gt;0,SSHIBY*W259,0)</f>
        <v>550.42000000000007</v>
      </c>
      <c r="BR259" s="462">
        <f>IF(AND(AT259&lt;&gt;0,AN259&lt;&gt;"NE"),VLOOKUP(AN259,Retirement_Rates,4,FALSE)*W259,0)</f>
        <v>4532.424</v>
      </c>
      <c r="BS259" s="462">
        <f>IF(AND(AT259&lt;&gt;0,AJ259&lt;&gt;"PF"),LifeBY*W259,0)</f>
        <v>273.69159999999999</v>
      </c>
      <c r="BT259" s="462">
        <f>IF(AND(AT259&lt;&gt;0,AM259="Y"),UIBY*W259,0)</f>
        <v>0</v>
      </c>
      <c r="BU259" s="462">
        <f>IF(AND(AT259&lt;&gt;0,N259&lt;&gt;"NR"),DHRBY*W259,0)</f>
        <v>116.15759999999999</v>
      </c>
      <c r="BV259" s="462">
        <f>IF(AT259&lt;&gt;0,WCBY*W259,0)</f>
        <v>1317.212</v>
      </c>
      <c r="BW259" s="462">
        <f>IF(OR(AND(AT259&lt;&gt;0,AJ259&lt;&gt;"PF",AN259&lt;&gt;"NE",AG259&lt;&gt;"A"),AND(AL259="E",OR(AT259=1,AT259=3))),SickBY*W259,0)</f>
        <v>0</v>
      </c>
      <c r="BX259" s="462">
        <f t="shared" ref="BX259:BX322" si="75">IF(AT259=1,SUM(BP259:BW259),0)</f>
        <v>9143.4251999999997</v>
      </c>
      <c r="BY259" s="462">
        <f t="shared" ref="BY259:BY322" si="76">IF(AT259=3,SUM(BP259:BW259),0)</f>
        <v>0</v>
      </c>
      <c r="BZ259" s="462">
        <f t="shared" ref="BZ259:BZ322" si="77">IF(AT259=1,BN259-BB259,0)</f>
        <v>0</v>
      </c>
      <c r="CA259" s="462">
        <f t="shared" ref="CA259:CA322" si="78">IF(AT259=3,BO259-BC259,0)</f>
        <v>0</v>
      </c>
      <c r="CB259" s="462">
        <f t="shared" ref="CB259:CB322" si="79">BP259-BD259</f>
        <v>0</v>
      </c>
      <c r="CC259" s="462">
        <f>IF(AT259&lt;&gt;0,SSHICHG*Y259,0)</f>
        <v>0</v>
      </c>
      <c r="CD259" s="462">
        <f>IF(AND(AT259&lt;&gt;0,AN259&lt;&gt;"NE"),VLOOKUP(AN259,Retirement_Rates,5,FALSE)*Y259,0)</f>
        <v>0</v>
      </c>
      <c r="CE259" s="462">
        <f>IF(AND(AT259&lt;&gt;0,AJ259&lt;&gt;"PF"),LifeCHG*Y259,0)</f>
        <v>0</v>
      </c>
      <c r="CF259" s="462">
        <f>IF(AND(AT259&lt;&gt;0,AM259="Y"),UICHG*Y259,0)</f>
        <v>-186.00399999999999</v>
      </c>
      <c r="CG259" s="462">
        <f>IF(AND(AT259&lt;&gt;0,N259&lt;&gt;"NR"),DHRCHG*Y259,0)</f>
        <v>0</v>
      </c>
      <c r="CH259" s="462">
        <f>IF(AT259&lt;&gt;0,WCCHG*Y259,0)</f>
        <v>296.08800000000008</v>
      </c>
      <c r="CI259" s="462">
        <f>IF(OR(AND(AT259&lt;&gt;0,AJ259&lt;&gt;"PF",AN259&lt;&gt;"NE",AG259&lt;&gt;"A"),AND(AL259="E",OR(AT259=1,AT259=3))),SickCHG*Y259,0)</f>
        <v>0</v>
      </c>
      <c r="CJ259" s="462">
        <f t="shared" ref="CJ259:CJ322" si="80">IF(AT259=1,SUM(CB259:CI259),0)</f>
        <v>110.08400000000009</v>
      </c>
      <c r="CK259" s="462" t="str">
        <f t="shared" ref="CK259:CK322" si="81">IF(AT259=3,SUM(CB259:CI259),"")</f>
        <v/>
      </c>
      <c r="CL259" s="462" t="str">
        <f t="shared" ref="CL259:CL322" si="82">IF(OR(N259="NG",AG259="D"),(T259+U259),"")</f>
        <v/>
      </c>
      <c r="CM259" s="462" t="str">
        <f t="shared" ref="CM259:CM322" si="83">IF(OR(N259="NG",AG259="D"),V259,"")</f>
        <v/>
      </c>
      <c r="CN259" s="462" t="str">
        <f t="shared" ref="CN259:CN322" si="84">E259 &amp; "-" &amp; F259</f>
        <v>0247-06</v>
      </c>
    </row>
    <row r="260" spans="1:92" ht="15" thickBot="1" x14ac:dyDescent="0.35">
      <c r="A260" s="376" t="s">
        <v>161</v>
      </c>
      <c r="B260" s="376" t="s">
        <v>162</v>
      </c>
      <c r="C260" s="376" t="s">
        <v>918</v>
      </c>
      <c r="D260" s="376" t="s">
        <v>919</v>
      </c>
      <c r="E260" s="376" t="s">
        <v>416</v>
      </c>
      <c r="F260" s="382" t="s">
        <v>417</v>
      </c>
      <c r="G260" s="376" t="s">
        <v>432</v>
      </c>
      <c r="H260" s="378"/>
      <c r="I260" s="378"/>
      <c r="J260" s="376" t="s">
        <v>229</v>
      </c>
      <c r="K260" s="376" t="s">
        <v>920</v>
      </c>
      <c r="L260" s="376" t="s">
        <v>170</v>
      </c>
      <c r="M260" s="376" t="s">
        <v>171</v>
      </c>
      <c r="N260" s="376" t="s">
        <v>172</v>
      </c>
      <c r="O260" s="379">
        <v>1</v>
      </c>
      <c r="P260" s="460">
        <v>0.5</v>
      </c>
      <c r="Q260" s="460">
        <v>0.5</v>
      </c>
      <c r="R260" s="380">
        <v>80</v>
      </c>
      <c r="S260" s="460">
        <v>0.5</v>
      </c>
      <c r="T260" s="380">
        <v>31100.06</v>
      </c>
      <c r="U260" s="380">
        <v>0</v>
      </c>
      <c r="V260" s="380">
        <v>12361.42</v>
      </c>
      <c r="W260" s="380">
        <v>31980</v>
      </c>
      <c r="X260" s="380">
        <v>13435.27</v>
      </c>
      <c r="Y260" s="380">
        <v>31980</v>
      </c>
      <c r="Z260" s="380">
        <v>13528.01</v>
      </c>
      <c r="AA260" s="376" t="s">
        <v>921</v>
      </c>
      <c r="AB260" s="376" t="s">
        <v>922</v>
      </c>
      <c r="AC260" s="376" t="s">
        <v>566</v>
      </c>
      <c r="AD260" s="376" t="s">
        <v>171</v>
      </c>
      <c r="AE260" s="376" t="s">
        <v>920</v>
      </c>
      <c r="AF260" s="376" t="s">
        <v>177</v>
      </c>
      <c r="AG260" s="376" t="s">
        <v>178</v>
      </c>
      <c r="AH260" s="381">
        <v>30.75</v>
      </c>
      <c r="AI260" s="381">
        <v>62562.6</v>
      </c>
      <c r="AJ260" s="376" t="s">
        <v>179</v>
      </c>
      <c r="AK260" s="376" t="s">
        <v>180</v>
      </c>
      <c r="AL260" s="376" t="s">
        <v>181</v>
      </c>
      <c r="AM260" s="376" t="s">
        <v>182</v>
      </c>
      <c r="AN260" s="376" t="s">
        <v>68</v>
      </c>
      <c r="AO260" s="379">
        <v>80</v>
      </c>
      <c r="AP260" s="460">
        <v>1</v>
      </c>
      <c r="AQ260" s="460">
        <v>0.5</v>
      </c>
      <c r="AR260" s="458" t="s">
        <v>183</v>
      </c>
      <c r="AS260" s="462">
        <f t="shared" si="68"/>
        <v>0.5</v>
      </c>
      <c r="AT260">
        <f t="shared" si="69"/>
        <v>1</v>
      </c>
      <c r="AU260" s="462">
        <f>IF(AT260=0,"",IF(AND(AT260=1,M260="F",SUMIF(C2:C391,C260,AS2:AS391)&lt;=1),SUMIF(C2:C391,C260,AS2:AS391),IF(AND(AT260=1,M260="F",SUMIF(C2:C391,C260,AS2:AS391)&gt;1),1,"")))</f>
        <v>1</v>
      </c>
      <c r="AV260" s="462" t="str">
        <f>IF(AT260=0,"",IF(AND(AT260=3,M260="F",SUMIF(C2:C391,C260,AS2:AS391)&lt;=1),SUMIF(C2:C391,C260,AS2:AS391),IF(AND(AT260=3,M260="F",SUMIF(C2:C391,C260,AS2:AS391)&gt;1),1,"")))</f>
        <v/>
      </c>
      <c r="AW260" s="462">
        <f>SUMIF(C2:C391,C260,O2:O391)</f>
        <v>3</v>
      </c>
      <c r="AX260" s="462">
        <f>IF(AND(M260="F",AS260&lt;&gt;0),SUMIF(C2:C391,C260,W2:W391),0)</f>
        <v>63960</v>
      </c>
      <c r="AY260" s="462">
        <f t="shared" si="70"/>
        <v>31980</v>
      </c>
      <c r="AZ260" s="462" t="str">
        <f t="shared" si="71"/>
        <v/>
      </c>
      <c r="BA260" s="462">
        <f t="shared" si="72"/>
        <v>0</v>
      </c>
      <c r="BB260" s="462">
        <f>IF(AND(AT260=1,AK260="E",AU260&gt;=0.75,AW260=1),Health,IF(AND(AT260=1,AK260="E",AU260&gt;=0.75),Health*P260,IF(AND(AT260=1,AK260="E",AU260&gt;=0.5,AW260=1),PTHealth,IF(AND(AT260=1,AK260="E",AU260&gt;=0.5),PTHealth*P260,0))))</f>
        <v>5825</v>
      </c>
      <c r="BC260" s="462">
        <f>IF(AND(AT260=3,AK260="E",AV260&gt;=0.75,AW260=1),Health,IF(AND(AT260=3,AK260="E",AV260&gt;=0.75),Health*P260,IF(AND(AT260=3,AK260="E",AV260&gt;=0.5,AW260=1),PTHealth,IF(AND(AT260=3,AK260="E",AV260&gt;=0.5),PTHealth*P260,0))))</f>
        <v>0</v>
      </c>
      <c r="BD260" s="462">
        <f>IF(AND(AT260&lt;&gt;0,AX260&gt;=MAXSSDI),SSDI*MAXSSDI*P260,IF(AT260&lt;&gt;0,SSDI*W260,0))</f>
        <v>1982.76</v>
      </c>
      <c r="BE260" s="462">
        <f>IF(AT260&lt;&gt;0,SSHI*W260,0)</f>
        <v>463.71000000000004</v>
      </c>
      <c r="BF260" s="462">
        <f>IF(AND(AT260&lt;&gt;0,AN260&lt;&gt;"NE"),VLOOKUP(AN260,Retirement_Rates,3,FALSE)*W260,0)</f>
        <v>3818.4120000000003</v>
      </c>
      <c r="BG260" s="462">
        <f>IF(AND(AT260&lt;&gt;0,AJ260&lt;&gt;"PF"),Life*W260,0)</f>
        <v>230.57580000000002</v>
      </c>
      <c r="BH260" s="462">
        <f>IF(AND(AT260&lt;&gt;0,AM260="Y"),UI*W260,0)</f>
        <v>156.702</v>
      </c>
      <c r="BI260" s="462">
        <f>IF(AND(AT260&lt;&gt;0,N260&lt;&gt;"NR"),DHR*W260,0)</f>
        <v>97.858799999999988</v>
      </c>
      <c r="BJ260" s="462">
        <f>IF(AT260&lt;&gt;0,WC*W260,0)</f>
        <v>860.26200000000006</v>
      </c>
      <c r="BK260" s="462">
        <f>IF(OR(AND(AT260&lt;&gt;0,AJ260&lt;&gt;"PF",AN260&lt;&gt;"NE",AG260&lt;&gt;"A"),AND(AL260="E",OR(AT260=1,AT260=3))),Sick*W260,0)</f>
        <v>0</v>
      </c>
      <c r="BL260" s="462">
        <f t="shared" si="73"/>
        <v>7610.2806</v>
      </c>
      <c r="BM260" s="462">
        <f t="shared" si="74"/>
        <v>0</v>
      </c>
      <c r="BN260" s="462">
        <f>IF(AND(AT260=1,AK260="E",AU260&gt;=0.75,AW260=1),HealthBY,IF(AND(AT260=1,AK260="E",AU260&gt;=0.75),HealthBY*P260,IF(AND(AT260=1,AK260="E",AU260&gt;=0.5,AW260=1),PTHealthBY,IF(AND(AT260=1,AK260="E",AU260&gt;=0.5),PTHealthBY*P260,0))))</f>
        <v>5825</v>
      </c>
      <c r="BO260" s="462">
        <f>IF(AND(AT260=3,AK260="E",AV260&gt;=0.75,AW260=1),HealthBY,IF(AND(AT260=3,AK260="E",AV260&gt;=0.75),HealthBY*P260,IF(AND(AT260=3,AK260="E",AV260&gt;=0.5,AW260=1),PTHealthBY,IF(AND(AT260=3,AK260="E",AV260&gt;=0.5),PTHealthBY*P260,0))))</f>
        <v>0</v>
      </c>
      <c r="BP260" s="462">
        <f>IF(AND(AT260&lt;&gt;0,(AX260+BA260)&gt;=MAXSSDIBY),SSDIBY*MAXSSDIBY*P260,IF(AT260&lt;&gt;0,SSDIBY*W260,0))</f>
        <v>1982.76</v>
      </c>
      <c r="BQ260" s="462">
        <f>IF(AT260&lt;&gt;0,SSHIBY*W260,0)</f>
        <v>463.71000000000004</v>
      </c>
      <c r="BR260" s="462">
        <f>IF(AND(AT260&lt;&gt;0,AN260&lt;&gt;"NE"),VLOOKUP(AN260,Retirement_Rates,4,FALSE)*W260,0)</f>
        <v>3818.4120000000003</v>
      </c>
      <c r="BS260" s="462">
        <f>IF(AND(AT260&lt;&gt;0,AJ260&lt;&gt;"PF"),LifeBY*W260,0)</f>
        <v>230.57580000000002</v>
      </c>
      <c r="BT260" s="462">
        <f>IF(AND(AT260&lt;&gt;0,AM260="Y"),UIBY*W260,0)</f>
        <v>0</v>
      </c>
      <c r="BU260" s="462">
        <f>IF(AND(AT260&lt;&gt;0,N260&lt;&gt;"NR"),DHRBY*W260,0)</f>
        <v>97.858799999999988</v>
      </c>
      <c r="BV260" s="462">
        <f>IF(AT260&lt;&gt;0,WCBY*W260,0)</f>
        <v>1109.7060000000001</v>
      </c>
      <c r="BW260" s="462">
        <f>IF(OR(AND(AT260&lt;&gt;0,AJ260&lt;&gt;"PF",AN260&lt;&gt;"NE",AG260&lt;&gt;"A"),AND(AL260="E",OR(AT260=1,AT260=3))),SickBY*W260,0)</f>
        <v>0</v>
      </c>
      <c r="BX260" s="462">
        <f t="shared" si="75"/>
        <v>7703.0226000000002</v>
      </c>
      <c r="BY260" s="462">
        <f t="shared" si="76"/>
        <v>0</v>
      </c>
      <c r="BZ260" s="462">
        <f t="shared" si="77"/>
        <v>0</v>
      </c>
      <c r="CA260" s="462">
        <f t="shared" si="78"/>
        <v>0</v>
      </c>
      <c r="CB260" s="462">
        <f t="shared" si="79"/>
        <v>0</v>
      </c>
      <c r="CC260" s="462">
        <f>IF(AT260&lt;&gt;0,SSHICHG*Y260,0)</f>
        <v>0</v>
      </c>
      <c r="CD260" s="462">
        <f>IF(AND(AT260&lt;&gt;0,AN260&lt;&gt;"NE"),VLOOKUP(AN260,Retirement_Rates,5,FALSE)*Y260,0)</f>
        <v>0</v>
      </c>
      <c r="CE260" s="462">
        <f>IF(AND(AT260&lt;&gt;0,AJ260&lt;&gt;"PF"),LifeCHG*Y260,0)</f>
        <v>0</v>
      </c>
      <c r="CF260" s="462">
        <f>IF(AND(AT260&lt;&gt;0,AM260="Y"),UICHG*Y260,0)</f>
        <v>-156.702</v>
      </c>
      <c r="CG260" s="462">
        <f>IF(AND(AT260&lt;&gt;0,N260&lt;&gt;"NR"),DHRCHG*Y260,0)</f>
        <v>0</v>
      </c>
      <c r="CH260" s="462">
        <f>IF(AT260&lt;&gt;0,WCCHG*Y260,0)</f>
        <v>249.44400000000005</v>
      </c>
      <c r="CI260" s="462">
        <f>IF(OR(AND(AT260&lt;&gt;0,AJ260&lt;&gt;"PF",AN260&lt;&gt;"NE",AG260&lt;&gt;"A"),AND(AL260="E",OR(AT260=1,AT260=3))),SickCHG*Y260,0)</f>
        <v>0</v>
      </c>
      <c r="CJ260" s="462">
        <f t="shared" si="80"/>
        <v>92.742000000000047</v>
      </c>
      <c r="CK260" s="462" t="str">
        <f t="shared" si="81"/>
        <v/>
      </c>
      <c r="CL260" s="462" t="str">
        <f t="shared" si="82"/>
        <v/>
      </c>
      <c r="CM260" s="462" t="str">
        <f t="shared" si="83"/>
        <v/>
      </c>
      <c r="CN260" s="462" t="str">
        <f t="shared" si="84"/>
        <v>0247-06</v>
      </c>
    </row>
    <row r="261" spans="1:92" ht="15" thickBot="1" x14ac:dyDescent="0.35">
      <c r="A261" s="376" t="s">
        <v>161</v>
      </c>
      <c r="B261" s="376" t="s">
        <v>162</v>
      </c>
      <c r="C261" s="376" t="s">
        <v>923</v>
      </c>
      <c r="D261" s="376" t="s">
        <v>690</v>
      </c>
      <c r="E261" s="376" t="s">
        <v>416</v>
      </c>
      <c r="F261" s="382" t="s">
        <v>417</v>
      </c>
      <c r="G261" s="376" t="s">
        <v>432</v>
      </c>
      <c r="H261" s="378"/>
      <c r="I261" s="378"/>
      <c r="J261" s="376" t="s">
        <v>193</v>
      </c>
      <c r="K261" s="376" t="s">
        <v>691</v>
      </c>
      <c r="L261" s="376" t="s">
        <v>170</v>
      </c>
      <c r="M261" s="376" t="s">
        <v>171</v>
      </c>
      <c r="N261" s="376" t="s">
        <v>172</v>
      </c>
      <c r="O261" s="379">
        <v>1</v>
      </c>
      <c r="P261" s="460">
        <v>0.03</v>
      </c>
      <c r="Q261" s="460">
        <v>0.03</v>
      </c>
      <c r="R261" s="380">
        <v>80</v>
      </c>
      <c r="S261" s="460">
        <v>0.03</v>
      </c>
      <c r="T261" s="380">
        <v>1938.35</v>
      </c>
      <c r="U261" s="380">
        <v>0</v>
      </c>
      <c r="V261" s="380">
        <v>755.08</v>
      </c>
      <c r="W261" s="380">
        <v>1984.32</v>
      </c>
      <c r="X261" s="380">
        <v>821.7</v>
      </c>
      <c r="Y261" s="380">
        <v>1984.32</v>
      </c>
      <c r="Z261" s="380">
        <v>827.46</v>
      </c>
      <c r="AA261" s="376" t="s">
        <v>924</v>
      </c>
      <c r="AB261" s="376" t="s">
        <v>925</v>
      </c>
      <c r="AC261" s="376" t="s">
        <v>445</v>
      </c>
      <c r="AD261" s="376" t="s">
        <v>324</v>
      </c>
      <c r="AE261" s="376" t="s">
        <v>691</v>
      </c>
      <c r="AF261" s="376" t="s">
        <v>177</v>
      </c>
      <c r="AG261" s="376" t="s">
        <v>178</v>
      </c>
      <c r="AH261" s="381">
        <v>31.8</v>
      </c>
      <c r="AI261" s="381">
        <v>31516.5</v>
      </c>
      <c r="AJ261" s="376" t="s">
        <v>179</v>
      </c>
      <c r="AK261" s="376" t="s">
        <v>180</v>
      </c>
      <c r="AL261" s="376" t="s">
        <v>181</v>
      </c>
      <c r="AM261" s="376" t="s">
        <v>182</v>
      </c>
      <c r="AN261" s="376" t="s">
        <v>68</v>
      </c>
      <c r="AO261" s="379">
        <v>80</v>
      </c>
      <c r="AP261" s="460">
        <v>1</v>
      </c>
      <c r="AQ261" s="460">
        <v>0.03</v>
      </c>
      <c r="AR261" s="458" t="s">
        <v>183</v>
      </c>
      <c r="AS261" s="462">
        <f t="shared" si="68"/>
        <v>0.03</v>
      </c>
      <c r="AT261">
        <f t="shared" si="69"/>
        <v>1</v>
      </c>
      <c r="AU261" s="462">
        <f>IF(AT261=0,"",IF(AND(AT261=1,M261="F",SUMIF(C2:C391,C261,AS2:AS391)&lt;=1),SUMIF(C2:C391,C261,AS2:AS391),IF(AND(AT261=1,M261="F",SUMIF(C2:C391,C261,AS2:AS391)&gt;1),1,"")))</f>
        <v>1</v>
      </c>
      <c r="AV261" s="462" t="str">
        <f>IF(AT261=0,"",IF(AND(AT261=3,M261="F",SUMIF(C2:C391,C261,AS2:AS391)&lt;=1),SUMIF(C2:C391,C261,AS2:AS391),IF(AND(AT261=3,M261="F",SUMIF(C2:C391,C261,AS2:AS391)&gt;1),1,"")))</f>
        <v/>
      </c>
      <c r="AW261" s="462">
        <f>SUMIF(C2:C391,C261,O2:O391)</f>
        <v>2</v>
      </c>
      <c r="AX261" s="462">
        <f>IF(AND(M261="F",AS261&lt;&gt;0),SUMIF(C2:C391,C261,W2:W391),0)</f>
        <v>66144</v>
      </c>
      <c r="AY261" s="462">
        <f t="shared" si="70"/>
        <v>1984.32</v>
      </c>
      <c r="AZ261" s="462" t="str">
        <f t="shared" si="71"/>
        <v/>
      </c>
      <c r="BA261" s="462">
        <f t="shared" si="72"/>
        <v>0</v>
      </c>
      <c r="BB261" s="462">
        <f>IF(AND(AT261=1,AK261="E",AU261&gt;=0.75,AW261=1),Health,IF(AND(AT261=1,AK261="E",AU261&gt;=0.75),Health*P261,IF(AND(AT261=1,AK261="E",AU261&gt;=0.5,AW261=1),PTHealth,IF(AND(AT261=1,AK261="E",AU261&gt;=0.5),PTHealth*P261,0))))</f>
        <v>349.5</v>
      </c>
      <c r="BC261" s="462">
        <f>IF(AND(AT261=3,AK261="E",AV261&gt;=0.75,AW261=1),Health,IF(AND(AT261=3,AK261="E",AV261&gt;=0.75),Health*P261,IF(AND(AT261=3,AK261="E",AV261&gt;=0.5,AW261=1),PTHealth,IF(AND(AT261=3,AK261="E",AV261&gt;=0.5),PTHealth*P261,0))))</f>
        <v>0</v>
      </c>
      <c r="BD261" s="462">
        <f>IF(AND(AT261&lt;&gt;0,AX261&gt;=MAXSSDI),SSDI*MAXSSDI*P261,IF(AT261&lt;&gt;0,SSDI*W261,0))</f>
        <v>123.02784</v>
      </c>
      <c r="BE261" s="462">
        <f>IF(AT261&lt;&gt;0,SSHI*W261,0)</f>
        <v>28.772639999999999</v>
      </c>
      <c r="BF261" s="462">
        <f>IF(AND(AT261&lt;&gt;0,AN261&lt;&gt;"NE"),VLOOKUP(AN261,Retirement_Rates,3,FALSE)*W261,0)</f>
        <v>236.927808</v>
      </c>
      <c r="BG261" s="462">
        <f>IF(AND(AT261&lt;&gt;0,AJ261&lt;&gt;"PF"),Life*W261,0)</f>
        <v>14.3069472</v>
      </c>
      <c r="BH261" s="462">
        <f>IF(AND(AT261&lt;&gt;0,AM261="Y"),UI*W261,0)</f>
        <v>9.7231679999999994</v>
      </c>
      <c r="BI261" s="462">
        <f>IF(AND(AT261&lt;&gt;0,N261&lt;&gt;"NR"),DHR*W261,0)</f>
        <v>6.0720191999999997</v>
      </c>
      <c r="BJ261" s="462">
        <f>IF(AT261&lt;&gt;0,WC*W261,0)</f>
        <v>53.378208000000001</v>
      </c>
      <c r="BK261" s="462">
        <f>IF(OR(AND(AT261&lt;&gt;0,AJ261&lt;&gt;"PF",AN261&lt;&gt;"NE",AG261&lt;&gt;"A"),AND(AL261="E",OR(AT261=1,AT261=3))),Sick*W261,0)</f>
        <v>0</v>
      </c>
      <c r="BL261" s="462">
        <f t="shared" si="73"/>
        <v>472.20863040000006</v>
      </c>
      <c r="BM261" s="462">
        <f t="shared" si="74"/>
        <v>0</v>
      </c>
      <c r="BN261" s="462">
        <f>IF(AND(AT261=1,AK261="E",AU261&gt;=0.75,AW261=1),HealthBY,IF(AND(AT261=1,AK261="E",AU261&gt;=0.75),HealthBY*P261,IF(AND(AT261=1,AK261="E",AU261&gt;=0.5,AW261=1),PTHealthBY,IF(AND(AT261=1,AK261="E",AU261&gt;=0.5),PTHealthBY*P261,0))))</f>
        <v>349.5</v>
      </c>
      <c r="BO261" s="462">
        <f>IF(AND(AT261=3,AK261="E",AV261&gt;=0.75,AW261=1),HealthBY,IF(AND(AT261=3,AK261="E",AV261&gt;=0.75),HealthBY*P261,IF(AND(AT261=3,AK261="E",AV261&gt;=0.5,AW261=1),PTHealthBY,IF(AND(AT261=3,AK261="E",AV261&gt;=0.5),PTHealthBY*P261,0))))</f>
        <v>0</v>
      </c>
      <c r="BP261" s="462">
        <f>IF(AND(AT261&lt;&gt;0,(AX261+BA261)&gt;=MAXSSDIBY),SSDIBY*MAXSSDIBY*P261,IF(AT261&lt;&gt;0,SSDIBY*W261,0))</f>
        <v>123.02784</v>
      </c>
      <c r="BQ261" s="462">
        <f>IF(AT261&lt;&gt;0,SSHIBY*W261,0)</f>
        <v>28.772639999999999</v>
      </c>
      <c r="BR261" s="462">
        <f>IF(AND(AT261&lt;&gt;0,AN261&lt;&gt;"NE"),VLOOKUP(AN261,Retirement_Rates,4,FALSE)*W261,0)</f>
        <v>236.927808</v>
      </c>
      <c r="BS261" s="462">
        <f>IF(AND(AT261&lt;&gt;0,AJ261&lt;&gt;"PF"),LifeBY*W261,0)</f>
        <v>14.3069472</v>
      </c>
      <c r="BT261" s="462">
        <f>IF(AND(AT261&lt;&gt;0,AM261="Y"),UIBY*W261,0)</f>
        <v>0</v>
      </c>
      <c r="BU261" s="462">
        <f>IF(AND(AT261&lt;&gt;0,N261&lt;&gt;"NR"),DHRBY*W261,0)</f>
        <v>6.0720191999999997</v>
      </c>
      <c r="BV261" s="462">
        <f>IF(AT261&lt;&gt;0,WCBY*W261,0)</f>
        <v>68.855903999999995</v>
      </c>
      <c r="BW261" s="462">
        <f>IF(OR(AND(AT261&lt;&gt;0,AJ261&lt;&gt;"PF",AN261&lt;&gt;"NE",AG261&lt;&gt;"A"),AND(AL261="E",OR(AT261=1,AT261=3))),SickBY*W261,0)</f>
        <v>0</v>
      </c>
      <c r="BX261" s="462">
        <f t="shared" si="75"/>
        <v>477.96315840000005</v>
      </c>
      <c r="BY261" s="462">
        <f t="shared" si="76"/>
        <v>0</v>
      </c>
      <c r="BZ261" s="462">
        <f t="shared" si="77"/>
        <v>0</v>
      </c>
      <c r="CA261" s="462">
        <f t="shared" si="78"/>
        <v>0</v>
      </c>
      <c r="CB261" s="462">
        <f t="shared" si="79"/>
        <v>0</v>
      </c>
      <c r="CC261" s="462">
        <f>IF(AT261&lt;&gt;0,SSHICHG*Y261,0)</f>
        <v>0</v>
      </c>
      <c r="CD261" s="462">
        <f>IF(AND(AT261&lt;&gt;0,AN261&lt;&gt;"NE"),VLOOKUP(AN261,Retirement_Rates,5,FALSE)*Y261,0)</f>
        <v>0</v>
      </c>
      <c r="CE261" s="462">
        <f>IF(AND(AT261&lt;&gt;0,AJ261&lt;&gt;"PF"),LifeCHG*Y261,0)</f>
        <v>0</v>
      </c>
      <c r="CF261" s="462">
        <f>IF(AND(AT261&lt;&gt;0,AM261="Y"),UICHG*Y261,0)</f>
        <v>-9.7231679999999994</v>
      </c>
      <c r="CG261" s="462">
        <f>IF(AND(AT261&lt;&gt;0,N261&lt;&gt;"NR"),DHRCHG*Y261,0)</f>
        <v>0</v>
      </c>
      <c r="CH261" s="462">
        <f>IF(AT261&lt;&gt;0,WCCHG*Y261,0)</f>
        <v>15.477696000000002</v>
      </c>
      <c r="CI261" s="462">
        <f>IF(OR(AND(AT261&lt;&gt;0,AJ261&lt;&gt;"PF",AN261&lt;&gt;"NE",AG261&lt;&gt;"A"),AND(AL261="E",OR(AT261=1,AT261=3))),SickCHG*Y261,0)</f>
        <v>0</v>
      </c>
      <c r="CJ261" s="462">
        <f t="shared" si="80"/>
        <v>5.7545280000000023</v>
      </c>
      <c r="CK261" s="462" t="str">
        <f t="shared" si="81"/>
        <v/>
      </c>
      <c r="CL261" s="462" t="str">
        <f t="shared" si="82"/>
        <v/>
      </c>
      <c r="CM261" s="462" t="str">
        <f t="shared" si="83"/>
        <v/>
      </c>
      <c r="CN261" s="462" t="str">
        <f t="shared" si="84"/>
        <v>0247-06</v>
      </c>
    </row>
    <row r="262" spans="1:92" ht="15" thickBot="1" x14ac:dyDescent="0.35">
      <c r="A262" s="376" t="s">
        <v>161</v>
      </c>
      <c r="B262" s="376" t="s">
        <v>162</v>
      </c>
      <c r="C262" s="376" t="s">
        <v>926</v>
      </c>
      <c r="D262" s="376" t="s">
        <v>907</v>
      </c>
      <c r="E262" s="376" t="s">
        <v>416</v>
      </c>
      <c r="F262" s="382" t="s">
        <v>417</v>
      </c>
      <c r="G262" s="376" t="s">
        <v>432</v>
      </c>
      <c r="H262" s="378"/>
      <c r="I262" s="378"/>
      <c r="J262" s="376" t="s">
        <v>193</v>
      </c>
      <c r="K262" s="376" t="s">
        <v>908</v>
      </c>
      <c r="L262" s="376" t="s">
        <v>178</v>
      </c>
      <c r="M262" s="376" t="s">
        <v>171</v>
      </c>
      <c r="N262" s="376" t="s">
        <v>172</v>
      </c>
      <c r="O262" s="379">
        <v>1</v>
      </c>
      <c r="P262" s="460">
        <v>0.4</v>
      </c>
      <c r="Q262" s="460">
        <v>0.4</v>
      </c>
      <c r="R262" s="380">
        <v>80</v>
      </c>
      <c r="S262" s="460">
        <v>0.4</v>
      </c>
      <c r="T262" s="380">
        <v>0</v>
      </c>
      <c r="U262" s="380">
        <v>0</v>
      </c>
      <c r="V262" s="380">
        <v>0</v>
      </c>
      <c r="W262" s="380">
        <v>14834.56</v>
      </c>
      <c r="X262" s="380">
        <v>8190.16</v>
      </c>
      <c r="Y262" s="380">
        <v>14834.56</v>
      </c>
      <c r="Z262" s="380">
        <v>8233.18</v>
      </c>
      <c r="AA262" s="376" t="s">
        <v>927</v>
      </c>
      <c r="AB262" s="376" t="s">
        <v>928</v>
      </c>
      <c r="AC262" s="376" t="s">
        <v>912</v>
      </c>
      <c r="AD262" s="376" t="s">
        <v>231</v>
      </c>
      <c r="AE262" s="376" t="s">
        <v>908</v>
      </c>
      <c r="AF262" s="376" t="s">
        <v>190</v>
      </c>
      <c r="AG262" s="376" t="s">
        <v>178</v>
      </c>
      <c r="AH262" s="381">
        <v>17.829999999999998</v>
      </c>
      <c r="AI262" s="381">
        <v>8824.2000000000007</v>
      </c>
      <c r="AJ262" s="376" t="s">
        <v>179</v>
      </c>
      <c r="AK262" s="376" t="s">
        <v>180</v>
      </c>
      <c r="AL262" s="376" t="s">
        <v>181</v>
      </c>
      <c r="AM262" s="376" t="s">
        <v>182</v>
      </c>
      <c r="AN262" s="376" t="s">
        <v>68</v>
      </c>
      <c r="AO262" s="379">
        <v>80</v>
      </c>
      <c r="AP262" s="460">
        <v>1</v>
      </c>
      <c r="AQ262" s="460">
        <v>0.4</v>
      </c>
      <c r="AR262" s="458" t="s">
        <v>183</v>
      </c>
      <c r="AS262" s="462">
        <f t="shared" si="68"/>
        <v>0.4</v>
      </c>
      <c r="AT262">
        <f t="shared" si="69"/>
        <v>1</v>
      </c>
      <c r="AU262" s="462">
        <f>IF(AT262=0,"",IF(AND(AT262=1,M262="F",SUMIF(C2:C391,C262,AS2:AS391)&lt;=1),SUMIF(C2:C391,C262,AS2:AS391),IF(AND(AT262=1,M262="F",SUMIF(C2:C391,C262,AS2:AS391)&gt;1),1,"")))</f>
        <v>1</v>
      </c>
      <c r="AV262" s="462" t="str">
        <f>IF(AT262=0,"",IF(AND(AT262=3,M262="F",SUMIF(C2:C391,C262,AS2:AS391)&lt;=1),SUMIF(C2:C391,C262,AS2:AS391),IF(AND(AT262=3,M262="F",SUMIF(C2:C391,C262,AS2:AS391)&gt;1),1,"")))</f>
        <v/>
      </c>
      <c r="AW262" s="462">
        <f>SUMIF(C2:C391,C262,O2:O391)</f>
        <v>2</v>
      </c>
      <c r="AX262" s="462">
        <f>IF(AND(M262="F",AS262&lt;&gt;0),SUMIF(C2:C391,C262,W2:W391),0)</f>
        <v>37086.400000000001</v>
      </c>
      <c r="AY262" s="462">
        <f t="shared" si="70"/>
        <v>14834.56</v>
      </c>
      <c r="AZ262" s="462" t="str">
        <f t="shared" si="71"/>
        <v/>
      </c>
      <c r="BA262" s="462">
        <f t="shared" si="72"/>
        <v>0</v>
      </c>
      <c r="BB262" s="462">
        <f>IF(AND(AT262=1,AK262="E",AU262&gt;=0.75,AW262=1),Health,IF(AND(AT262=1,AK262="E",AU262&gt;=0.75),Health*P262,IF(AND(AT262=1,AK262="E",AU262&gt;=0.5,AW262=1),PTHealth,IF(AND(AT262=1,AK262="E",AU262&gt;=0.5),PTHealth*P262,0))))</f>
        <v>4660</v>
      </c>
      <c r="BC262" s="462">
        <f>IF(AND(AT262=3,AK262="E",AV262&gt;=0.75,AW262=1),Health,IF(AND(AT262=3,AK262="E",AV262&gt;=0.75),Health*P262,IF(AND(AT262=3,AK262="E",AV262&gt;=0.5,AW262=1),PTHealth,IF(AND(AT262=3,AK262="E",AV262&gt;=0.5),PTHealth*P262,0))))</f>
        <v>0</v>
      </c>
      <c r="BD262" s="462">
        <f>IF(AND(AT262&lt;&gt;0,AX262&gt;=MAXSSDI),SSDI*MAXSSDI*P262,IF(AT262&lt;&gt;0,SSDI*W262,0))</f>
        <v>919.74271999999996</v>
      </c>
      <c r="BE262" s="462">
        <f>IF(AT262&lt;&gt;0,SSHI*W262,0)</f>
        <v>215.10112000000001</v>
      </c>
      <c r="BF262" s="462">
        <f>IF(AND(AT262&lt;&gt;0,AN262&lt;&gt;"NE"),VLOOKUP(AN262,Retirement_Rates,3,FALSE)*W262,0)</f>
        <v>1771.2464640000001</v>
      </c>
      <c r="BG262" s="462">
        <f>IF(AND(AT262&lt;&gt;0,AJ262&lt;&gt;"PF"),Life*W262,0)</f>
        <v>106.95717759999999</v>
      </c>
      <c r="BH262" s="462">
        <f>IF(AND(AT262&lt;&gt;0,AM262="Y"),UI*W262,0)</f>
        <v>72.689343999999991</v>
      </c>
      <c r="BI262" s="462">
        <f>IF(AND(AT262&lt;&gt;0,N262&lt;&gt;"NR"),DHR*W262,0)</f>
        <v>45.393753599999997</v>
      </c>
      <c r="BJ262" s="462">
        <f>IF(AT262&lt;&gt;0,WC*W262,0)</f>
        <v>399.04966400000001</v>
      </c>
      <c r="BK262" s="462">
        <f>IF(OR(AND(AT262&lt;&gt;0,AJ262&lt;&gt;"PF",AN262&lt;&gt;"NE",AG262&lt;&gt;"A"),AND(AL262="E",OR(AT262=1,AT262=3))),Sick*W262,0)</f>
        <v>0</v>
      </c>
      <c r="BL262" s="462">
        <f t="shared" si="73"/>
        <v>3530.1802431999999</v>
      </c>
      <c r="BM262" s="462">
        <f t="shared" si="74"/>
        <v>0</v>
      </c>
      <c r="BN262" s="462">
        <f>IF(AND(AT262=1,AK262="E",AU262&gt;=0.75,AW262=1),HealthBY,IF(AND(AT262=1,AK262="E",AU262&gt;=0.75),HealthBY*P262,IF(AND(AT262=1,AK262="E",AU262&gt;=0.5,AW262=1),PTHealthBY,IF(AND(AT262=1,AK262="E",AU262&gt;=0.5),PTHealthBY*P262,0))))</f>
        <v>4660</v>
      </c>
      <c r="BO262" s="462">
        <f>IF(AND(AT262=3,AK262="E",AV262&gt;=0.75,AW262=1),HealthBY,IF(AND(AT262=3,AK262="E",AV262&gt;=0.75),HealthBY*P262,IF(AND(AT262=3,AK262="E",AV262&gt;=0.5,AW262=1),PTHealthBY,IF(AND(AT262=3,AK262="E",AV262&gt;=0.5),PTHealthBY*P262,0))))</f>
        <v>0</v>
      </c>
      <c r="BP262" s="462">
        <f>IF(AND(AT262&lt;&gt;0,(AX262+BA262)&gt;=MAXSSDIBY),SSDIBY*MAXSSDIBY*P262,IF(AT262&lt;&gt;0,SSDIBY*W262,0))</f>
        <v>919.74271999999996</v>
      </c>
      <c r="BQ262" s="462">
        <f>IF(AT262&lt;&gt;0,SSHIBY*W262,0)</f>
        <v>215.10112000000001</v>
      </c>
      <c r="BR262" s="462">
        <f>IF(AND(AT262&lt;&gt;0,AN262&lt;&gt;"NE"),VLOOKUP(AN262,Retirement_Rates,4,FALSE)*W262,0)</f>
        <v>1771.2464640000001</v>
      </c>
      <c r="BS262" s="462">
        <f>IF(AND(AT262&lt;&gt;0,AJ262&lt;&gt;"PF"),LifeBY*W262,0)</f>
        <v>106.95717759999999</v>
      </c>
      <c r="BT262" s="462">
        <f>IF(AND(AT262&lt;&gt;0,AM262="Y"),UIBY*W262,0)</f>
        <v>0</v>
      </c>
      <c r="BU262" s="462">
        <f>IF(AND(AT262&lt;&gt;0,N262&lt;&gt;"NR"),DHRBY*W262,0)</f>
        <v>45.393753599999997</v>
      </c>
      <c r="BV262" s="462">
        <f>IF(AT262&lt;&gt;0,WCBY*W262,0)</f>
        <v>514.759232</v>
      </c>
      <c r="BW262" s="462">
        <f>IF(OR(AND(AT262&lt;&gt;0,AJ262&lt;&gt;"PF",AN262&lt;&gt;"NE",AG262&lt;&gt;"A"),AND(AL262="E",OR(AT262=1,AT262=3))),SickBY*W262,0)</f>
        <v>0</v>
      </c>
      <c r="BX262" s="462">
        <f t="shared" si="75"/>
        <v>3573.2004671999998</v>
      </c>
      <c r="BY262" s="462">
        <f t="shared" si="76"/>
        <v>0</v>
      </c>
      <c r="BZ262" s="462">
        <f t="shared" si="77"/>
        <v>0</v>
      </c>
      <c r="CA262" s="462">
        <f t="shared" si="78"/>
        <v>0</v>
      </c>
      <c r="CB262" s="462">
        <f t="shared" si="79"/>
        <v>0</v>
      </c>
      <c r="CC262" s="462">
        <f>IF(AT262&lt;&gt;0,SSHICHG*Y262,0)</f>
        <v>0</v>
      </c>
      <c r="CD262" s="462">
        <f>IF(AND(AT262&lt;&gt;0,AN262&lt;&gt;"NE"),VLOOKUP(AN262,Retirement_Rates,5,FALSE)*Y262,0)</f>
        <v>0</v>
      </c>
      <c r="CE262" s="462">
        <f>IF(AND(AT262&lt;&gt;0,AJ262&lt;&gt;"PF"),LifeCHG*Y262,0)</f>
        <v>0</v>
      </c>
      <c r="CF262" s="462">
        <f>IF(AND(AT262&lt;&gt;0,AM262="Y"),UICHG*Y262,0)</f>
        <v>-72.689343999999991</v>
      </c>
      <c r="CG262" s="462">
        <f>IF(AND(AT262&lt;&gt;0,N262&lt;&gt;"NR"),DHRCHG*Y262,0)</f>
        <v>0</v>
      </c>
      <c r="CH262" s="462">
        <f>IF(AT262&lt;&gt;0,WCCHG*Y262,0)</f>
        <v>115.70956800000002</v>
      </c>
      <c r="CI262" s="462">
        <f>IF(OR(AND(AT262&lt;&gt;0,AJ262&lt;&gt;"PF",AN262&lt;&gt;"NE",AG262&lt;&gt;"A"),AND(AL262="E",OR(AT262=1,AT262=3))),SickCHG*Y262,0)</f>
        <v>0</v>
      </c>
      <c r="CJ262" s="462">
        <f t="shared" si="80"/>
        <v>43.020224000000027</v>
      </c>
      <c r="CK262" s="462" t="str">
        <f t="shared" si="81"/>
        <v/>
      </c>
      <c r="CL262" s="462" t="str">
        <f t="shared" si="82"/>
        <v/>
      </c>
      <c r="CM262" s="462" t="str">
        <f t="shared" si="83"/>
        <v/>
      </c>
      <c r="CN262" s="462" t="str">
        <f t="shared" si="84"/>
        <v>0247-06</v>
      </c>
    </row>
    <row r="263" spans="1:92" ht="15" thickBot="1" x14ac:dyDescent="0.35">
      <c r="A263" s="376" t="s">
        <v>161</v>
      </c>
      <c r="B263" s="376" t="s">
        <v>162</v>
      </c>
      <c r="C263" s="376" t="s">
        <v>689</v>
      </c>
      <c r="D263" s="376" t="s">
        <v>690</v>
      </c>
      <c r="E263" s="376" t="s">
        <v>416</v>
      </c>
      <c r="F263" s="382" t="s">
        <v>417</v>
      </c>
      <c r="G263" s="376" t="s">
        <v>432</v>
      </c>
      <c r="H263" s="378"/>
      <c r="I263" s="378"/>
      <c r="J263" s="376" t="s">
        <v>193</v>
      </c>
      <c r="K263" s="376" t="s">
        <v>691</v>
      </c>
      <c r="L263" s="376" t="s">
        <v>170</v>
      </c>
      <c r="M263" s="376" t="s">
        <v>171</v>
      </c>
      <c r="N263" s="376" t="s">
        <v>172</v>
      </c>
      <c r="O263" s="379">
        <v>1</v>
      </c>
      <c r="P263" s="460">
        <v>0.5</v>
      </c>
      <c r="Q263" s="460">
        <v>0.5</v>
      </c>
      <c r="R263" s="380">
        <v>80</v>
      </c>
      <c r="S263" s="460">
        <v>0.5</v>
      </c>
      <c r="T263" s="380">
        <v>0</v>
      </c>
      <c r="U263" s="380">
        <v>0</v>
      </c>
      <c r="V263" s="380">
        <v>0</v>
      </c>
      <c r="W263" s="380">
        <v>30045.599999999999</v>
      </c>
      <c r="X263" s="380">
        <v>12974.93</v>
      </c>
      <c r="Y263" s="380">
        <v>30045.599999999999</v>
      </c>
      <c r="Z263" s="380">
        <v>13062.06</v>
      </c>
      <c r="AA263" s="376" t="s">
        <v>692</v>
      </c>
      <c r="AB263" s="376" t="s">
        <v>693</v>
      </c>
      <c r="AC263" s="376" t="s">
        <v>694</v>
      </c>
      <c r="AD263" s="376" t="s">
        <v>324</v>
      </c>
      <c r="AE263" s="376" t="s">
        <v>691</v>
      </c>
      <c r="AF263" s="376" t="s">
        <v>177</v>
      </c>
      <c r="AG263" s="376" t="s">
        <v>178</v>
      </c>
      <c r="AH263" s="381">
        <v>28.89</v>
      </c>
      <c r="AI263" s="381">
        <v>10680.4</v>
      </c>
      <c r="AJ263" s="376" t="s">
        <v>179</v>
      </c>
      <c r="AK263" s="376" t="s">
        <v>180</v>
      </c>
      <c r="AL263" s="376" t="s">
        <v>181</v>
      </c>
      <c r="AM263" s="376" t="s">
        <v>182</v>
      </c>
      <c r="AN263" s="376" t="s">
        <v>68</v>
      </c>
      <c r="AO263" s="379">
        <v>80</v>
      </c>
      <c r="AP263" s="460">
        <v>1</v>
      </c>
      <c r="AQ263" s="460">
        <v>0.5</v>
      </c>
      <c r="AR263" s="458" t="s">
        <v>183</v>
      </c>
      <c r="AS263" s="462">
        <f t="shared" si="68"/>
        <v>0.5</v>
      </c>
      <c r="AT263">
        <f t="shared" si="69"/>
        <v>1</v>
      </c>
      <c r="AU263" s="462">
        <f>IF(AT263=0,"",IF(AND(AT263=1,M263="F",SUMIF(C2:C391,C263,AS2:AS391)&lt;=1),SUMIF(C2:C391,C263,AS2:AS391),IF(AND(AT263=1,M263="F",SUMIF(C2:C391,C263,AS2:AS391)&gt;1),1,"")))</f>
        <v>1</v>
      </c>
      <c r="AV263" s="462" t="str">
        <f>IF(AT263=0,"",IF(AND(AT263=3,M263="F",SUMIF(C2:C391,C263,AS2:AS391)&lt;=1),SUMIF(C2:C391,C263,AS2:AS391),IF(AND(AT263=3,M263="F",SUMIF(C2:C391,C263,AS2:AS391)&gt;1),1,"")))</f>
        <v/>
      </c>
      <c r="AW263" s="462">
        <f>SUMIF(C2:C391,C263,O2:O391)</f>
        <v>4</v>
      </c>
      <c r="AX263" s="462">
        <f>IF(AND(M263="F",AS263&lt;&gt;0),SUMIF(C2:C391,C263,W2:W391),0)</f>
        <v>60091.199999999997</v>
      </c>
      <c r="AY263" s="462">
        <f t="shared" si="70"/>
        <v>30045.599999999999</v>
      </c>
      <c r="AZ263" s="462" t="str">
        <f t="shared" si="71"/>
        <v/>
      </c>
      <c r="BA263" s="462">
        <f t="shared" si="72"/>
        <v>0</v>
      </c>
      <c r="BB263" s="462">
        <f>IF(AND(AT263=1,AK263="E",AU263&gt;=0.75,AW263=1),Health,IF(AND(AT263=1,AK263="E",AU263&gt;=0.75),Health*P263,IF(AND(AT263=1,AK263="E",AU263&gt;=0.5,AW263=1),PTHealth,IF(AND(AT263=1,AK263="E",AU263&gt;=0.5),PTHealth*P263,0))))</f>
        <v>5825</v>
      </c>
      <c r="BC263" s="462">
        <f>IF(AND(AT263=3,AK263="E",AV263&gt;=0.75,AW263=1),Health,IF(AND(AT263=3,AK263="E",AV263&gt;=0.75),Health*P263,IF(AND(AT263=3,AK263="E",AV263&gt;=0.5,AW263=1),PTHealth,IF(AND(AT263=3,AK263="E",AV263&gt;=0.5),PTHealth*P263,0))))</f>
        <v>0</v>
      </c>
      <c r="BD263" s="462">
        <f>IF(AND(AT263&lt;&gt;0,AX263&gt;=MAXSSDI),SSDI*MAXSSDI*P263,IF(AT263&lt;&gt;0,SSDI*W263,0))</f>
        <v>1862.8271999999999</v>
      </c>
      <c r="BE263" s="462">
        <f>IF(AT263&lt;&gt;0,SSHI*W263,0)</f>
        <v>435.66120000000001</v>
      </c>
      <c r="BF263" s="462">
        <f>IF(AND(AT263&lt;&gt;0,AN263&lt;&gt;"NE"),VLOOKUP(AN263,Retirement_Rates,3,FALSE)*W263,0)</f>
        <v>3587.4446400000002</v>
      </c>
      <c r="BG263" s="462">
        <f>IF(AND(AT263&lt;&gt;0,AJ263&lt;&gt;"PF"),Life*W263,0)</f>
        <v>216.62877599999999</v>
      </c>
      <c r="BH263" s="462">
        <f>IF(AND(AT263&lt;&gt;0,AM263="Y"),UI*W263,0)</f>
        <v>147.22343999999998</v>
      </c>
      <c r="BI263" s="462">
        <f>IF(AND(AT263&lt;&gt;0,N263&lt;&gt;"NR"),DHR*W263,0)</f>
        <v>91.93953599999999</v>
      </c>
      <c r="BJ263" s="462">
        <f>IF(AT263&lt;&gt;0,WC*W263,0)</f>
        <v>808.22663999999997</v>
      </c>
      <c r="BK263" s="462">
        <f>IF(OR(AND(AT263&lt;&gt;0,AJ263&lt;&gt;"PF",AN263&lt;&gt;"NE",AG263&lt;&gt;"A"),AND(AL263="E",OR(AT263=1,AT263=3))),Sick*W263,0)</f>
        <v>0</v>
      </c>
      <c r="BL263" s="462">
        <f t="shared" si="73"/>
        <v>7149.9514319999989</v>
      </c>
      <c r="BM263" s="462">
        <f t="shared" si="74"/>
        <v>0</v>
      </c>
      <c r="BN263" s="462">
        <f>IF(AND(AT263=1,AK263="E",AU263&gt;=0.75,AW263=1),HealthBY,IF(AND(AT263=1,AK263="E",AU263&gt;=0.75),HealthBY*P263,IF(AND(AT263=1,AK263="E",AU263&gt;=0.5,AW263=1),PTHealthBY,IF(AND(AT263=1,AK263="E",AU263&gt;=0.5),PTHealthBY*P263,0))))</f>
        <v>5825</v>
      </c>
      <c r="BO263" s="462">
        <f>IF(AND(AT263=3,AK263="E",AV263&gt;=0.75,AW263=1),HealthBY,IF(AND(AT263=3,AK263="E",AV263&gt;=0.75),HealthBY*P263,IF(AND(AT263=3,AK263="E",AV263&gt;=0.5,AW263=1),PTHealthBY,IF(AND(AT263=3,AK263="E",AV263&gt;=0.5),PTHealthBY*P263,0))))</f>
        <v>0</v>
      </c>
      <c r="BP263" s="462">
        <f>IF(AND(AT263&lt;&gt;0,(AX263+BA263)&gt;=MAXSSDIBY),SSDIBY*MAXSSDIBY*P263,IF(AT263&lt;&gt;0,SSDIBY*W263,0))</f>
        <v>1862.8271999999999</v>
      </c>
      <c r="BQ263" s="462">
        <f>IF(AT263&lt;&gt;0,SSHIBY*W263,0)</f>
        <v>435.66120000000001</v>
      </c>
      <c r="BR263" s="462">
        <f>IF(AND(AT263&lt;&gt;0,AN263&lt;&gt;"NE"),VLOOKUP(AN263,Retirement_Rates,4,FALSE)*W263,0)</f>
        <v>3587.4446400000002</v>
      </c>
      <c r="BS263" s="462">
        <f>IF(AND(AT263&lt;&gt;0,AJ263&lt;&gt;"PF"),LifeBY*W263,0)</f>
        <v>216.62877599999999</v>
      </c>
      <c r="BT263" s="462">
        <f>IF(AND(AT263&lt;&gt;0,AM263="Y"),UIBY*W263,0)</f>
        <v>0</v>
      </c>
      <c r="BU263" s="462">
        <f>IF(AND(AT263&lt;&gt;0,N263&lt;&gt;"NR"),DHRBY*W263,0)</f>
        <v>91.93953599999999</v>
      </c>
      <c r="BV263" s="462">
        <f>IF(AT263&lt;&gt;0,WCBY*W263,0)</f>
        <v>1042.58232</v>
      </c>
      <c r="BW263" s="462">
        <f>IF(OR(AND(AT263&lt;&gt;0,AJ263&lt;&gt;"PF",AN263&lt;&gt;"NE",AG263&lt;&gt;"A"),AND(AL263="E",OR(AT263=1,AT263=3))),SickBY*W263,0)</f>
        <v>0</v>
      </c>
      <c r="BX263" s="462">
        <f t="shared" si="75"/>
        <v>7237.0836719999988</v>
      </c>
      <c r="BY263" s="462">
        <f t="shared" si="76"/>
        <v>0</v>
      </c>
      <c r="BZ263" s="462">
        <f t="shared" si="77"/>
        <v>0</v>
      </c>
      <c r="CA263" s="462">
        <f t="shared" si="78"/>
        <v>0</v>
      </c>
      <c r="CB263" s="462">
        <f t="shared" si="79"/>
        <v>0</v>
      </c>
      <c r="CC263" s="462">
        <f>IF(AT263&lt;&gt;0,SSHICHG*Y263,0)</f>
        <v>0</v>
      </c>
      <c r="CD263" s="462">
        <f>IF(AND(AT263&lt;&gt;0,AN263&lt;&gt;"NE"),VLOOKUP(AN263,Retirement_Rates,5,FALSE)*Y263,0)</f>
        <v>0</v>
      </c>
      <c r="CE263" s="462">
        <f>IF(AND(AT263&lt;&gt;0,AJ263&lt;&gt;"PF"),LifeCHG*Y263,0)</f>
        <v>0</v>
      </c>
      <c r="CF263" s="462">
        <f>IF(AND(AT263&lt;&gt;0,AM263="Y"),UICHG*Y263,0)</f>
        <v>-147.22343999999998</v>
      </c>
      <c r="CG263" s="462">
        <f>IF(AND(AT263&lt;&gt;0,N263&lt;&gt;"NR"),DHRCHG*Y263,0)</f>
        <v>0</v>
      </c>
      <c r="CH263" s="462">
        <f>IF(AT263&lt;&gt;0,WCCHG*Y263,0)</f>
        <v>234.35568000000004</v>
      </c>
      <c r="CI263" s="462">
        <f>IF(OR(AND(AT263&lt;&gt;0,AJ263&lt;&gt;"PF",AN263&lt;&gt;"NE",AG263&lt;&gt;"A"),AND(AL263="E",OR(AT263=1,AT263=3))),SickCHG*Y263,0)</f>
        <v>0</v>
      </c>
      <c r="CJ263" s="462">
        <f t="shared" si="80"/>
        <v>87.132240000000053</v>
      </c>
      <c r="CK263" s="462" t="str">
        <f t="shared" si="81"/>
        <v/>
      </c>
      <c r="CL263" s="462" t="str">
        <f t="shared" si="82"/>
        <v/>
      </c>
      <c r="CM263" s="462" t="str">
        <f t="shared" si="83"/>
        <v/>
      </c>
      <c r="CN263" s="462" t="str">
        <f t="shared" si="84"/>
        <v>0247-06</v>
      </c>
    </row>
    <row r="264" spans="1:92" ht="15" thickBot="1" x14ac:dyDescent="0.35">
      <c r="A264" s="376" t="s">
        <v>161</v>
      </c>
      <c r="B264" s="376" t="s">
        <v>162</v>
      </c>
      <c r="C264" s="376" t="s">
        <v>900</v>
      </c>
      <c r="D264" s="376" t="s">
        <v>901</v>
      </c>
      <c r="E264" s="376" t="s">
        <v>416</v>
      </c>
      <c r="F264" s="382" t="s">
        <v>417</v>
      </c>
      <c r="G264" s="376" t="s">
        <v>432</v>
      </c>
      <c r="H264" s="378"/>
      <c r="I264" s="378"/>
      <c r="J264" s="376" t="s">
        <v>193</v>
      </c>
      <c r="K264" s="376" t="s">
        <v>903</v>
      </c>
      <c r="L264" s="376" t="s">
        <v>240</v>
      </c>
      <c r="M264" s="376" t="s">
        <v>225</v>
      </c>
      <c r="N264" s="376" t="s">
        <v>172</v>
      </c>
      <c r="O264" s="379">
        <v>0</v>
      </c>
      <c r="P264" s="460">
        <v>0</v>
      </c>
      <c r="Q264" s="460">
        <v>0</v>
      </c>
      <c r="R264" s="380">
        <v>80</v>
      </c>
      <c r="S264" s="460">
        <v>0</v>
      </c>
      <c r="T264" s="380">
        <v>0</v>
      </c>
      <c r="U264" s="380">
        <v>0</v>
      </c>
      <c r="V264" s="380">
        <v>14.73</v>
      </c>
      <c r="W264" s="380">
        <v>0</v>
      </c>
      <c r="X264" s="380">
        <v>0</v>
      </c>
      <c r="Y264" s="380">
        <v>0</v>
      </c>
      <c r="Z264" s="380">
        <v>0</v>
      </c>
      <c r="AA264" s="378"/>
      <c r="AB264" s="376" t="s">
        <v>45</v>
      </c>
      <c r="AC264" s="376" t="s">
        <v>45</v>
      </c>
      <c r="AD264" s="378"/>
      <c r="AE264" s="378"/>
      <c r="AF264" s="378"/>
      <c r="AG264" s="378"/>
      <c r="AH264" s="379">
        <v>0</v>
      </c>
      <c r="AI264" s="379">
        <v>0</v>
      </c>
      <c r="AJ264" s="378"/>
      <c r="AK264" s="378"/>
      <c r="AL264" s="376" t="s">
        <v>181</v>
      </c>
      <c r="AM264" s="378"/>
      <c r="AN264" s="378"/>
      <c r="AO264" s="379">
        <v>0</v>
      </c>
      <c r="AP264" s="460">
        <v>0</v>
      </c>
      <c r="AQ264" s="460">
        <v>0</v>
      </c>
      <c r="AR264" s="459"/>
      <c r="AS264" s="462">
        <f t="shared" si="68"/>
        <v>0</v>
      </c>
      <c r="AT264">
        <f t="shared" si="69"/>
        <v>0</v>
      </c>
      <c r="AU264" s="462" t="str">
        <f>IF(AT264=0,"",IF(AND(AT264=1,M264="F",SUMIF(C2:C391,C264,AS2:AS391)&lt;=1),SUMIF(C2:C391,C264,AS2:AS391),IF(AND(AT264=1,M264="F",SUMIF(C2:C391,C264,AS2:AS391)&gt;1),1,"")))</f>
        <v/>
      </c>
      <c r="AV264" s="462" t="str">
        <f>IF(AT264=0,"",IF(AND(AT264=3,M264="F",SUMIF(C2:C391,C264,AS2:AS391)&lt;=1),SUMIF(C2:C391,C264,AS2:AS391),IF(AND(AT264=3,M264="F",SUMIF(C2:C391,C264,AS2:AS391)&gt;1),1,"")))</f>
        <v/>
      </c>
      <c r="AW264" s="462">
        <f>SUMIF(C2:C391,C264,O2:O391)</f>
        <v>0</v>
      </c>
      <c r="AX264" s="462">
        <f>IF(AND(M264="F",AS264&lt;&gt;0),SUMIF(C2:C391,C264,W2:W391),0)</f>
        <v>0</v>
      </c>
      <c r="AY264" s="462" t="str">
        <f t="shared" si="70"/>
        <v/>
      </c>
      <c r="AZ264" s="462" t="str">
        <f t="shared" si="71"/>
        <v/>
      </c>
      <c r="BA264" s="462">
        <f t="shared" si="72"/>
        <v>0</v>
      </c>
      <c r="BB264" s="462">
        <f>IF(AND(AT264=1,AK264="E",AU264&gt;=0.75,AW264=1),Health,IF(AND(AT264=1,AK264="E",AU264&gt;=0.75),Health*P264,IF(AND(AT264=1,AK264="E",AU264&gt;=0.5,AW264=1),PTHealth,IF(AND(AT264=1,AK264="E",AU264&gt;=0.5),PTHealth*P264,0))))</f>
        <v>0</v>
      </c>
      <c r="BC264" s="462">
        <f>IF(AND(AT264=3,AK264="E",AV264&gt;=0.75,AW264=1),Health,IF(AND(AT264=3,AK264="E",AV264&gt;=0.75),Health*P264,IF(AND(AT264=3,AK264="E",AV264&gt;=0.5,AW264=1),PTHealth,IF(AND(AT264=3,AK264="E",AV264&gt;=0.5),PTHealth*P264,0))))</f>
        <v>0</v>
      </c>
      <c r="BD264" s="462">
        <f>IF(AND(AT264&lt;&gt;0,AX264&gt;=MAXSSDI),SSDI*MAXSSDI*P264,IF(AT264&lt;&gt;0,SSDI*W264,0))</f>
        <v>0</v>
      </c>
      <c r="BE264" s="462">
        <f>IF(AT264&lt;&gt;0,SSHI*W264,0)</f>
        <v>0</v>
      </c>
      <c r="BF264" s="462">
        <f>IF(AND(AT264&lt;&gt;0,AN264&lt;&gt;"NE"),VLOOKUP(AN264,Retirement_Rates,3,FALSE)*W264,0)</f>
        <v>0</v>
      </c>
      <c r="BG264" s="462">
        <f>IF(AND(AT264&lt;&gt;0,AJ264&lt;&gt;"PF"),Life*W264,0)</f>
        <v>0</v>
      </c>
      <c r="BH264" s="462">
        <f>IF(AND(AT264&lt;&gt;0,AM264="Y"),UI*W264,0)</f>
        <v>0</v>
      </c>
      <c r="BI264" s="462">
        <f>IF(AND(AT264&lt;&gt;0,N264&lt;&gt;"NR"),DHR*W264,0)</f>
        <v>0</v>
      </c>
      <c r="BJ264" s="462">
        <f>IF(AT264&lt;&gt;0,WC*W264,0)</f>
        <v>0</v>
      </c>
      <c r="BK264" s="462">
        <f>IF(OR(AND(AT264&lt;&gt;0,AJ264&lt;&gt;"PF",AN264&lt;&gt;"NE",AG264&lt;&gt;"A"),AND(AL264="E",OR(AT264=1,AT264=3))),Sick*W264,0)</f>
        <v>0</v>
      </c>
      <c r="BL264" s="462">
        <f t="shared" si="73"/>
        <v>0</v>
      </c>
      <c r="BM264" s="462">
        <f t="shared" si="74"/>
        <v>0</v>
      </c>
      <c r="BN264" s="462">
        <f>IF(AND(AT264=1,AK264="E",AU264&gt;=0.75,AW264=1),HealthBY,IF(AND(AT264=1,AK264="E",AU264&gt;=0.75),HealthBY*P264,IF(AND(AT264=1,AK264="E",AU264&gt;=0.5,AW264=1),PTHealthBY,IF(AND(AT264=1,AK264="E",AU264&gt;=0.5),PTHealthBY*P264,0))))</f>
        <v>0</v>
      </c>
      <c r="BO264" s="462">
        <f>IF(AND(AT264=3,AK264="E",AV264&gt;=0.75,AW264=1),HealthBY,IF(AND(AT264=3,AK264="E",AV264&gt;=0.75),HealthBY*P264,IF(AND(AT264=3,AK264="E",AV264&gt;=0.5,AW264=1),PTHealthBY,IF(AND(AT264=3,AK264="E",AV264&gt;=0.5),PTHealthBY*P264,0))))</f>
        <v>0</v>
      </c>
      <c r="BP264" s="462">
        <f>IF(AND(AT264&lt;&gt;0,(AX264+BA264)&gt;=MAXSSDIBY),SSDIBY*MAXSSDIBY*P264,IF(AT264&lt;&gt;0,SSDIBY*W264,0))</f>
        <v>0</v>
      </c>
      <c r="BQ264" s="462">
        <f>IF(AT264&lt;&gt;0,SSHIBY*W264,0)</f>
        <v>0</v>
      </c>
      <c r="BR264" s="462">
        <f>IF(AND(AT264&lt;&gt;0,AN264&lt;&gt;"NE"),VLOOKUP(AN264,Retirement_Rates,4,FALSE)*W264,0)</f>
        <v>0</v>
      </c>
      <c r="BS264" s="462">
        <f>IF(AND(AT264&lt;&gt;0,AJ264&lt;&gt;"PF"),LifeBY*W264,0)</f>
        <v>0</v>
      </c>
      <c r="BT264" s="462">
        <f>IF(AND(AT264&lt;&gt;0,AM264="Y"),UIBY*W264,0)</f>
        <v>0</v>
      </c>
      <c r="BU264" s="462">
        <f>IF(AND(AT264&lt;&gt;0,N264&lt;&gt;"NR"),DHRBY*W264,0)</f>
        <v>0</v>
      </c>
      <c r="BV264" s="462">
        <f>IF(AT264&lt;&gt;0,WCBY*W264,0)</f>
        <v>0</v>
      </c>
      <c r="BW264" s="462">
        <f>IF(OR(AND(AT264&lt;&gt;0,AJ264&lt;&gt;"PF",AN264&lt;&gt;"NE",AG264&lt;&gt;"A"),AND(AL264="E",OR(AT264=1,AT264=3))),SickBY*W264,0)</f>
        <v>0</v>
      </c>
      <c r="BX264" s="462">
        <f t="shared" si="75"/>
        <v>0</v>
      </c>
      <c r="BY264" s="462">
        <f t="shared" si="76"/>
        <v>0</v>
      </c>
      <c r="BZ264" s="462">
        <f t="shared" si="77"/>
        <v>0</v>
      </c>
      <c r="CA264" s="462">
        <f t="shared" si="78"/>
        <v>0</v>
      </c>
      <c r="CB264" s="462">
        <f t="shared" si="79"/>
        <v>0</v>
      </c>
      <c r="CC264" s="462">
        <f>IF(AT264&lt;&gt;0,SSHICHG*Y264,0)</f>
        <v>0</v>
      </c>
      <c r="CD264" s="462">
        <f>IF(AND(AT264&lt;&gt;0,AN264&lt;&gt;"NE"),VLOOKUP(AN264,Retirement_Rates,5,FALSE)*Y264,0)</f>
        <v>0</v>
      </c>
      <c r="CE264" s="462">
        <f>IF(AND(AT264&lt;&gt;0,AJ264&lt;&gt;"PF"),LifeCHG*Y264,0)</f>
        <v>0</v>
      </c>
      <c r="CF264" s="462">
        <f>IF(AND(AT264&lt;&gt;0,AM264="Y"),UICHG*Y264,0)</f>
        <v>0</v>
      </c>
      <c r="CG264" s="462">
        <f>IF(AND(AT264&lt;&gt;0,N264&lt;&gt;"NR"),DHRCHG*Y264,0)</f>
        <v>0</v>
      </c>
      <c r="CH264" s="462">
        <f>IF(AT264&lt;&gt;0,WCCHG*Y264,0)</f>
        <v>0</v>
      </c>
      <c r="CI264" s="462">
        <f>IF(OR(AND(AT264&lt;&gt;0,AJ264&lt;&gt;"PF",AN264&lt;&gt;"NE",AG264&lt;&gt;"A"),AND(AL264="E",OR(AT264=1,AT264=3))),SickCHG*Y264,0)</f>
        <v>0</v>
      </c>
      <c r="CJ264" s="462">
        <f t="shared" si="80"/>
        <v>0</v>
      </c>
      <c r="CK264" s="462" t="str">
        <f t="shared" si="81"/>
        <v/>
      </c>
      <c r="CL264" s="462" t="str">
        <f t="shared" si="82"/>
        <v/>
      </c>
      <c r="CM264" s="462" t="str">
        <f t="shared" si="83"/>
        <v/>
      </c>
      <c r="CN264" s="462" t="str">
        <f t="shared" si="84"/>
        <v>0247-06</v>
      </c>
    </row>
    <row r="265" spans="1:92" ht="15" thickBot="1" x14ac:dyDescent="0.35">
      <c r="A265" s="376" t="s">
        <v>161</v>
      </c>
      <c r="B265" s="376" t="s">
        <v>162</v>
      </c>
      <c r="C265" s="376" t="s">
        <v>929</v>
      </c>
      <c r="D265" s="376" t="s">
        <v>221</v>
      </c>
      <c r="E265" s="376" t="s">
        <v>930</v>
      </c>
      <c r="F265" s="377" t="s">
        <v>166</v>
      </c>
      <c r="G265" s="376" t="s">
        <v>432</v>
      </c>
      <c r="H265" s="378"/>
      <c r="I265" s="378"/>
      <c r="J265" s="376" t="s">
        <v>168</v>
      </c>
      <c r="K265" s="376" t="s">
        <v>222</v>
      </c>
      <c r="L265" s="376" t="s">
        <v>166</v>
      </c>
      <c r="M265" s="376" t="s">
        <v>225</v>
      </c>
      <c r="N265" s="376" t="s">
        <v>223</v>
      </c>
      <c r="O265" s="379">
        <v>0</v>
      </c>
      <c r="P265" s="460">
        <v>1</v>
      </c>
      <c r="Q265" s="460">
        <v>0</v>
      </c>
      <c r="R265" s="380">
        <v>0</v>
      </c>
      <c r="S265" s="460">
        <v>0</v>
      </c>
      <c r="T265" s="380">
        <v>0</v>
      </c>
      <c r="U265" s="380">
        <v>0</v>
      </c>
      <c r="V265" s="380">
        <v>0</v>
      </c>
      <c r="W265" s="380">
        <v>0</v>
      </c>
      <c r="X265" s="380">
        <v>0</v>
      </c>
      <c r="Y265" s="380">
        <v>0</v>
      </c>
      <c r="Z265" s="380">
        <v>0</v>
      </c>
      <c r="AA265" s="378"/>
      <c r="AB265" s="376" t="s">
        <v>45</v>
      </c>
      <c r="AC265" s="376" t="s">
        <v>45</v>
      </c>
      <c r="AD265" s="378"/>
      <c r="AE265" s="378"/>
      <c r="AF265" s="378"/>
      <c r="AG265" s="378"/>
      <c r="AH265" s="379">
        <v>0</v>
      </c>
      <c r="AI265" s="379">
        <v>0</v>
      </c>
      <c r="AJ265" s="378"/>
      <c r="AK265" s="378"/>
      <c r="AL265" s="376" t="s">
        <v>181</v>
      </c>
      <c r="AM265" s="378"/>
      <c r="AN265" s="378"/>
      <c r="AO265" s="379">
        <v>0</v>
      </c>
      <c r="AP265" s="460">
        <v>0</v>
      </c>
      <c r="AQ265" s="460">
        <v>0</v>
      </c>
      <c r="AR265" s="459"/>
      <c r="AS265" s="462">
        <f t="shared" si="68"/>
        <v>0</v>
      </c>
      <c r="AT265">
        <f t="shared" si="69"/>
        <v>0</v>
      </c>
      <c r="AU265" s="462" t="str">
        <f>IF(AT265=0,"",IF(AND(AT265=1,M265="F",SUMIF(C2:C391,C265,AS2:AS391)&lt;=1),SUMIF(C2:C391,C265,AS2:AS391),IF(AND(AT265=1,M265="F",SUMIF(C2:C391,C265,AS2:AS391)&gt;1),1,"")))</f>
        <v/>
      </c>
      <c r="AV265" s="462" t="str">
        <f>IF(AT265=0,"",IF(AND(AT265=3,M265="F",SUMIF(C2:C391,C265,AS2:AS391)&lt;=1),SUMIF(C2:C391,C265,AS2:AS391),IF(AND(AT265=3,M265="F",SUMIF(C2:C391,C265,AS2:AS391)&gt;1),1,"")))</f>
        <v/>
      </c>
      <c r="AW265" s="462">
        <f>SUMIF(C2:C391,C265,O2:O391)</f>
        <v>0</v>
      </c>
      <c r="AX265" s="462">
        <f>IF(AND(M265="F",AS265&lt;&gt;0),SUMIF(C2:C391,C265,W2:W391),0)</f>
        <v>0</v>
      </c>
      <c r="AY265" s="462" t="str">
        <f t="shared" si="70"/>
        <v/>
      </c>
      <c r="AZ265" s="462" t="str">
        <f t="shared" si="71"/>
        <v/>
      </c>
      <c r="BA265" s="462">
        <f t="shared" si="72"/>
        <v>0</v>
      </c>
      <c r="BB265" s="462">
        <f>IF(AND(AT265=1,AK265="E",AU265&gt;=0.75,AW265=1),Health,IF(AND(AT265=1,AK265="E",AU265&gt;=0.75),Health*P265,IF(AND(AT265=1,AK265="E",AU265&gt;=0.5,AW265=1),PTHealth,IF(AND(AT265=1,AK265="E",AU265&gt;=0.5),PTHealth*P265,0))))</f>
        <v>0</v>
      </c>
      <c r="BC265" s="462">
        <f>IF(AND(AT265=3,AK265="E",AV265&gt;=0.75,AW265=1),Health,IF(AND(AT265=3,AK265="E",AV265&gt;=0.75),Health*P265,IF(AND(AT265=3,AK265="E",AV265&gt;=0.5,AW265=1),PTHealth,IF(AND(AT265=3,AK265="E",AV265&gt;=0.5),PTHealth*P265,0))))</f>
        <v>0</v>
      </c>
      <c r="BD265" s="462">
        <f>IF(AND(AT265&lt;&gt;0,AX265&gt;=MAXSSDI),SSDI*MAXSSDI*P265,IF(AT265&lt;&gt;0,SSDI*W265,0))</f>
        <v>0</v>
      </c>
      <c r="BE265" s="462">
        <f>IF(AT265&lt;&gt;0,SSHI*W265,0)</f>
        <v>0</v>
      </c>
      <c r="BF265" s="462">
        <f>IF(AND(AT265&lt;&gt;0,AN265&lt;&gt;"NE"),VLOOKUP(AN265,Retirement_Rates,3,FALSE)*W265,0)</f>
        <v>0</v>
      </c>
      <c r="BG265" s="462">
        <f>IF(AND(AT265&lt;&gt;0,AJ265&lt;&gt;"PF"),Life*W265,0)</f>
        <v>0</v>
      </c>
      <c r="BH265" s="462">
        <f>IF(AND(AT265&lt;&gt;0,AM265="Y"),UI*W265,0)</f>
        <v>0</v>
      </c>
      <c r="BI265" s="462">
        <f>IF(AND(AT265&lt;&gt;0,N265&lt;&gt;"NR"),DHR*W265,0)</f>
        <v>0</v>
      </c>
      <c r="BJ265" s="462">
        <f>IF(AT265&lt;&gt;0,WC*W265,0)</f>
        <v>0</v>
      </c>
      <c r="BK265" s="462">
        <f>IF(OR(AND(AT265&lt;&gt;0,AJ265&lt;&gt;"PF",AN265&lt;&gt;"NE",AG265&lt;&gt;"A"),AND(AL265="E",OR(AT265=1,AT265=3))),Sick*W265,0)</f>
        <v>0</v>
      </c>
      <c r="BL265" s="462">
        <f t="shared" si="73"/>
        <v>0</v>
      </c>
      <c r="BM265" s="462">
        <f t="shared" si="74"/>
        <v>0</v>
      </c>
      <c r="BN265" s="462">
        <f>IF(AND(AT265=1,AK265="E",AU265&gt;=0.75,AW265=1),HealthBY,IF(AND(AT265=1,AK265="E",AU265&gt;=0.75),HealthBY*P265,IF(AND(AT265=1,AK265="E",AU265&gt;=0.5,AW265=1),PTHealthBY,IF(AND(AT265=1,AK265="E",AU265&gt;=0.5),PTHealthBY*P265,0))))</f>
        <v>0</v>
      </c>
      <c r="BO265" s="462">
        <f>IF(AND(AT265=3,AK265="E",AV265&gt;=0.75,AW265=1),HealthBY,IF(AND(AT265=3,AK265="E",AV265&gt;=0.75),HealthBY*P265,IF(AND(AT265=3,AK265="E",AV265&gt;=0.5,AW265=1),PTHealthBY,IF(AND(AT265=3,AK265="E",AV265&gt;=0.5),PTHealthBY*P265,0))))</f>
        <v>0</v>
      </c>
      <c r="BP265" s="462">
        <f>IF(AND(AT265&lt;&gt;0,(AX265+BA265)&gt;=MAXSSDIBY),SSDIBY*MAXSSDIBY*P265,IF(AT265&lt;&gt;0,SSDIBY*W265,0))</f>
        <v>0</v>
      </c>
      <c r="BQ265" s="462">
        <f>IF(AT265&lt;&gt;0,SSHIBY*W265,0)</f>
        <v>0</v>
      </c>
      <c r="BR265" s="462">
        <f>IF(AND(AT265&lt;&gt;0,AN265&lt;&gt;"NE"),VLOOKUP(AN265,Retirement_Rates,4,FALSE)*W265,0)</f>
        <v>0</v>
      </c>
      <c r="BS265" s="462">
        <f>IF(AND(AT265&lt;&gt;0,AJ265&lt;&gt;"PF"),LifeBY*W265,0)</f>
        <v>0</v>
      </c>
      <c r="BT265" s="462">
        <f>IF(AND(AT265&lt;&gt;0,AM265="Y"),UIBY*W265,0)</f>
        <v>0</v>
      </c>
      <c r="BU265" s="462">
        <f>IF(AND(AT265&lt;&gt;0,N265&lt;&gt;"NR"),DHRBY*W265,0)</f>
        <v>0</v>
      </c>
      <c r="BV265" s="462">
        <f>IF(AT265&lt;&gt;0,WCBY*W265,0)</f>
        <v>0</v>
      </c>
      <c r="BW265" s="462">
        <f>IF(OR(AND(AT265&lt;&gt;0,AJ265&lt;&gt;"PF",AN265&lt;&gt;"NE",AG265&lt;&gt;"A"),AND(AL265="E",OR(AT265=1,AT265=3))),SickBY*W265,0)</f>
        <v>0</v>
      </c>
      <c r="BX265" s="462">
        <f t="shared" si="75"/>
        <v>0</v>
      </c>
      <c r="BY265" s="462">
        <f t="shared" si="76"/>
        <v>0</v>
      </c>
      <c r="BZ265" s="462">
        <f t="shared" si="77"/>
        <v>0</v>
      </c>
      <c r="CA265" s="462">
        <f t="shared" si="78"/>
        <v>0</v>
      </c>
      <c r="CB265" s="462">
        <f t="shared" si="79"/>
        <v>0</v>
      </c>
      <c r="CC265" s="462">
        <f>IF(AT265&lt;&gt;0,SSHICHG*Y265,0)</f>
        <v>0</v>
      </c>
      <c r="CD265" s="462">
        <f>IF(AND(AT265&lt;&gt;0,AN265&lt;&gt;"NE"),VLOOKUP(AN265,Retirement_Rates,5,FALSE)*Y265,0)</f>
        <v>0</v>
      </c>
      <c r="CE265" s="462">
        <f>IF(AND(AT265&lt;&gt;0,AJ265&lt;&gt;"PF"),LifeCHG*Y265,0)</f>
        <v>0</v>
      </c>
      <c r="CF265" s="462">
        <f>IF(AND(AT265&lt;&gt;0,AM265="Y"),UICHG*Y265,0)</f>
        <v>0</v>
      </c>
      <c r="CG265" s="462">
        <f>IF(AND(AT265&lt;&gt;0,N265&lt;&gt;"NR"),DHRCHG*Y265,0)</f>
        <v>0</v>
      </c>
      <c r="CH265" s="462">
        <f>IF(AT265&lt;&gt;0,WCCHG*Y265,0)</f>
        <v>0</v>
      </c>
      <c r="CI265" s="462">
        <f>IF(OR(AND(AT265&lt;&gt;0,AJ265&lt;&gt;"PF",AN265&lt;&gt;"NE",AG265&lt;&gt;"A"),AND(AL265="E",OR(AT265=1,AT265=3))),SickCHG*Y265,0)</f>
        <v>0</v>
      </c>
      <c r="CJ265" s="462">
        <f t="shared" si="80"/>
        <v>0</v>
      </c>
      <c r="CK265" s="462" t="str">
        <f t="shared" si="81"/>
        <v/>
      </c>
      <c r="CL265" s="462">
        <f t="shared" si="82"/>
        <v>0</v>
      </c>
      <c r="CM265" s="462">
        <f t="shared" si="83"/>
        <v>0</v>
      </c>
      <c r="CN265" s="462" t="str">
        <f t="shared" si="84"/>
        <v>0349-00</v>
      </c>
    </row>
    <row r="266" spans="1:92" ht="15" thickBot="1" x14ac:dyDescent="0.35">
      <c r="A266" s="376" t="s">
        <v>161</v>
      </c>
      <c r="B266" s="376" t="s">
        <v>162</v>
      </c>
      <c r="C266" s="376" t="s">
        <v>931</v>
      </c>
      <c r="D266" s="376" t="s">
        <v>221</v>
      </c>
      <c r="E266" s="376" t="s">
        <v>930</v>
      </c>
      <c r="F266" s="377" t="s">
        <v>166</v>
      </c>
      <c r="G266" s="376" t="s">
        <v>432</v>
      </c>
      <c r="H266" s="378"/>
      <c r="I266" s="378"/>
      <c r="J266" s="376" t="s">
        <v>193</v>
      </c>
      <c r="K266" s="376" t="s">
        <v>222</v>
      </c>
      <c r="L266" s="376" t="s">
        <v>166</v>
      </c>
      <c r="M266" s="376" t="s">
        <v>225</v>
      </c>
      <c r="N266" s="376" t="s">
        <v>223</v>
      </c>
      <c r="O266" s="379">
        <v>0</v>
      </c>
      <c r="P266" s="460">
        <v>0.5</v>
      </c>
      <c r="Q266" s="460">
        <v>0</v>
      </c>
      <c r="R266" s="380">
        <v>0</v>
      </c>
      <c r="S266" s="460">
        <v>0</v>
      </c>
      <c r="T266" s="380">
        <v>0</v>
      </c>
      <c r="U266" s="380">
        <v>0</v>
      </c>
      <c r="V266" s="380">
        <v>0</v>
      </c>
      <c r="W266" s="380">
        <v>0</v>
      </c>
      <c r="X266" s="380">
        <v>0</v>
      </c>
      <c r="Y266" s="380">
        <v>0</v>
      </c>
      <c r="Z266" s="380">
        <v>0</v>
      </c>
      <c r="AA266" s="378"/>
      <c r="AB266" s="376" t="s">
        <v>45</v>
      </c>
      <c r="AC266" s="376" t="s">
        <v>45</v>
      </c>
      <c r="AD266" s="378"/>
      <c r="AE266" s="378"/>
      <c r="AF266" s="378"/>
      <c r="AG266" s="378"/>
      <c r="AH266" s="379">
        <v>0</v>
      </c>
      <c r="AI266" s="379">
        <v>0</v>
      </c>
      <c r="AJ266" s="378"/>
      <c r="AK266" s="378"/>
      <c r="AL266" s="376" t="s">
        <v>181</v>
      </c>
      <c r="AM266" s="378"/>
      <c r="AN266" s="378"/>
      <c r="AO266" s="379">
        <v>0</v>
      </c>
      <c r="AP266" s="460">
        <v>0</v>
      </c>
      <c r="AQ266" s="460">
        <v>0</v>
      </c>
      <c r="AR266" s="459"/>
      <c r="AS266" s="462">
        <f t="shared" si="68"/>
        <v>0</v>
      </c>
      <c r="AT266">
        <f t="shared" si="69"/>
        <v>0</v>
      </c>
      <c r="AU266" s="462" t="str">
        <f>IF(AT266=0,"",IF(AND(AT266=1,M266="F",SUMIF(C2:C391,C266,AS2:AS391)&lt;=1),SUMIF(C2:C391,C266,AS2:AS391),IF(AND(AT266=1,M266="F",SUMIF(C2:C391,C266,AS2:AS391)&gt;1),1,"")))</f>
        <v/>
      </c>
      <c r="AV266" s="462" t="str">
        <f>IF(AT266=0,"",IF(AND(AT266=3,M266="F",SUMIF(C2:C391,C266,AS2:AS391)&lt;=1),SUMIF(C2:C391,C266,AS2:AS391),IF(AND(AT266=3,M266="F",SUMIF(C2:C391,C266,AS2:AS391)&gt;1),1,"")))</f>
        <v/>
      </c>
      <c r="AW266" s="462">
        <f>SUMIF(C2:C391,C266,O2:O391)</f>
        <v>0</v>
      </c>
      <c r="AX266" s="462">
        <f>IF(AND(M266="F",AS266&lt;&gt;0),SUMIF(C2:C391,C266,W2:W391),0)</f>
        <v>0</v>
      </c>
      <c r="AY266" s="462" t="str">
        <f t="shared" si="70"/>
        <v/>
      </c>
      <c r="AZ266" s="462" t="str">
        <f t="shared" si="71"/>
        <v/>
      </c>
      <c r="BA266" s="462">
        <f t="shared" si="72"/>
        <v>0</v>
      </c>
      <c r="BB266" s="462">
        <f>IF(AND(AT266=1,AK266="E",AU266&gt;=0.75,AW266=1),Health,IF(AND(AT266=1,AK266="E",AU266&gt;=0.75),Health*P266,IF(AND(AT266=1,AK266="E",AU266&gt;=0.5,AW266=1),PTHealth,IF(AND(AT266=1,AK266="E",AU266&gt;=0.5),PTHealth*P266,0))))</f>
        <v>0</v>
      </c>
      <c r="BC266" s="462">
        <f>IF(AND(AT266=3,AK266="E",AV266&gt;=0.75,AW266=1),Health,IF(AND(AT266=3,AK266="E",AV266&gt;=0.75),Health*P266,IF(AND(AT266=3,AK266="E",AV266&gt;=0.5,AW266=1),PTHealth,IF(AND(AT266=3,AK266="E",AV266&gt;=0.5),PTHealth*P266,0))))</f>
        <v>0</v>
      </c>
      <c r="BD266" s="462">
        <f>IF(AND(AT266&lt;&gt;0,AX266&gt;=MAXSSDI),SSDI*MAXSSDI*P266,IF(AT266&lt;&gt;0,SSDI*W266,0))</f>
        <v>0</v>
      </c>
      <c r="BE266" s="462">
        <f>IF(AT266&lt;&gt;0,SSHI*W266,0)</f>
        <v>0</v>
      </c>
      <c r="BF266" s="462">
        <f>IF(AND(AT266&lt;&gt;0,AN266&lt;&gt;"NE"),VLOOKUP(AN266,Retirement_Rates,3,FALSE)*W266,0)</f>
        <v>0</v>
      </c>
      <c r="BG266" s="462">
        <f>IF(AND(AT266&lt;&gt;0,AJ266&lt;&gt;"PF"),Life*W266,0)</f>
        <v>0</v>
      </c>
      <c r="BH266" s="462">
        <f>IF(AND(AT266&lt;&gt;0,AM266="Y"),UI*W266,0)</f>
        <v>0</v>
      </c>
      <c r="BI266" s="462">
        <f>IF(AND(AT266&lt;&gt;0,N266&lt;&gt;"NR"),DHR*W266,0)</f>
        <v>0</v>
      </c>
      <c r="BJ266" s="462">
        <f>IF(AT266&lt;&gt;0,WC*W266,0)</f>
        <v>0</v>
      </c>
      <c r="BK266" s="462">
        <f>IF(OR(AND(AT266&lt;&gt;0,AJ266&lt;&gt;"PF",AN266&lt;&gt;"NE",AG266&lt;&gt;"A"),AND(AL266="E",OR(AT266=1,AT266=3))),Sick*W266,0)</f>
        <v>0</v>
      </c>
      <c r="BL266" s="462">
        <f t="shared" si="73"/>
        <v>0</v>
      </c>
      <c r="BM266" s="462">
        <f t="shared" si="74"/>
        <v>0</v>
      </c>
      <c r="BN266" s="462">
        <f>IF(AND(AT266=1,AK266="E",AU266&gt;=0.75,AW266=1),HealthBY,IF(AND(AT266=1,AK266="E",AU266&gt;=0.75),HealthBY*P266,IF(AND(AT266=1,AK266="E",AU266&gt;=0.5,AW266=1),PTHealthBY,IF(AND(AT266=1,AK266="E",AU266&gt;=0.5),PTHealthBY*P266,0))))</f>
        <v>0</v>
      </c>
      <c r="BO266" s="462">
        <f>IF(AND(AT266=3,AK266="E",AV266&gt;=0.75,AW266=1),HealthBY,IF(AND(AT266=3,AK266="E",AV266&gt;=0.75),HealthBY*P266,IF(AND(AT266=3,AK266="E",AV266&gt;=0.5,AW266=1),PTHealthBY,IF(AND(AT266=3,AK266="E",AV266&gt;=0.5),PTHealthBY*P266,0))))</f>
        <v>0</v>
      </c>
      <c r="BP266" s="462">
        <f>IF(AND(AT266&lt;&gt;0,(AX266+BA266)&gt;=MAXSSDIBY),SSDIBY*MAXSSDIBY*P266,IF(AT266&lt;&gt;0,SSDIBY*W266,0))</f>
        <v>0</v>
      </c>
      <c r="BQ266" s="462">
        <f>IF(AT266&lt;&gt;0,SSHIBY*W266,0)</f>
        <v>0</v>
      </c>
      <c r="BR266" s="462">
        <f>IF(AND(AT266&lt;&gt;0,AN266&lt;&gt;"NE"),VLOOKUP(AN266,Retirement_Rates,4,FALSE)*W266,0)</f>
        <v>0</v>
      </c>
      <c r="BS266" s="462">
        <f>IF(AND(AT266&lt;&gt;0,AJ266&lt;&gt;"PF"),LifeBY*W266,0)</f>
        <v>0</v>
      </c>
      <c r="BT266" s="462">
        <f>IF(AND(AT266&lt;&gt;0,AM266="Y"),UIBY*W266,0)</f>
        <v>0</v>
      </c>
      <c r="BU266" s="462">
        <f>IF(AND(AT266&lt;&gt;0,N266&lt;&gt;"NR"),DHRBY*W266,0)</f>
        <v>0</v>
      </c>
      <c r="BV266" s="462">
        <f>IF(AT266&lt;&gt;0,WCBY*W266,0)</f>
        <v>0</v>
      </c>
      <c r="BW266" s="462">
        <f>IF(OR(AND(AT266&lt;&gt;0,AJ266&lt;&gt;"PF",AN266&lt;&gt;"NE",AG266&lt;&gt;"A"),AND(AL266="E",OR(AT266=1,AT266=3))),SickBY*W266,0)</f>
        <v>0</v>
      </c>
      <c r="BX266" s="462">
        <f t="shared" si="75"/>
        <v>0</v>
      </c>
      <c r="BY266" s="462">
        <f t="shared" si="76"/>
        <v>0</v>
      </c>
      <c r="BZ266" s="462">
        <f t="shared" si="77"/>
        <v>0</v>
      </c>
      <c r="CA266" s="462">
        <f t="shared" si="78"/>
        <v>0</v>
      </c>
      <c r="CB266" s="462">
        <f t="shared" si="79"/>
        <v>0</v>
      </c>
      <c r="CC266" s="462">
        <f>IF(AT266&lt;&gt;0,SSHICHG*Y266,0)</f>
        <v>0</v>
      </c>
      <c r="CD266" s="462">
        <f>IF(AND(AT266&lt;&gt;0,AN266&lt;&gt;"NE"),VLOOKUP(AN266,Retirement_Rates,5,FALSE)*Y266,0)</f>
        <v>0</v>
      </c>
      <c r="CE266" s="462">
        <f>IF(AND(AT266&lt;&gt;0,AJ266&lt;&gt;"PF"),LifeCHG*Y266,0)</f>
        <v>0</v>
      </c>
      <c r="CF266" s="462">
        <f>IF(AND(AT266&lt;&gt;0,AM266="Y"),UICHG*Y266,0)</f>
        <v>0</v>
      </c>
      <c r="CG266" s="462">
        <f>IF(AND(AT266&lt;&gt;0,N266&lt;&gt;"NR"),DHRCHG*Y266,0)</f>
        <v>0</v>
      </c>
      <c r="CH266" s="462">
        <f>IF(AT266&lt;&gt;0,WCCHG*Y266,0)</f>
        <v>0</v>
      </c>
      <c r="CI266" s="462">
        <f>IF(OR(AND(AT266&lt;&gt;0,AJ266&lt;&gt;"PF",AN266&lt;&gt;"NE",AG266&lt;&gt;"A"),AND(AL266="E",OR(AT266=1,AT266=3))),SickCHG*Y266,0)</f>
        <v>0</v>
      </c>
      <c r="CJ266" s="462">
        <f t="shared" si="80"/>
        <v>0</v>
      </c>
      <c r="CK266" s="462" t="str">
        <f t="shared" si="81"/>
        <v/>
      </c>
      <c r="CL266" s="462">
        <f t="shared" si="82"/>
        <v>0</v>
      </c>
      <c r="CM266" s="462">
        <f t="shared" si="83"/>
        <v>0</v>
      </c>
      <c r="CN266" s="462" t="str">
        <f t="shared" si="84"/>
        <v>0349-00</v>
      </c>
    </row>
    <row r="267" spans="1:92" ht="15" thickBot="1" x14ac:dyDescent="0.35">
      <c r="A267" s="376" t="s">
        <v>161</v>
      </c>
      <c r="B267" s="376" t="s">
        <v>162</v>
      </c>
      <c r="C267" s="376" t="s">
        <v>932</v>
      </c>
      <c r="D267" s="376" t="s">
        <v>221</v>
      </c>
      <c r="E267" s="376" t="s">
        <v>930</v>
      </c>
      <c r="F267" s="377" t="s">
        <v>166</v>
      </c>
      <c r="G267" s="376" t="s">
        <v>432</v>
      </c>
      <c r="H267" s="378"/>
      <c r="I267" s="378"/>
      <c r="J267" s="376" t="s">
        <v>193</v>
      </c>
      <c r="K267" s="376" t="s">
        <v>222</v>
      </c>
      <c r="L267" s="376" t="s">
        <v>166</v>
      </c>
      <c r="M267" s="376" t="s">
        <v>225</v>
      </c>
      <c r="N267" s="376" t="s">
        <v>223</v>
      </c>
      <c r="O267" s="379">
        <v>0</v>
      </c>
      <c r="P267" s="460">
        <v>0.5</v>
      </c>
      <c r="Q267" s="460">
        <v>0</v>
      </c>
      <c r="R267" s="380">
        <v>0</v>
      </c>
      <c r="S267" s="460">
        <v>0</v>
      </c>
      <c r="T267" s="380">
        <v>0</v>
      </c>
      <c r="U267" s="380">
        <v>0</v>
      </c>
      <c r="V267" s="380">
        <v>0</v>
      </c>
      <c r="W267" s="380">
        <v>0</v>
      </c>
      <c r="X267" s="380">
        <v>0</v>
      </c>
      <c r="Y267" s="380">
        <v>0</v>
      </c>
      <c r="Z267" s="380">
        <v>0</v>
      </c>
      <c r="AA267" s="378"/>
      <c r="AB267" s="376" t="s">
        <v>45</v>
      </c>
      <c r="AC267" s="376" t="s">
        <v>45</v>
      </c>
      <c r="AD267" s="378"/>
      <c r="AE267" s="378"/>
      <c r="AF267" s="378"/>
      <c r="AG267" s="378"/>
      <c r="AH267" s="379">
        <v>0</v>
      </c>
      <c r="AI267" s="379">
        <v>0</v>
      </c>
      <c r="AJ267" s="378"/>
      <c r="AK267" s="378"/>
      <c r="AL267" s="376" t="s">
        <v>181</v>
      </c>
      <c r="AM267" s="378"/>
      <c r="AN267" s="378"/>
      <c r="AO267" s="379">
        <v>0</v>
      </c>
      <c r="AP267" s="460">
        <v>0</v>
      </c>
      <c r="AQ267" s="460">
        <v>0</v>
      </c>
      <c r="AR267" s="459"/>
      <c r="AS267" s="462">
        <f t="shared" si="68"/>
        <v>0</v>
      </c>
      <c r="AT267">
        <f t="shared" si="69"/>
        <v>0</v>
      </c>
      <c r="AU267" s="462" t="str">
        <f>IF(AT267=0,"",IF(AND(AT267=1,M267="F",SUMIF(C2:C391,C267,AS2:AS391)&lt;=1),SUMIF(C2:C391,C267,AS2:AS391),IF(AND(AT267=1,M267="F",SUMIF(C2:C391,C267,AS2:AS391)&gt;1),1,"")))</f>
        <v/>
      </c>
      <c r="AV267" s="462" t="str">
        <f>IF(AT267=0,"",IF(AND(AT267=3,M267="F",SUMIF(C2:C391,C267,AS2:AS391)&lt;=1),SUMIF(C2:C391,C267,AS2:AS391),IF(AND(AT267=3,M267="F",SUMIF(C2:C391,C267,AS2:AS391)&gt;1),1,"")))</f>
        <v/>
      </c>
      <c r="AW267" s="462">
        <f>SUMIF(C2:C391,C267,O2:O391)</f>
        <v>0</v>
      </c>
      <c r="AX267" s="462">
        <f>IF(AND(M267="F",AS267&lt;&gt;0),SUMIF(C2:C391,C267,W2:W391),0)</f>
        <v>0</v>
      </c>
      <c r="AY267" s="462" t="str">
        <f t="shared" si="70"/>
        <v/>
      </c>
      <c r="AZ267" s="462" t="str">
        <f t="shared" si="71"/>
        <v/>
      </c>
      <c r="BA267" s="462">
        <f t="shared" si="72"/>
        <v>0</v>
      </c>
      <c r="BB267" s="462">
        <f>IF(AND(AT267=1,AK267="E",AU267&gt;=0.75,AW267=1),Health,IF(AND(AT267=1,AK267="E",AU267&gt;=0.75),Health*P267,IF(AND(AT267=1,AK267="E",AU267&gt;=0.5,AW267=1),PTHealth,IF(AND(AT267=1,AK267="E",AU267&gt;=0.5),PTHealth*P267,0))))</f>
        <v>0</v>
      </c>
      <c r="BC267" s="462">
        <f>IF(AND(AT267=3,AK267="E",AV267&gt;=0.75,AW267=1),Health,IF(AND(AT267=3,AK267="E",AV267&gt;=0.75),Health*P267,IF(AND(AT267=3,AK267="E",AV267&gt;=0.5,AW267=1),PTHealth,IF(AND(AT267=3,AK267="E",AV267&gt;=0.5),PTHealth*P267,0))))</f>
        <v>0</v>
      </c>
      <c r="BD267" s="462">
        <f>IF(AND(AT267&lt;&gt;0,AX267&gt;=MAXSSDI),SSDI*MAXSSDI*P267,IF(AT267&lt;&gt;0,SSDI*W267,0))</f>
        <v>0</v>
      </c>
      <c r="BE267" s="462">
        <f>IF(AT267&lt;&gt;0,SSHI*W267,0)</f>
        <v>0</v>
      </c>
      <c r="BF267" s="462">
        <f>IF(AND(AT267&lt;&gt;0,AN267&lt;&gt;"NE"),VLOOKUP(AN267,Retirement_Rates,3,FALSE)*W267,0)</f>
        <v>0</v>
      </c>
      <c r="BG267" s="462">
        <f>IF(AND(AT267&lt;&gt;0,AJ267&lt;&gt;"PF"),Life*W267,0)</f>
        <v>0</v>
      </c>
      <c r="BH267" s="462">
        <f>IF(AND(AT267&lt;&gt;0,AM267="Y"),UI*W267,0)</f>
        <v>0</v>
      </c>
      <c r="BI267" s="462">
        <f>IF(AND(AT267&lt;&gt;0,N267&lt;&gt;"NR"),DHR*W267,0)</f>
        <v>0</v>
      </c>
      <c r="BJ267" s="462">
        <f>IF(AT267&lt;&gt;0,WC*W267,0)</f>
        <v>0</v>
      </c>
      <c r="BK267" s="462">
        <f>IF(OR(AND(AT267&lt;&gt;0,AJ267&lt;&gt;"PF",AN267&lt;&gt;"NE",AG267&lt;&gt;"A"),AND(AL267="E",OR(AT267=1,AT267=3))),Sick*W267,0)</f>
        <v>0</v>
      </c>
      <c r="BL267" s="462">
        <f t="shared" si="73"/>
        <v>0</v>
      </c>
      <c r="BM267" s="462">
        <f t="shared" si="74"/>
        <v>0</v>
      </c>
      <c r="BN267" s="462">
        <f>IF(AND(AT267=1,AK267="E",AU267&gt;=0.75,AW267=1),HealthBY,IF(AND(AT267=1,AK267="E",AU267&gt;=0.75),HealthBY*P267,IF(AND(AT267=1,AK267="E",AU267&gt;=0.5,AW267=1),PTHealthBY,IF(AND(AT267=1,AK267="E",AU267&gt;=0.5),PTHealthBY*P267,0))))</f>
        <v>0</v>
      </c>
      <c r="BO267" s="462">
        <f>IF(AND(AT267=3,AK267="E",AV267&gt;=0.75,AW267=1),HealthBY,IF(AND(AT267=3,AK267="E",AV267&gt;=0.75),HealthBY*P267,IF(AND(AT267=3,AK267="E",AV267&gt;=0.5,AW267=1),PTHealthBY,IF(AND(AT267=3,AK267="E",AV267&gt;=0.5),PTHealthBY*P267,0))))</f>
        <v>0</v>
      </c>
      <c r="BP267" s="462">
        <f>IF(AND(AT267&lt;&gt;0,(AX267+BA267)&gt;=MAXSSDIBY),SSDIBY*MAXSSDIBY*P267,IF(AT267&lt;&gt;0,SSDIBY*W267,0))</f>
        <v>0</v>
      </c>
      <c r="BQ267" s="462">
        <f>IF(AT267&lt;&gt;0,SSHIBY*W267,0)</f>
        <v>0</v>
      </c>
      <c r="BR267" s="462">
        <f>IF(AND(AT267&lt;&gt;0,AN267&lt;&gt;"NE"),VLOOKUP(AN267,Retirement_Rates,4,FALSE)*W267,0)</f>
        <v>0</v>
      </c>
      <c r="BS267" s="462">
        <f>IF(AND(AT267&lt;&gt;0,AJ267&lt;&gt;"PF"),LifeBY*W267,0)</f>
        <v>0</v>
      </c>
      <c r="BT267" s="462">
        <f>IF(AND(AT267&lt;&gt;0,AM267="Y"),UIBY*W267,0)</f>
        <v>0</v>
      </c>
      <c r="BU267" s="462">
        <f>IF(AND(AT267&lt;&gt;0,N267&lt;&gt;"NR"),DHRBY*W267,0)</f>
        <v>0</v>
      </c>
      <c r="BV267" s="462">
        <f>IF(AT267&lt;&gt;0,WCBY*W267,0)</f>
        <v>0</v>
      </c>
      <c r="BW267" s="462">
        <f>IF(OR(AND(AT267&lt;&gt;0,AJ267&lt;&gt;"PF",AN267&lt;&gt;"NE",AG267&lt;&gt;"A"),AND(AL267="E",OR(AT267=1,AT267=3))),SickBY*W267,0)</f>
        <v>0</v>
      </c>
      <c r="BX267" s="462">
        <f t="shared" si="75"/>
        <v>0</v>
      </c>
      <c r="BY267" s="462">
        <f t="shared" si="76"/>
        <v>0</v>
      </c>
      <c r="BZ267" s="462">
        <f t="shared" si="77"/>
        <v>0</v>
      </c>
      <c r="CA267" s="462">
        <f t="shared" si="78"/>
        <v>0</v>
      </c>
      <c r="CB267" s="462">
        <f t="shared" si="79"/>
        <v>0</v>
      </c>
      <c r="CC267" s="462">
        <f>IF(AT267&lt;&gt;0,SSHICHG*Y267,0)</f>
        <v>0</v>
      </c>
      <c r="CD267" s="462">
        <f>IF(AND(AT267&lt;&gt;0,AN267&lt;&gt;"NE"),VLOOKUP(AN267,Retirement_Rates,5,FALSE)*Y267,0)</f>
        <v>0</v>
      </c>
      <c r="CE267" s="462">
        <f>IF(AND(AT267&lt;&gt;0,AJ267&lt;&gt;"PF"),LifeCHG*Y267,0)</f>
        <v>0</v>
      </c>
      <c r="CF267" s="462">
        <f>IF(AND(AT267&lt;&gt;0,AM267="Y"),UICHG*Y267,0)</f>
        <v>0</v>
      </c>
      <c r="CG267" s="462">
        <f>IF(AND(AT267&lt;&gt;0,N267&lt;&gt;"NR"),DHRCHG*Y267,0)</f>
        <v>0</v>
      </c>
      <c r="CH267" s="462">
        <f>IF(AT267&lt;&gt;0,WCCHG*Y267,0)</f>
        <v>0</v>
      </c>
      <c r="CI267" s="462">
        <f>IF(OR(AND(AT267&lt;&gt;0,AJ267&lt;&gt;"PF",AN267&lt;&gt;"NE",AG267&lt;&gt;"A"),AND(AL267="E",OR(AT267=1,AT267=3))),SickCHG*Y267,0)</f>
        <v>0</v>
      </c>
      <c r="CJ267" s="462">
        <f t="shared" si="80"/>
        <v>0</v>
      </c>
      <c r="CK267" s="462" t="str">
        <f t="shared" si="81"/>
        <v/>
      </c>
      <c r="CL267" s="462">
        <f t="shared" si="82"/>
        <v>0</v>
      </c>
      <c r="CM267" s="462">
        <f t="shared" si="83"/>
        <v>0</v>
      </c>
      <c r="CN267" s="462" t="str">
        <f t="shared" si="84"/>
        <v>0349-00</v>
      </c>
    </row>
    <row r="268" spans="1:92" ht="15" thickBot="1" x14ac:dyDescent="0.35">
      <c r="A268" s="376" t="s">
        <v>161</v>
      </c>
      <c r="B268" s="376" t="s">
        <v>162</v>
      </c>
      <c r="C268" s="376" t="s">
        <v>933</v>
      </c>
      <c r="D268" s="376" t="s">
        <v>221</v>
      </c>
      <c r="E268" s="376" t="s">
        <v>930</v>
      </c>
      <c r="F268" s="377" t="s">
        <v>166</v>
      </c>
      <c r="G268" s="376" t="s">
        <v>432</v>
      </c>
      <c r="H268" s="378"/>
      <c r="I268" s="378"/>
      <c r="J268" s="376" t="s">
        <v>168</v>
      </c>
      <c r="K268" s="376" t="s">
        <v>222</v>
      </c>
      <c r="L268" s="376" t="s">
        <v>166</v>
      </c>
      <c r="M268" s="376" t="s">
        <v>225</v>
      </c>
      <c r="N268" s="376" t="s">
        <v>223</v>
      </c>
      <c r="O268" s="379">
        <v>0</v>
      </c>
      <c r="P268" s="460">
        <v>1</v>
      </c>
      <c r="Q268" s="460">
        <v>0</v>
      </c>
      <c r="R268" s="380">
        <v>0</v>
      </c>
      <c r="S268" s="460">
        <v>0</v>
      </c>
      <c r="T268" s="380">
        <v>0</v>
      </c>
      <c r="U268" s="380">
        <v>0</v>
      </c>
      <c r="V268" s="380">
        <v>0</v>
      </c>
      <c r="W268" s="380">
        <v>0</v>
      </c>
      <c r="X268" s="380">
        <v>0</v>
      </c>
      <c r="Y268" s="380">
        <v>0</v>
      </c>
      <c r="Z268" s="380">
        <v>0</v>
      </c>
      <c r="AA268" s="378"/>
      <c r="AB268" s="376" t="s">
        <v>45</v>
      </c>
      <c r="AC268" s="376" t="s">
        <v>45</v>
      </c>
      <c r="AD268" s="378"/>
      <c r="AE268" s="378"/>
      <c r="AF268" s="378"/>
      <c r="AG268" s="378"/>
      <c r="AH268" s="379">
        <v>0</v>
      </c>
      <c r="AI268" s="379">
        <v>0</v>
      </c>
      <c r="AJ268" s="378"/>
      <c r="AK268" s="378"/>
      <c r="AL268" s="376" t="s">
        <v>181</v>
      </c>
      <c r="AM268" s="378"/>
      <c r="AN268" s="378"/>
      <c r="AO268" s="379">
        <v>0</v>
      </c>
      <c r="AP268" s="460">
        <v>0</v>
      </c>
      <c r="AQ268" s="460">
        <v>0</v>
      </c>
      <c r="AR268" s="459"/>
      <c r="AS268" s="462">
        <f t="shared" si="68"/>
        <v>0</v>
      </c>
      <c r="AT268">
        <f t="shared" si="69"/>
        <v>0</v>
      </c>
      <c r="AU268" s="462" t="str">
        <f>IF(AT268=0,"",IF(AND(AT268=1,M268="F",SUMIF(C2:C391,C268,AS2:AS391)&lt;=1),SUMIF(C2:C391,C268,AS2:AS391),IF(AND(AT268=1,M268="F",SUMIF(C2:C391,C268,AS2:AS391)&gt;1),1,"")))</f>
        <v/>
      </c>
      <c r="AV268" s="462" t="str">
        <f>IF(AT268=0,"",IF(AND(AT268=3,M268="F",SUMIF(C2:C391,C268,AS2:AS391)&lt;=1),SUMIF(C2:C391,C268,AS2:AS391),IF(AND(AT268=3,M268="F",SUMIF(C2:C391,C268,AS2:AS391)&gt;1),1,"")))</f>
        <v/>
      </c>
      <c r="AW268" s="462">
        <f>SUMIF(C2:C391,C268,O2:O391)</f>
        <v>0</v>
      </c>
      <c r="AX268" s="462">
        <f>IF(AND(M268="F",AS268&lt;&gt;0),SUMIF(C2:C391,C268,W2:W391),0)</f>
        <v>0</v>
      </c>
      <c r="AY268" s="462" t="str">
        <f t="shared" si="70"/>
        <v/>
      </c>
      <c r="AZ268" s="462" t="str">
        <f t="shared" si="71"/>
        <v/>
      </c>
      <c r="BA268" s="462">
        <f t="shared" si="72"/>
        <v>0</v>
      </c>
      <c r="BB268" s="462">
        <f>IF(AND(AT268=1,AK268="E",AU268&gt;=0.75,AW268=1),Health,IF(AND(AT268=1,AK268="E",AU268&gt;=0.75),Health*P268,IF(AND(AT268=1,AK268="E",AU268&gt;=0.5,AW268=1),PTHealth,IF(AND(AT268=1,AK268="E",AU268&gt;=0.5),PTHealth*P268,0))))</f>
        <v>0</v>
      </c>
      <c r="BC268" s="462">
        <f>IF(AND(AT268=3,AK268="E",AV268&gt;=0.75,AW268=1),Health,IF(AND(AT268=3,AK268="E",AV268&gt;=0.75),Health*P268,IF(AND(AT268=3,AK268="E",AV268&gt;=0.5,AW268=1),PTHealth,IF(AND(AT268=3,AK268="E",AV268&gt;=0.5),PTHealth*P268,0))))</f>
        <v>0</v>
      </c>
      <c r="BD268" s="462">
        <f>IF(AND(AT268&lt;&gt;0,AX268&gt;=MAXSSDI),SSDI*MAXSSDI*P268,IF(AT268&lt;&gt;0,SSDI*W268,0))</f>
        <v>0</v>
      </c>
      <c r="BE268" s="462">
        <f>IF(AT268&lt;&gt;0,SSHI*W268,0)</f>
        <v>0</v>
      </c>
      <c r="BF268" s="462">
        <f>IF(AND(AT268&lt;&gt;0,AN268&lt;&gt;"NE"),VLOOKUP(AN268,Retirement_Rates,3,FALSE)*W268,0)</f>
        <v>0</v>
      </c>
      <c r="BG268" s="462">
        <f>IF(AND(AT268&lt;&gt;0,AJ268&lt;&gt;"PF"),Life*W268,0)</f>
        <v>0</v>
      </c>
      <c r="BH268" s="462">
        <f>IF(AND(AT268&lt;&gt;0,AM268="Y"),UI*W268,0)</f>
        <v>0</v>
      </c>
      <c r="BI268" s="462">
        <f>IF(AND(AT268&lt;&gt;0,N268&lt;&gt;"NR"),DHR*W268,0)</f>
        <v>0</v>
      </c>
      <c r="BJ268" s="462">
        <f>IF(AT268&lt;&gt;0,WC*W268,0)</f>
        <v>0</v>
      </c>
      <c r="BK268" s="462">
        <f>IF(OR(AND(AT268&lt;&gt;0,AJ268&lt;&gt;"PF",AN268&lt;&gt;"NE",AG268&lt;&gt;"A"),AND(AL268="E",OR(AT268=1,AT268=3))),Sick*W268,0)</f>
        <v>0</v>
      </c>
      <c r="BL268" s="462">
        <f t="shared" si="73"/>
        <v>0</v>
      </c>
      <c r="BM268" s="462">
        <f t="shared" si="74"/>
        <v>0</v>
      </c>
      <c r="BN268" s="462">
        <f>IF(AND(AT268=1,AK268="E",AU268&gt;=0.75,AW268=1),HealthBY,IF(AND(AT268=1,AK268="E",AU268&gt;=0.75),HealthBY*P268,IF(AND(AT268=1,AK268="E",AU268&gt;=0.5,AW268=1),PTHealthBY,IF(AND(AT268=1,AK268="E",AU268&gt;=0.5),PTHealthBY*P268,0))))</f>
        <v>0</v>
      </c>
      <c r="BO268" s="462">
        <f>IF(AND(AT268=3,AK268="E",AV268&gt;=0.75,AW268=1),HealthBY,IF(AND(AT268=3,AK268="E",AV268&gt;=0.75),HealthBY*P268,IF(AND(AT268=3,AK268="E",AV268&gt;=0.5,AW268=1),PTHealthBY,IF(AND(AT268=3,AK268="E",AV268&gt;=0.5),PTHealthBY*P268,0))))</f>
        <v>0</v>
      </c>
      <c r="BP268" s="462">
        <f>IF(AND(AT268&lt;&gt;0,(AX268+BA268)&gt;=MAXSSDIBY),SSDIBY*MAXSSDIBY*P268,IF(AT268&lt;&gt;0,SSDIBY*W268,0))</f>
        <v>0</v>
      </c>
      <c r="BQ268" s="462">
        <f>IF(AT268&lt;&gt;0,SSHIBY*W268,0)</f>
        <v>0</v>
      </c>
      <c r="BR268" s="462">
        <f>IF(AND(AT268&lt;&gt;0,AN268&lt;&gt;"NE"),VLOOKUP(AN268,Retirement_Rates,4,FALSE)*W268,0)</f>
        <v>0</v>
      </c>
      <c r="BS268" s="462">
        <f>IF(AND(AT268&lt;&gt;0,AJ268&lt;&gt;"PF"),LifeBY*W268,0)</f>
        <v>0</v>
      </c>
      <c r="BT268" s="462">
        <f>IF(AND(AT268&lt;&gt;0,AM268="Y"),UIBY*W268,0)</f>
        <v>0</v>
      </c>
      <c r="BU268" s="462">
        <f>IF(AND(AT268&lt;&gt;0,N268&lt;&gt;"NR"),DHRBY*W268,0)</f>
        <v>0</v>
      </c>
      <c r="BV268" s="462">
        <f>IF(AT268&lt;&gt;0,WCBY*W268,0)</f>
        <v>0</v>
      </c>
      <c r="BW268" s="462">
        <f>IF(OR(AND(AT268&lt;&gt;0,AJ268&lt;&gt;"PF",AN268&lt;&gt;"NE",AG268&lt;&gt;"A"),AND(AL268="E",OR(AT268=1,AT268=3))),SickBY*W268,0)</f>
        <v>0</v>
      </c>
      <c r="BX268" s="462">
        <f t="shared" si="75"/>
        <v>0</v>
      </c>
      <c r="BY268" s="462">
        <f t="shared" si="76"/>
        <v>0</v>
      </c>
      <c r="BZ268" s="462">
        <f t="shared" si="77"/>
        <v>0</v>
      </c>
      <c r="CA268" s="462">
        <f t="shared" si="78"/>
        <v>0</v>
      </c>
      <c r="CB268" s="462">
        <f t="shared" si="79"/>
        <v>0</v>
      </c>
      <c r="CC268" s="462">
        <f>IF(AT268&lt;&gt;0,SSHICHG*Y268,0)</f>
        <v>0</v>
      </c>
      <c r="CD268" s="462">
        <f>IF(AND(AT268&lt;&gt;0,AN268&lt;&gt;"NE"),VLOOKUP(AN268,Retirement_Rates,5,FALSE)*Y268,0)</f>
        <v>0</v>
      </c>
      <c r="CE268" s="462">
        <f>IF(AND(AT268&lt;&gt;0,AJ268&lt;&gt;"PF"),LifeCHG*Y268,0)</f>
        <v>0</v>
      </c>
      <c r="CF268" s="462">
        <f>IF(AND(AT268&lt;&gt;0,AM268="Y"),UICHG*Y268,0)</f>
        <v>0</v>
      </c>
      <c r="CG268" s="462">
        <f>IF(AND(AT268&lt;&gt;0,N268&lt;&gt;"NR"),DHRCHG*Y268,0)</f>
        <v>0</v>
      </c>
      <c r="CH268" s="462">
        <f>IF(AT268&lt;&gt;0,WCCHG*Y268,0)</f>
        <v>0</v>
      </c>
      <c r="CI268" s="462">
        <f>IF(OR(AND(AT268&lt;&gt;0,AJ268&lt;&gt;"PF",AN268&lt;&gt;"NE",AG268&lt;&gt;"A"),AND(AL268="E",OR(AT268=1,AT268=3))),SickCHG*Y268,0)</f>
        <v>0</v>
      </c>
      <c r="CJ268" s="462">
        <f t="shared" si="80"/>
        <v>0</v>
      </c>
      <c r="CK268" s="462" t="str">
        <f t="shared" si="81"/>
        <v/>
      </c>
      <c r="CL268" s="462">
        <f t="shared" si="82"/>
        <v>0</v>
      </c>
      <c r="CM268" s="462">
        <f t="shared" si="83"/>
        <v>0</v>
      </c>
      <c r="CN268" s="462" t="str">
        <f t="shared" si="84"/>
        <v>0349-00</v>
      </c>
    </row>
    <row r="269" spans="1:92" ht="15" thickBot="1" x14ac:dyDescent="0.35">
      <c r="A269" s="376" t="s">
        <v>161</v>
      </c>
      <c r="B269" s="376" t="s">
        <v>162</v>
      </c>
      <c r="C269" s="376" t="s">
        <v>934</v>
      </c>
      <c r="D269" s="376" t="s">
        <v>221</v>
      </c>
      <c r="E269" s="376" t="s">
        <v>935</v>
      </c>
      <c r="F269" s="382" t="s">
        <v>936</v>
      </c>
      <c r="G269" s="376" t="s">
        <v>432</v>
      </c>
      <c r="H269" s="378"/>
      <c r="I269" s="378"/>
      <c r="J269" s="376" t="s">
        <v>168</v>
      </c>
      <c r="K269" s="376" t="s">
        <v>222</v>
      </c>
      <c r="L269" s="376" t="s">
        <v>166</v>
      </c>
      <c r="M269" s="376" t="s">
        <v>225</v>
      </c>
      <c r="N269" s="376" t="s">
        <v>223</v>
      </c>
      <c r="O269" s="379">
        <v>0</v>
      </c>
      <c r="P269" s="460">
        <v>1</v>
      </c>
      <c r="Q269" s="460">
        <v>0</v>
      </c>
      <c r="R269" s="380">
        <v>0</v>
      </c>
      <c r="S269" s="460">
        <v>0</v>
      </c>
      <c r="T269" s="380">
        <v>0</v>
      </c>
      <c r="U269" s="380">
        <v>0</v>
      </c>
      <c r="V269" s="380">
        <v>0</v>
      </c>
      <c r="W269" s="380">
        <v>0</v>
      </c>
      <c r="X269" s="380">
        <v>0</v>
      </c>
      <c r="Y269" s="380">
        <v>0</v>
      </c>
      <c r="Z269" s="380">
        <v>0</v>
      </c>
      <c r="AA269" s="378"/>
      <c r="AB269" s="376" t="s">
        <v>45</v>
      </c>
      <c r="AC269" s="376" t="s">
        <v>45</v>
      </c>
      <c r="AD269" s="378"/>
      <c r="AE269" s="378"/>
      <c r="AF269" s="378"/>
      <c r="AG269" s="378"/>
      <c r="AH269" s="379">
        <v>0</v>
      </c>
      <c r="AI269" s="379">
        <v>0</v>
      </c>
      <c r="AJ269" s="378"/>
      <c r="AK269" s="378"/>
      <c r="AL269" s="376" t="s">
        <v>181</v>
      </c>
      <c r="AM269" s="378"/>
      <c r="AN269" s="378"/>
      <c r="AO269" s="379">
        <v>0</v>
      </c>
      <c r="AP269" s="460">
        <v>0</v>
      </c>
      <c r="AQ269" s="460">
        <v>0</v>
      </c>
      <c r="AR269" s="459"/>
      <c r="AS269" s="462">
        <f t="shared" si="68"/>
        <v>0</v>
      </c>
      <c r="AT269">
        <f t="shared" si="69"/>
        <v>0</v>
      </c>
      <c r="AU269" s="462" t="str">
        <f>IF(AT269=0,"",IF(AND(AT269=1,M269="F",SUMIF(C2:C391,C269,AS2:AS391)&lt;=1),SUMIF(C2:C391,C269,AS2:AS391),IF(AND(AT269=1,M269="F",SUMIF(C2:C391,C269,AS2:AS391)&gt;1),1,"")))</f>
        <v/>
      </c>
      <c r="AV269" s="462" t="str">
        <f>IF(AT269=0,"",IF(AND(AT269=3,M269="F",SUMIF(C2:C391,C269,AS2:AS391)&lt;=1),SUMIF(C2:C391,C269,AS2:AS391),IF(AND(AT269=3,M269="F",SUMIF(C2:C391,C269,AS2:AS391)&gt;1),1,"")))</f>
        <v/>
      </c>
      <c r="AW269" s="462">
        <f>SUMIF(C2:C391,C269,O2:O391)</f>
        <v>0</v>
      </c>
      <c r="AX269" s="462">
        <f>IF(AND(M269="F",AS269&lt;&gt;0),SUMIF(C2:C391,C269,W2:W391),0)</f>
        <v>0</v>
      </c>
      <c r="AY269" s="462" t="str">
        <f t="shared" si="70"/>
        <v/>
      </c>
      <c r="AZ269" s="462" t="str">
        <f t="shared" si="71"/>
        <v/>
      </c>
      <c r="BA269" s="462">
        <f t="shared" si="72"/>
        <v>0</v>
      </c>
      <c r="BB269" s="462">
        <f>IF(AND(AT269=1,AK269="E",AU269&gt;=0.75,AW269=1),Health,IF(AND(AT269=1,AK269="E",AU269&gt;=0.75),Health*P269,IF(AND(AT269=1,AK269="E",AU269&gt;=0.5,AW269=1),PTHealth,IF(AND(AT269=1,AK269="E",AU269&gt;=0.5),PTHealth*P269,0))))</f>
        <v>0</v>
      </c>
      <c r="BC269" s="462">
        <f>IF(AND(AT269=3,AK269="E",AV269&gt;=0.75,AW269=1),Health,IF(AND(AT269=3,AK269="E",AV269&gt;=0.75),Health*P269,IF(AND(AT269=3,AK269="E",AV269&gt;=0.5,AW269=1),PTHealth,IF(AND(AT269=3,AK269="E",AV269&gt;=0.5),PTHealth*P269,0))))</f>
        <v>0</v>
      </c>
      <c r="BD269" s="462">
        <f>IF(AND(AT269&lt;&gt;0,AX269&gt;=MAXSSDI),SSDI*MAXSSDI*P269,IF(AT269&lt;&gt;0,SSDI*W269,0))</f>
        <v>0</v>
      </c>
      <c r="BE269" s="462">
        <f>IF(AT269&lt;&gt;0,SSHI*W269,0)</f>
        <v>0</v>
      </c>
      <c r="BF269" s="462">
        <f>IF(AND(AT269&lt;&gt;0,AN269&lt;&gt;"NE"),VLOOKUP(AN269,Retirement_Rates,3,FALSE)*W269,0)</f>
        <v>0</v>
      </c>
      <c r="BG269" s="462">
        <f>IF(AND(AT269&lt;&gt;0,AJ269&lt;&gt;"PF"),Life*W269,0)</f>
        <v>0</v>
      </c>
      <c r="BH269" s="462">
        <f>IF(AND(AT269&lt;&gt;0,AM269="Y"),UI*W269,0)</f>
        <v>0</v>
      </c>
      <c r="BI269" s="462">
        <f>IF(AND(AT269&lt;&gt;0,N269&lt;&gt;"NR"),DHR*W269,0)</f>
        <v>0</v>
      </c>
      <c r="BJ269" s="462">
        <f>IF(AT269&lt;&gt;0,WC*W269,0)</f>
        <v>0</v>
      </c>
      <c r="BK269" s="462">
        <f>IF(OR(AND(AT269&lt;&gt;0,AJ269&lt;&gt;"PF",AN269&lt;&gt;"NE",AG269&lt;&gt;"A"),AND(AL269="E",OR(AT269=1,AT269=3))),Sick*W269,0)</f>
        <v>0</v>
      </c>
      <c r="BL269" s="462">
        <f t="shared" si="73"/>
        <v>0</v>
      </c>
      <c r="BM269" s="462">
        <f t="shared" si="74"/>
        <v>0</v>
      </c>
      <c r="BN269" s="462">
        <f>IF(AND(AT269=1,AK269="E",AU269&gt;=0.75,AW269=1),HealthBY,IF(AND(AT269=1,AK269="E",AU269&gt;=0.75),HealthBY*P269,IF(AND(AT269=1,AK269="E",AU269&gt;=0.5,AW269=1),PTHealthBY,IF(AND(AT269=1,AK269="E",AU269&gt;=0.5),PTHealthBY*P269,0))))</f>
        <v>0</v>
      </c>
      <c r="BO269" s="462">
        <f>IF(AND(AT269=3,AK269="E",AV269&gt;=0.75,AW269=1),HealthBY,IF(AND(AT269=3,AK269="E",AV269&gt;=0.75),HealthBY*P269,IF(AND(AT269=3,AK269="E",AV269&gt;=0.5,AW269=1),PTHealthBY,IF(AND(AT269=3,AK269="E",AV269&gt;=0.5),PTHealthBY*P269,0))))</f>
        <v>0</v>
      </c>
      <c r="BP269" s="462">
        <f>IF(AND(AT269&lt;&gt;0,(AX269+BA269)&gt;=MAXSSDIBY),SSDIBY*MAXSSDIBY*P269,IF(AT269&lt;&gt;0,SSDIBY*W269,0))</f>
        <v>0</v>
      </c>
      <c r="BQ269" s="462">
        <f>IF(AT269&lt;&gt;0,SSHIBY*W269,0)</f>
        <v>0</v>
      </c>
      <c r="BR269" s="462">
        <f>IF(AND(AT269&lt;&gt;0,AN269&lt;&gt;"NE"),VLOOKUP(AN269,Retirement_Rates,4,FALSE)*W269,0)</f>
        <v>0</v>
      </c>
      <c r="BS269" s="462">
        <f>IF(AND(AT269&lt;&gt;0,AJ269&lt;&gt;"PF"),LifeBY*W269,0)</f>
        <v>0</v>
      </c>
      <c r="BT269" s="462">
        <f>IF(AND(AT269&lt;&gt;0,AM269="Y"),UIBY*W269,0)</f>
        <v>0</v>
      </c>
      <c r="BU269" s="462">
        <f>IF(AND(AT269&lt;&gt;0,N269&lt;&gt;"NR"),DHRBY*W269,0)</f>
        <v>0</v>
      </c>
      <c r="BV269" s="462">
        <f>IF(AT269&lt;&gt;0,WCBY*W269,0)</f>
        <v>0</v>
      </c>
      <c r="BW269" s="462">
        <f>IF(OR(AND(AT269&lt;&gt;0,AJ269&lt;&gt;"PF",AN269&lt;&gt;"NE",AG269&lt;&gt;"A"),AND(AL269="E",OR(AT269=1,AT269=3))),SickBY*W269,0)</f>
        <v>0</v>
      </c>
      <c r="BX269" s="462">
        <f t="shared" si="75"/>
        <v>0</v>
      </c>
      <c r="BY269" s="462">
        <f t="shared" si="76"/>
        <v>0</v>
      </c>
      <c r="BZ269" s="462">
        <f t="shared" si="77"/>
        <v>0</v>
      </c>
      <c r="CA269" s="462">
        <f t="shared" si="78"/>
        <v>0</v>
      </c>
      <c r="CB269" s="462">
        <f t="shared" si="79"/>
        <v>0</v>
      </c>
      <c r="CC269" s="462">
        <f>IF(AT269&lt;&gt;0,SSHICHG*Y269,0)</f>
        <v>0</v>
      </c>
      <c r="CD269" s="462">
        <f>IF(AND(AT269&lt;&gt;0,AN269&lt;&gt;"NE"),VLOOKUP(AN269,Retirement_Rates,5,FALSE)*Y269,0)</f>
        <v>0</v>
      </c>
      <c r="CE269" s="462">
        <f>IF(AND(AT269&lt;&gt;0,AJ269&lt;&gt;"PF"),LifeCHG*Y269,0)</f>
        <v>0</v>
      </c>
      <c r="CF269" s="462">
        <f>IF(AND(AT269&lt;&gt;0,AM269="Y"),UICHG*Y269,0)</f>
        <v>0</v>
      </c>
      <c r="CG269" s="462">
        <f>IF(AND(AT269&lt;&gt;0,N269&lt;&gt;"NR"),DHRCHG*Y269,0)</f>
        <v>0</v>
      </c>
      <c r="CH269" s="462">
        <f>IF(AT269&lt;&gt;0,WCCHG*Y269,0)</f>
        <v>0</v>
      </c>
      <c r="CI269" s="462">
        <f>IF(OR(AND(AT269&lt;&gt;0,AJ269&lt;&gt;"PF",AN269&lt;&gt;"NE",AG269&lt;&gt;"A"),AND(AL269="E",OR(AT269=1,AT269=3))),SickCHG*Y269,0)</f>
        <v>0</v>
      </c>
      <c r="CJ269" s="462">
        <f t="shared" si="80"/>
        <v>0</v>
      </c>
      <c r="CK269" s="462" t="str">
        <f t="shared" si="81"/>
        <v/>
      </c>
      <c r="CL269" s="462">
        <f t="shared" si="82"/>
        <v>0</v>
      </c>
      <c r="CM269" s="462">
        <f t="shared" si="83"/>
        <v>0</v>
      </c>
      <c r="CN269" s="462" t="str">
        <f t="shared" si="84"/>
        <v>0496-01</v>
      </c>
    </row>
    <row r="270" spans="1:92" ht="15" thickBot="1" x14ac:dyDescent="0.35">
      <c r="A270" s="376" t="s">
        <v>161</v>
      </c>
      <c r="B270" s="376" t="s">
        <v>162</v>
      </c>
      <c r="C270" s="376" t="s">
        <v>937</v>
      </c>
      <c r="D270" s="376" t="s">
        <v>221</v>
      </c>
      <c r="E270" s="376" t="s">
        <v>935</v>
      </c>
      <c r="F270" s="382" t="s">
        <v>936</v>
      </c>
      <c r="G270" s="376" t="s">
        <v>432</v>
      </c>
      <c r="H270" s="378"/>
      <c r="I270" s="378"/>
      <c r="J270" s="376" t="s">
        <v>168</v>
      </c>
      <c r="K270" s="376" t="s">
        <v>222</v>
      </c>
      <c r="L270" s="376" t="s">
        <v>166</v>
      </c>
      <c r="M270" s="376" t="s">
        <v>225</v>
      </c>
      <c r="N270" s="376" t="s">
        <v>223</v>
      </c>
      <c r="O270" s="379">
        <v>0</v>
      </c>
      <c r="P270" s="460">
        <v>1</v>
      </c>
      <c r="Q270" s="460">
        <v>0</v>
      </c>
      <c r="R270" s="380">
        <v>0</v>
      </c>
      <c r="S270" s="460">
        <v>0</v>
      </c>
      <c r="T270" s="380">
        <v>0</v>
      </c>
      <c r="U270" s="380">
        <v>0</v>
      </c>
      <c r="V270" s="380">
        <v>0</v>
      </c>
      <c r="W270" s="380">
        <v>0</v>
      </c>
      <c r="X270" s="380">
        <v>0</v>
      </c>
      <c r="Y270" s="380">
        <v>0</v>
      </c>
      <c r="Z270" s="380">
        <v>0</v>
      </c>
      <c r="AA270" s="378"/>
      <c r="AB270" s="376" t="s">
        <v>45</v>
      </c>
      <c r="AC270" s="376" t="s">
        <v>45</v>
      </c>
      <c r="AD270" s="378"/>
      <c r="AE270" s="378"/>
      <c r="AF270" s="378"/>
      <c r="AG270" s="378"/>
      <c r="AH270" s="379">
        <v>0</v>
      </c>
      <c r="AI270" s="379">
        <v>0</v>
      </c>
      <c r="AJ270" s="378"/>
      <c r="AK270" s="378"/>
      <c r="AL270" s="376" t="s">
        <v>181</v>
      </c>
      <c r="AM270" s="378"/>
      <c r="AN270" s="378"/>
      <c r="AO270" s="379">
        <v>0</v>
      </c>
      <c r="AP270" s="460">
        <v>0</v>
      </c>
      <c r="AQ270" s="460">
        <v>0</v>
      </c>
      <c r="AR270" s="459"/>
      <c r="AS270" s="462">
        <f t="shared" si="68"/>
        <v>0</v>
      </c>
      <c r="AT270">
        <f t="shared" si="69"/>
        <v>0</v>
      </c>
      <c r="AU270" s="462" t="str">
        <f>IF(AT270=0,"",IF(AND(AT270=1,M270="F",SUMIF(C2:C391,C270,AS2:AS391)&lt;=1),SUMIF(C2:C391,C270,AS2:AS391),IF(AND(AT270=1,M270="F",SUMIF(C2:C391,C270,AS2:AS391)&gt;1),1,"")))</f>
        <v/>
      </c>
      <c r="AV270" s="462" t="str">
        <f>IF(AT270=0,"",IF(AND(AT270=3,M270="F",SUMIF(C2:C391,C270,AS2:AS391)&lt;=1),SUMIF(C2:C391,C270,AS2:AS391),IF(AND(AT270=3,M270="F",SUMIF(C2:C391,C270,AS2:AS391)&gt;1),1,"")))</f>
        <v/>
      </c>
      <c r="AW270" s="462">
        <f>SUMIF(C2:C391,C270,O2:O391)</f>
        <v>0</v>
      </c>
      <c r="AX270" s="462">
        <f>IF(AND(M270="F",AS270&lt;&gt;0),SUMIF(C2:C391,C270,W2:W391),0)</f>
        <v>0</v>
      </c>
      <c r="AY270" s="462" t="str">
        <f t="shared" si="70"/>
        <v/>
      </c>
      <c r="AZ270" s="462" t="str">
        <f t="shared" si="71"/>
        <v/>
      </c>
      <c r="BA270" s="462">
        <f t="shared" si="72"/>
        <v>0</v>
      </c>
      <c r="BB270" s="462">
        <f>IF(AND(AT270=1,AK270="E",AU270&gt;=0.75,AW270=1),Health,IF(AND(AT270=1,AK270="E",AU270&gt;=0.75),Health*P270,IF(AND(AT270=1,AK270="E",AU270&gt;=0.5,AW270=1),PTHealth,IF(AND(AT270=1,AK270="E",AU270&gt;=0.5),PTHealth*P270,0))))</f>
        <v>0</v>
      </c>
      <c r="BC270" s="462">
        <f>IF(AND(AT270=3,AK270="E",AV270&gt;=0.75,AW270=1),Health,IF(AND(AT270=3,AK270="E",AV270&gt;=0.75),Health*P270,IF(AND(AT270=3,AK270="E",AV270&gt;=0.5,AW270=1),PTHealth,IF(AND(AT270=3,AK270="E",AV270&gt;=0.5),PTHealth*P270,0))))</f>
        <v>0</v>
      </c>
      <c r="BD270" s="462">
        <f>IF(AND(AT270&lt;&gt;0,AX270&gt;=MAXSSDI),SSDI*MAXSSDI*P270,IF(AT270&lt;&gt;0,SSDI*W270,0))</f>
        <v>0</v>
      </c>
      <c r="BE270" s="462">
        <f>IF(AT270&lt;&gt;0,SSHI*W270,0)</f>
        <v>0</v>
      </c>
      <c r="BF270" s="462">
        <f>IF(AND(AT270&lt;&gt;0,AN270&lt;&gt;"NE"),VLOOKUP(AN270,Retirement_Rates,3,FALSE)*W270,0)</f>
        <v>0</v>
      </c>
      <c r="BG270" s="462">
        <f>IF(AND(AT270&lt;&gt;0,AJ270&lt;&gt;"PF"),Life*W270,0)</f>
        <v>0</v>
      </c>
      <c r="BH270" s="462">
        <f>IF(AND(AT270&lt;&gt;0,AM270="Y"),UI*W270,0)</f>
        <v>0</v>
      </c>
      <c r="BI270" s="462">
        <f>IF(AND(AT270&lt;&gt;0,N270&lt;&gt;"NR"),DHR*W270,0)</f>
        <v>0</v>
      </c>
      <c r="BJ270" s="462">
        <f>IF(AT270&lt;&gt;0,WC*W270,0)</f>
        <v>0</v>
      </c>
      <c r="BK270" s="462">
        <f>IF(OR(AND(AT270&lt;&gt;0,AJ270&lt;&gt;"PF",AN270&lt;&gt;"NE",AG270&lt;&gt;"A"),AND(AL270="E",OR(AT270=1,AT270=3))),Sick*W270,0)</f>
        <v>0</v>
      </c>
      <c r="BL270" s="462">
        <f t="shared" si="73"/>
        <v>0</v>
      </c>
      <c r="BM270" s="462">
        <f t="shared" si="74"/>
        <v>0</v>
      </c>
      <c r="BN270" s="462">
        <f>IF(AND(AT270=1,AK270="E",AU270&gt;=0.75,AW270=1),HealthBY,IF(AND(AT270=1,AK270="E",AU270&gt;=0.75),HealthBY*P270,IF(AND(AT270=1,AK270="E",AU270&gt;=0.5,AW270=1),PTHealthBY,IF(AND(AT270=1,AK270="E",AU270&gt;=0.5),PTHealthBY*P270,0))))</f>
        <v>0</v>
      </c>
      <c r="BO270" s="462">
        <f>IF(AND(AT270=3,AK270="E",AV270&gt;=0.75,AW270=1),HealthBY,IF(AND(AT270=3,AK270="E",AV270&gt;=0.75),HealthBY*P270,IF(AND(AT270=3,AK270="E",AV270&gt;=0.5,AW270=1),PTHealthBY,IF(AND(AT270=3,AK270="E",AV270&gt;=0.5),PTHealthBY*P270,0))))</f>
        <v>0</v>
      </c>
      <c r="BP270" s="462">
        <f>IF(AND(AT270&lt;&gt;0,(AX270+BA270)&gt;=MAXSSDIBY),SSDIBY*MAXSSDIBY*P270,IF(AT270&lt;&gt;0,SSDIBY*W270,0))</f>
        <v>0</v>
      </c>
      <c r="BQ270" s="462">
        <f>IF(AT270&lt;&gt;0,SSHIBY*W270,0)</f>
        <v>0</v>
      </c>
      <c r="BR270" s="462">
        <f>IF(AND(AT270&lt;&gt;0,AN270&lt;&gt;"NE"),VLOOKUP(AN270,Retirement_Rates,4,FALSE)*W270,0)</f>
        <v>0</v>
      </c>
      <c r="BS270" s="462">
        <f>IF(AND(AT270&lt;&gt;0,AJ270&lt;&gt;"PF"),LifeBY*W270,0)</f>
        <v>0</v>
      </c>
      <c r="BT270" s="462">
        <f>IF(AND(AT270&lt;&gt;0,AM270="Y"),UIBY*W270,0)</f>
        <v>0</v>
      </c>
      <c r="BU270" s="462">
        <f>IF(AND(AT270&lt;&gt;0,N270&lt;&gt;"NR"),DHRBY*W270,0)</f>
        <v>0</v>
      </c>
      <c r="BV270" s="462">
        <f>IF(AT270&lt;&gt;0,WCBY*W270,0)</f>
        <v>0</v>
      </c>
      <c r="BW270" s="462">
        <f>IF(OR(AND(AT270&lt;&gt;0,AJ270&lt;&gt;"PF",AN270&lt;&gt;"NE",AG270&lt;&gt;"A"),AND(AL270="E",OR(AT270=1,AT270=3))),SickBY*W270,0)</f>
        <v>0</v>
      </c>
      <c r="BX270" s="462">
        <f t="shared" si="75"/>
        <v>0</v>
      </c>
      <c r="BY270" s="462">
        <f t="shared" si="76"/>
        <v>0</v>
      </c>
      <c r="BZ270" s="462">
        <f t="shared" si="77"/>
        <v>0</v>
      </c>
      <c r="CA270" s="462">
        <f t="shared" si="78"/>
        <v>0</v>
      </c>
      <c r="CB270" s="462">
        <f t="shared" si="79"/>
        <v>0</v>
      </c>
      <c r="CC270" s="462">
        <f>IF(AT270&lt;&gt;0,SSHICHG*Y270,0)</f>
        <v>0</v>
      </c>
      <c r="CD270" s="462">
        <f>IF(AND(AT270&lt;&gt;0,AN270&lt;&gt;"NE"),VLOOKUP(AN270,Retirement_Rates,5,FALSE)*Y270,0)</f>
        <v>0</v>
      </c>
      <c r="CE270" s="462">
        <f>IF(AND(AT270&lt;&gt;0,AJ270&lt;&gt;"PF"),LifeCHG*Y270,0)</f>
        <v>0</v>
      </c>
      <c r="CF270" s="462">
        <f>IF(AND(AT270&lt;&gt;0,AM270="Y"),UICHG*Y270,0)</f>
        <v>0</v>
      </c>
      <c r="CG270" s="462">
        <f>IF(AND(AT270&lt;&gt;0,N270&lt;&gt;"NR"),DHRCHG*Y270,0)</f>
        <v>0</v>
      </c>
      <c r="CH270" s="462">
        <f>IF(AT270&lt;&gt;0,WCCHG*Y270,0)</f>
        <v>0</v>
      </c>
      <c r="CI270" s="462">
        <f>IF(OR(AND(AT270&lt;&gt;0,AJ270&lt;&gt;"PF",AN270&lt;&gt;"NE",AG270&lt;&gt;"A"),AND(AL270="E",OR(AT270=1,AT270=3))),SickCHG*Y270,0)</f>
        <v>0</v>
      </c>
      <c r="CJ270" s="462">
        <f t="shared" si="80"/>
        <v>0</v>
      </c>
      <c r="CK270" s="462" t="str">
        <f t="shared" si="81"/>
        <v/>
      </c>
      <c r="CL270" s="462">
        <f t="shared" si="82"/>
        <v>0</v>
      </c>
      <c r="CM270" s="462">
        <f t="shared" si="83"/>
        <v>0</v>
      </c>
      <c r="CN270" s="462" t="str">
        <f t="shared" si="84"/>
        <v>0496-01</v>
      </c>
    </row>
    <row r="271" spans="1:92" ht="15" thickBot="1" x14ac:dyDescent="0.35">
      <c r="A271" s="376" t="s">
        <v>161</v>
      </c>
      <c r="B271" s="376" t="s">
        <v>162</v>
      </c>
      <c r="C271" s="376" t="s">
        <v>938</v>
      </c>
      <c r="D271" s="376" t="s">
        <v>221</v>
      </c>
      <c r="E271" s="376" t="s">
        <v>935</v>
      </c>
      <c r="F271" s="382" t="s">
        <v>384</v>
      </c>
      <c r="G271" s="376" t="s">
        <v>432</v>
      </c>
      <c r="H271" s="378"/>
      <c r="I271" s="378"/>
      <c r="J271" s="376" t="s">
        <v>168</v>
      </c>
      <c r="K271" s="376" t="s">
        <v>222</v>
      </c>
      <c r="L271" s="376" t="s">
        <v>166</v>
      </c>
      <c r="M271" s="376" t="s">
        <v>225</v>
      </c>
      <c r="N271" s="376" t="s">
        <v>223</v>
      </c>
      <c r="O271" s="379">
        <v>0</v>
      </c>
      <c r="P271" s="460">
        <v>1</v>
      </c>
      <c r="Q271" s="460">
        <v>0</v>
      </c>
      <c r="R271" s="380">
        <v>0</v>
      </c>
      <c r="S271" s="460">
        <v>0</v>
      </c>
      <c r="T271" s="380">
        <v>0</v>
      </c>
      <c r="U271" s="380">
        <v>0</v>
      </c>
      <c r="V271" s="380">
        <v>0</v>
      </c>
      <c r="W271" s="380">
        <v>0</v>
      </c>
      <c r="X271" s="380">
        <v>0</v>
      </c>
      <c r="Y271" s="380">
        <v>0</v>
      </c>
      <c r="Z271" s="380">
        <v>0</v>
      </c>
      <c r="AA271" s="378"/>
      <c r="AB271" s="376" t="s">
        <v>45</v>
      </c>
      <c r="AC271" s="376" t="s">
        <v>45</v>
      </c>
      <c r="AD271" s="378"/>
      <c r="AE271" s="378"/>
      <c r="AF271" s="378"/>
      <c r="AG271" s="378"/>
      <c r="AH271" s="379">
        <v>0</v>
      </c>
      <c r="AI271" s="379">
        <v>0</v>
      </c>
      <c r="AJ271" s="378"/>
      <c r="AK271" s="378"/>
      <c r="AL271" s="376" t="s">
        <v>181</v>
      </c>
      <c r="AM271" s="378"/>
      <c r="AN271" s="378"/>
      <c r="AO271" s="379">
        <v>0</v>
      </c>
      <c r="AP271" s="460">
        <v>0</v>
      </c>
      <c r="AQ271" s="460">
        <v>0</v>
      </c>
      <c r="AR271" s="459"/>
      <c r="AS271" s="462">
        <f t="shared" si="68"/>
        <v>0</v>
      </c>
      <c r="AT271">
        <f t="shared" si="69"/>
        <v>0</v>
      </c>
      <c r="AU271" s="462" t="str">
        <f>IF(AT271=0,"",IF(AND(AT271=1,M271="F",SUMIF(C2:C391,C271,AS2:AS391)&lt;=1),SUMIF(C2:C391,C271,AS2:AS391),IF(AND(AT271=1,M271="F",SUMIF(C2:C391,C271,AS2:AS391)&gt;1),1,"")))</f>
        <v/>
      </c>
      <c r="AV271" s="462" t="str">
        <f>IF(AT271=0,"",IF(AND(AT271=3,M271="F",SUMIF(C2:C391,C271,AS2:AS391)&lt;=1),SUMIF(C2:C391,C271,AS2:AS391),IF(AND(AT271=3,M271="F",SUMIF(C2:C391,C271,AS2:AS391)&gt;1),1,"")))</f>
        <v/>
      </c>
      <c r="AW271" s="462">
        <f>SUMIF(C2:C391,C271,O2:O391)</f>
        <v>0</v>
      </c>
      <c r="AX271" s="462">
        <f>IF(AND(M271="F",AS271&lt;&gt;0),SUMIF(C2:C391,C271,W2:W391),0)</f>
        <v>0</v>
      </c>
      <c r="AY271" s="462" t="str">
        <f t="shared" si="70"/>
        <v/>
      </c>
      <c r="AZ271" s="462" t="str">
        <f t="shared" si="71"/>
        <v/>
      </c>
      <c r="BA271" s="462">
        <f t="shared" si="72"/>
        <v>0</v>
      </c>
      <c r="BB271" s="462">
        <f>IF(AND(AT271=1,AK271="E",AU271&gt;=0.75,AW271=1),Health,IF(AND(AT271=1,AK271="E",AU271&gt;=0.75),Health*P271,IF(AND(AT271=1,AK271="E",AU271&gt;=0.5,AW271=1),PTHealth,IF(AND(AT271=1,AK271="E",AU271&gt;=0.5),PTHealth*P271,0))))</f>
        <v>0</v>
      </c>
      <c r="BC271" s="462">
        <f>IF(AND(AT271=3,AK271="E",AV271&gt;=0.75,AW271=1),Health,IF(AND(AT271=3,AK271="E",AV271&gt;=0.75),Health*P271,IF(AND(AT271=3,AK271="E",AV271&gt;=0.5,AW271=1),PTHealth,IF(AND(AT271=3,AK271="E",AV271&gt;=0.5),PTHealth*P271,0))))</f>
        <v>0</v>
      </c>
      <c r="BD271" s="462">
        <f>IF(AND(AT271&lt;&gt;0,AX271&gt;=MAXSSDI),SSDI*MAXSSDI*P271,IF(AT271&lt;&gt;0,SSDI*W271,0))</f>
        <v>0</v>
      </c>
      <c r="BE271" s="462">
        <f>IF(AT271&lt;&gt;0,SSHI*W271,0)</f>
        <v>0</v>
      </c>
      <c r="BF271" s="462">
        <f>IF(AND(AT271&lt;&gt;0,AN271&lt;&gt;"NE"),VLOOKUP(AN271,Retirement_Rates,3,FALSE)*W271,0)</f>
        <v>0</v>
      </c>
      <c r="BG271" s="462">
        <f>IF(AND(AT271&lt;&gt;0,AJ271&lt;&gt;"PF"),Life*W271,0)</f>
        <v>0</v>
      </c>
      <c r="BH271" s="462">
        <f>IF(AND(AT271&lt;&gt;0,AM271="Y"),UI*W271,0)</f>
        <v>0</v>
      </c>
      <c r="BI271" s="462">
        <f>IF(AND(AT271&lt;&gt;0,N271&lt;&gt;"NR"),DHR*W271,0)</f>
        <v>0</v>
      </c>
      <c r="BJ271" s="462">
        <f>IF(AT271&lt;&gt;0,WC*W271,0)</f>
        <v>0</v>
      </c>
      <c r="BK271" s="462">
        <f>IF(OR(AND(AT271&lt;&gt;0,AJ271&lt;&gt;"PF",AN271&lt;&gt;"NE",AG271&lt;&gt;"A"),AND(AL271="E",OR(AT271=1,AT271=3))),Sick*W271,0)</f>
        <v>0</v>
      </c>
      <c r="BL271" s="462">
        <f t="shared" si="73"/>
        <v>0</v>
      </c>
      <c r="BM271" s="462">
        <f t="shared" si="74"/>
        <v>0</v>
      </c>
      <c r="BN271" s="462">
        <f>IF(AND(AT271=1,AK271="E",AU271&gt;=0.75,AW271=1),HealthBY,IF(AND(AT271=1,AK271="E",AU271&gt;=0.75),HealthBY*P271,IF(AND(AT271=1,AK271="E",AU271&gt;=0.5,AW271=1),PTHealthBY,IF(AND(AT271=1,AK271="E",AU271&gt;=0.5),PTHealthBY*P271,0))))</f>
        <v>0</v>
      </c>
      <c r="BO271" s="462">
        <f>IF(AND(AT271=3,AK271="E",AV271&gt;=0.75,AW271=1),HealthBY,IF(AND(AT271=3,AK271="E",AV271&gt;=0.75),HealthBY*P271,IF(AND(AT271=3,AK271="E",AV271&gt;=0.5,AW271=1),PTHealthBY,IF(AND(AT271=3,AK271="E",AV271&gt;=0.5),PTHealthBY*P271,0))))</f>
        <v>0</v>
      </c>
      <c r="BP271" s="462">
        <f>IF(AND(AT271&lt;&gt;0,(AX271+BA271)&gt;=MAXSSDIBY),SSDIBY*MAXSSDIBY*P271,IF(AT271&lt;&gt;0,SSDIBY*W271,0))</f>
        <v>0</v>
      </c>
      <c r="BQ271" s="462">
        <f>IF(AT271&lt;&gt;0,SSHIBY*W271,0)</f>
        <v>0</v>
      </c>
      <c r="BR271" s="462">
        <f>IF(AND(AT271&lt;&gt;0,AN271&lt;&gt;"NE"),VLOOKUP(AN271,Retirement_Rates,4,FALSE)*W271,0)</f>
        <v>0</v>
      </c>
      <c r="BS271" s="462">
        <f>IF(AND(AT271&lt;&gt;0,AJ271&lt;&gt;"PF"),LifeBY*W271,0)</f>
        <v>0</v>
      </c>
      <c r="BT271" s="462">
        <f>IF(AND(AT271&lt;&gt;0,AM271="Y"),UIBY*W271,0)</f>
        <v>0</v>
      </c>
      <c r="BU271" s="462">
        <f>IF(AND(AT271&lt;&gt;0,N271&lt;&gt;"NR"),DHRBY*W271,0)</f>
        <v>0</v>
      </c>
      <c r="BV271" s="462">
        <f>IF(AT271&lt;&gt;0,WCBY*W271,0)</f>
        <v>0</v>
      </c>
      <c r="BW271" s="462">
        <f>IF(OR(AND(AT271&lt;&gt;0,AJ271&lt;&gt;"PF",AN271&lt;&gt;"NE",AG271&lt;&gt;"A"),AND(AL271="E",OR(AT271=1,AT271=3))),SickBY*W271,0)</f>
        <v>0</v>
      </c>
      <c r="BX271" s="462">
        <f t="shared" si="75"/>
        <v>0</v>
      </c>
      <c r="BY271" s="462">
        <f t="shared" si="76"/>
        <v>0</v>
      </c>
      <c r="BZ271" s="462">
        <f t="shared" si="77"/>
        <v>0</v>
      </c>
      <c r="CA271" s="462">
        <f t="shared" si="78"/>
        <v>0</v>
      </c>
      <c r="CB271" s="462">
        <f t="shared" si="79"/>
        <v>0</v>
      </c>
      <c r="CC271" s="462">
        <f>IF(AT271&lt;&gt;0,SSHICHG*Y271,0)</f>
        <v>0</v>
      </c>
      <c r="CD271" s="462">
        <f>IF(AND(AT271&lt;&gt;0,AN271&lt;&gt;"NE"),VLOOKUP(AN271,Retirement_Rates,5,FALSE)*Y271,0)</f>
        <v>0</v>
      </c>
      <c r="CE271" s="462">
        <f>IF(AND(AT271&lt;&gt;0,AJ271&lt;&gt;"PF"),LifeCHG*Y271,0)</f>
        <v>0</v>
      </c>
      <c r="CF271" s="462">
        <f>IF(AND(AT271&lt;&gt;0,AM271="Y"),UICHG*Y271,0)</f>
        <v>0</v>
      </c>
      <c r="CG271" s="462">
        <f>IF(AND(AT271&lt;&gt;0,N271&lt;&gt;"NR"),DHRCHG*Y271,0)</f>
        <v>0</v>
      </c>
      <c r="CH271" s="462">
        <f>IF(AT271&lt;&gt;0,WCCHG*Y271,0)</f>
        <v>0</v>
      </c>
      <c r="CI271" s="462">
        <f>IF(OR(AND(AT271&lt;&gt;0,AJ271&lt;&gt;"PF",AN271&lt;&gt;"NE",AG271&lt;&gt;"A"),AND(AL271="E",OR(AT271=1,AT271=3))),SickCHG*Y271,0)</f>
        <v>0</v>
      </c>
      <c r="CJ271" s="462">
        <f t="shared" si="80"/>
        <v>0</v>
      </c>
      <c r="CK271" s="462" t="str">
        <f t="shared" si="81"/>
        <v/>
      </c>
      <c r="CL271" s="462">
        <f t="shared" si="82"/>
        <v>0</v>
      </c>
      <c r="CM271" s="462">
        <f t="shared" si="83"/>
        <v>0</v>
      </c>
      <c r="CN271" s="462" t="str">
        <f t="shared" si="84"/>
        <v>0496-02</v>
      </c>
    </row>
    <row r="272" spans="1:92" ht="15" thickBot="1" x14ac:dyDescent="0.35">
      <c r="A272" s="376" t="s">
        <v>161</v>
      </c>
      <c r="B272" s="376" t="s">
        <v>162</v>
      </c>
      <c r="C272" s="376" t="s">
        <v>516</v>
      </c>
      <c r="D272" s="376" t="s">
        <v>185</v>
      </c>
      <c r="E272" s="376" t="s">
        <v>935</v>
      </c>
      <c r="F272" s="382" t="s">
        <v>384</v>
      </c>
      <c r="G272" s="376" t="s">
        <v>432</v>
      </c>
      <c r="H272" s="378"/>
      <c r="I272" s="378"/>
      <c r="J272" s="376" t="s">
        <v>168</v>
      </c>
      <c r="K272" s="376" t="s">
        <v>186</v>
      </c>
      <c r="L272" s="376" t="s">
        <v>178</v>
      </c>
      <c r="M272" s="376" t="s">
        <v>171</v>
      </c>
      <c r="N272" s="376" t="s">
        <v>172</v>
      </c>
      <c r="O272" s="379">
        <v>1</v>
      </c>
      <c r="P272" s="460">
        <v>1</v>
      </c>
      <c r="Q272" s="460">
        <v>1</v>
      </c>
      <c r="R272" s="380">
        <v>80</v>
      </c>
      <c r="S272" s="460">
        <v>1</v>
      </c>
      <c r="T272" s="380">
        <v>14613.84</v>
      </c>
      <c r="U272" s="380">
        <v>0</v>
      </c>
      <c r="V272" s="380">
        <v>8570.26</v>
      </c>
      <c r="W272" s="380">
        <v>32468.799999999999</v>
      </c>
      <c r="X272" s="380">
        <v>19376.57</v>
      </c>
      <c r="Y272" s="380">
        <v>32468.799999999999</v>
      </c>
      <c r="Z272" s="380">
        <v>19470.73</v>
      </c>
      <c r="AA272" s="376" t="s">
        <v>517</v>
      </c>
      <c r="AB272" s="376" t="s">
        <v>518</v>
      </c>
      <c r="AC272" s="376" t="s">
        <v>519</v>
      </c>
      <c r="AD272" s="376" t="s">
        <v>170</v>
      </c>
      <c r="AE272" s="376" t="s">
        <v>186</v>
      </c>
      <c r="AF272" s="376" t="s">
        <v>190</v>
      </c>
      <c r="AG272" s="376" t="s">
        <v>178</v>
      </c>
      <c r="AH272" s="381">
        <v>15.61</v>
      </c>
      <c r="AI272" s="381">
        <v>25395.8</v>
      </c>
      <c r="AJ272" s="376" t="s">
        <v>179</v>
      </c>
      <c r="AK272" s="376" t="s">
        <v>180</v>
      </c>
      <c r="AL272" s="376" t="s">
        <v>181</v>
      </c>
      <c r="AM272" s="376" t="s">
        <v>182</v>
      </c>
      <c r="AN272" s="376" t="s">
        <v>68</v>
      </c>
      <c r="AO272" s="379">
        <v>80</v>
      </c>
      <c r="AP272" s="460">
        <v>1</v>
      </c>
      <c r="AQ272" s="460">
        <v>1</v>
      </c>
      <c r="AR272" s="458" t="s">
        <v>183</v>
      </c>
      <c r="AS272" s="462">
        <f t="shared" si="68"/>
        <v>1</v>
      </c>
      <c r="AT272">
        <f t="shared" si="69"/>
        <v>1</v>
      </c>
      <c r="AU272" s="462">
        <f>IF(AT272=0,"",IF(AND(AT272=1,M272="F",SUMIF(C2:C391,C272,AS2:AS391)&lt;=1),SUMIF(C2:C391,C272,AS2:AS391),IF(AND(AT272=1,M272="F",SUMIF(C2:C391,C272,AS2:AS391)&gt;1),1,"")))</f>
        <v>1</v>
      </c>
      <c r="AV272" s="462" t="str">
        <f>IF(AT272=0,"",IF(AND(AT272=3,M272="F",SUMIF(C2:C391,C272,AS2:AS391)&lt;=1),SUMIF(C2:C391,C272,AS2:AS391),IF(AND(AT272=3,M272="F",SUMIF(C2:C391,C272,AS2:AS391)&gt;1),1,"")))</f>
        <v/>
      </c>
      <c r="AW272" s="462">
        <f>SUMIF(C2:C391,C272,O2:O391)</f>
        <v>2</v>
      </c>
      <c r="AX272" s="462">
        <f>IF(AND(M272="F",AS272&lt;&gt;0),SUMIF(C2:C391,C272,W2:W391),0)</f>
        <v>32468.799999999999</v>
      </c>
      <c r="AY272" s="462">
        <f t="shared" si="70"/>
        <v>32468.799999999999</v>
      </c>
      <c r="AZ272" s="462" t="str">
        <f t="shared" si="71"/>
        <v/>
      </c>
      <c r="BA272" s="462">
        <f t="shared" si="72"/>
        <v>0</v>
      </c>
      <c r="BB272" s="462">
        <f>IF(AND(AT272=1,AK272="E",AU272&gt;=0.75,AW272=1),Health,IF(AND(AT272=1,AK272="E",AU272&gt;=0.75),Health*P272,IF(AND(AT272=1,AK272="E",AU272&gt;=0.5,AW272=1),PTHealth,IF(AND(AT272=1,AK272="E",AU272&gt;=0.5),PTHealth*P272,0))))</f>
        <v>11650</v>
      </c>
      <c r="BC272" s="462">
        <f>IF(AND(AT272=3,AK272="E",AV272&gt;=0.75,AW272=1),Health,IF(AND(AT272=3,AK272="E",AV272&gt;=0.75),Health*P272,IF(AND(AT272=3,AK272="E",AV272&gt;=0.5,AW272=1),PTHealth,IF(AND(AT272=3,AK272="E",AV272&gt;=0.5),PTHealth*P272,0))))</f>
        <v>0</v>
      </c>
      <c r="BD272" s="462">
        <f>IF(AND(AT272&lt;&gt;0,AX272&gt;=MAXSSDI),SSDI*MAXSSDI*P272,IF(AT272&lt;&gt;0,SSDI*W272,0))</f>
        <v>2013.0655999999999</v>
      </c>
      <c r="BE272" s="462">
        <f>IF(AT272&lt;&gt;0,SSHI*W272,0)</f>
        <v>470.79759999999999</v>
      </c>
      <c r="BF272" s="462">
        <f>IF(AND(AT272&lt;&gt;0,AN272&lt;&gt;"NE"),VLOOKUP(AN272,Retirement_Rates,3,FALSE)*W272,0)</f>
        <v>3876.7747199999999</v>
      </c>
      <c r="BG272" s="462">
        <f>IF(AND(AT272&lt;&gt;0,AJ272&lt;&gt;"PF"),Life*W272,0)</f>
        <v>234.10004800000002</v>
      </c>
      <c r="BH272" s="462">
        <f>IF(AND(AT272&lt;&gt;0,AM272="Y"),UI*W272,0)</f>
        <v>159.09711999999999</v>
      </c>
      <c r="BI272" s="462">
        <f>IF(AND(AT272&lt;&gt;0,N272&lt;&gt;"NR"),DHR*W272,0)</f>
        <v>99.354527999999988</v>
      </c>
      <c r="BJ272" s="462">
        <f>IF(AT272&lt;&gt;0,WC*W272,0)</f>
        <v>873.41071999999997</v>
      </c>
      <c r="BK272" s="462">
        <f>IF(OR(AND(AT272&lt;&gt;0,AJ272&lt;&gt;"PF",AN272&lt;&gt;"NE",AG272&lt;&gt;"A"),AND(AL272="E",OR(AT272=1,AT272=3))),Sick*W272,0)</f>
        <v>0</v>
      </c>
      <c r="BL272" s="462">
        <f t="shared" si="73"/>
        <v>7726.6003359999995</v>
      </c>
      <c r="BM272" s="462">
        <f t="shared" si="74"/>
        <v>0</v>
      </c>
      <c r="BN272" s="462">
        <f>IF(AND(AT272=1,AK272="E",AU272&gt;=0.75,AW272=1),HealthBY,IF(AND(AT272=1,AK272="E",AU272&gt;=0.75),HealthBY*P272,IF(AND(AT272=1,AK272="E",AU272&gt;=0.5,AW272=1),PTHealthBY,IF(AND(AT272=1,AK272="E",AU272&gt;=0.5),PTHealthBY*P272,0))))</f>
        <v>11650</v>
      </c>
      <c r="BO272" s="462">
        <f>IF(AND(AT272=3,AK272="E",AV272&gt;=0.75,AW272=1),HealthBY,IF(AND(AT272=3,AK272="E",AV272&gt;=0.75),HealthBY*P272,IF(AND(AT272=3,AK272="E",AV272&gt;=0.5,AW272=1),PTHealthBY,IF(AND(AT272=3,AK272="E",AV272&gt;=0.5),PTHealthBY*P272,0))))</f>
        <v>0</v>
      </c>
      <c r="BP272" s="462">
        <f>IF(AND(AT272&lt;&gt;0,(AX272+BA272)&gt;=MAXSSDIBY),SSDIBY*MAXSSDIBY*P272,IF(AT272&lt;&gt;0,SSDIBY*W272,0))</f>
        <v>2013.0655999999999</v>
      </c>
      <c r="BQ272" s="462">
        <f>IF(AT272&lt;&gt;0,SSHIBY*W272,0)</f>
        <v>470.79759999999999</v>
      </c>
      <c r="BR272" s="462">
        <f>IF(AND(AT272&lt;&gt;0,AN272&lt;&gt;"NE"),VLOOKUP(AN272,Retirement_Rates,4,FALSE)*W272,0)</f>
        <v>3876.7747199999999</v>
      </c>
      <c r="BS272" s="462">
        <f>IF(AND(AT272&lt;&gt;0,AJ272&lt;&gt;"PF"),LifeBY*W272,0)</f>
        <v>234.10004800000002</v>
      </c>
      <c r="BT272" s="462">
        <f>IF(AND(AT272&lt;&gt;0,AM272="Y"),UIBY*W272,0)</f>
        <v>0</v>
      </c>
      <c r="BU272" s="462">
        <f>IF(AND(AT272&lt;&gt;0,N272&lt;&gt;"NR"),DHRBY*W272,0)</f>
        <v>99.354527999999988</v>
      </c>
      <c r="BV272" s="462">
        <f>IF(AT272&lt;&gt;0,WCBY*W272,0)</f>
        <v>1126.6673599999999</v>
      </c>
      <c r="BW272" s="462">
        <f>IF(OR(AND(AT272&lt;&gt;0,AJ272&lt;&gt;"PF",AN272&lt;&gt;"NE",AG272&lt;&gt;"A"),AND(AL272="E",OR(AT272=1,AT272=3))),SickBY*W272,0)</f>
        <v>0</v>
      </c>
      <c r="BX272" s="462">
        <f t="shared" si="75"/>
        <v>7820.7598559999988</v>
      </c>
      <c r="BY272" s="462">
        <f t="shared" si="76"/>
        <v>0</v>
      </c>
      <c r="BZ272" s="462">
        <f t="shared" si="77"/>
        <v>0</v>
      </c>
      <c r="CA272" s="462">
        <f t="shared" si="78"/>
        <v>0</v>
      </c>
      <c r="CB272" s="462">
        <f t="shared" si="79"/>
        <v>0</v>
      </c>
      <c r="CC272" s="462">
        <f>IF(AT272&lt;&gt;0,SSHICHG*Y272,0)</f>
        <v>0</v>
      </c>
      <c r="CD272" s="462">
        <f>IF(AND(AT272&lt;&gt;0,AN272&lt;&gt;"NE"),VLOOKUP(AN272,Retirement_Rates,5,FALSE)*Y272,0)</f>
        <v>0</v>
      </c>
      <c r="CE272" s="462">
        <f>IF(AND(AT272&lt;&gt;0,AJ272&lt;&gt;"PF"),LifeCHG*Y272,0)</f>
        <v>0</v>
      </c>
      <c r="CF272" s="462">
        <f>IF(AND(AT272&lt;&gt;0,AM272="Y"),UICHG*Y272,0)</f>
        <v>-159.09711999999999</v>
      </c>
      <c r="CG272" s="462">
        <f>IF(AND(AT272&lt;&gt;0,N272&lt;&gt;"NR"),DHRCHG*Y272,0)</f>
        <v>0</v>
      </c>
      <c r="CH272" s="462">
        <f>IF(AT272&lt;&gt;0,WCCHG*Y272,0)</f>
        <v>253.25664000000003</v>
      </c>
      <c r="CI272" s="462">
        <f>IF(OR(AND(AT272&lt;&gt;0,AJ272&lt;&gt;"PF",AN272&lt;&gt;"NE",AG272&lt;&gt;"A"),AND(AL272="E",OR(AT272=1,AT272=3))),SickCHG*Y272,0)</f>
        <v>0</v>
      </c>
      <c r="CJ272" s="462">
        <f t="shared" si="80"/>
        <v>94.159520000000043</v>
      </c>
      <c r="CK272" s="462" t="str">
        <f t="shared" si="81"/>
        <v/>
      </c>
      <c r="CL272" s="462" t="str">
        <f t="shared" si="82"/>
        <v/>
      </c>
      <c r="CM272" s="462" t="str">
        <f t="shared" si="83"/>
        <v/>
      </c>
      <c r="CN272" s="462" t="str">
        <f t="shared" si="84"/>
        <v>0496-02</v>
      </c>
    </row>
    <row r="273" spans="1:92" ht="15" thickBot="1" x14ac:dyDescent="0.35">
      <c r="A273" s="376" t="s">
        <v>161</v>
      </c>
      <c r="B273" s="376" t="s">
        <v>162</v>
      </c>
      <c r="C273" s="376" t="s">
        <v>939</v>
      </c>
      <c r="D273" s="376" t="s">
        <v>438</v>
      </c>
      <c r="E273" s="376" t="s">
        <v>935</v>
      </c>
      <c r="F273" s="382" t="s">
        <v>384</v>
      </c>
      <c r="G273" s="376" t="s">
        <v>432</v>
      </c>
      <c r="H273" s="378"/>
      <c r="I273" s="378"/>
      <c r="J273" s="376" t="s">
        <v>168</v>
      </c>
      <c r="K273" s="376" t="s">
        <v>439</v>
      </c>
      <c r="L273" s="376" t="s">
        <v>231</v>
      </c>
      <c r="M273" s="376" t="s">
        <v>171</v>
      </c>
      <c r="N273" s="376" t="s">
        <v>172</v>
      </c>
      <c r="O273" s="379">
        <v>1</v>
      </c>
      <c r="P273" s="460">
        <v>1</v>
      </c>
      <c r="Q273" s="460">
        <v>1</v>
      </c>
      <c r="R273" s="380">
        <v>80</v>
      </c>
      <c r="S273" s="460">
        <v>1</v>
      </c>
      <c r="T273" s="380">
        <v>34395.410000000003</v>
      </c>
      <c r="U273" s="380">
        <v>216.38</v>
      </c>
      <c r="V273" s="380">
        <v>16725.8</v>
      </c>
      <c r="W273" s="380">
        <v>41454.400000000001</v>
      </c>
      <c r="X273" s="380">
        <v>21514.87</v>
      </c>
      <c r="Y273" s="380">
        <v>41454.400000000001</v>
      </c>
      <c r="Z273" s="380">
        <v>21635.09</v>
      </c>
      <c r="AA273" s="376" t="s">
        <v>940</v>
      </c>
      <c r="AB273" s="376" t="s">
        <v>941</v>
      </c>
      <c r="AC273" s="376" t="s">
        <v>680</v>
      </c>
      <c r="AD273" s="376" t="s">
        <v>176</v>
      </c>
      <c r="AE273" s="376" t="s">
        <v>439</v>
      </c>
      <c r="AF273" s="376" t="s">
        <v>236</v>
      </c>
      <c r="AG273" s="376" t="s">
        <v>178</v>
      </c>
      <c r="AH273" s="381">
        <v>19.93</v>
      </c>
      <c r="AI273" s="381">
        <v>8505.2999999999993</v>
      </c>
      <c r="AJ273" s="376" t="s">
        <v>179</v>
      </c>
      <c r="AK273" s="376" t="s">
        <v>180</v>
      </c>
      <c r="AL273" s="376" t="s">
        <v>181</v>
      </c>
      <c r="AM273" s="376" t="s">
        <v>182</v>
      </c>
      <c r="AN273" s="376" t="s">
        <v>68</v>
      </c>
      <c r="AO273" s="379">
        <v>80</v>
      </c>
      <c r="AP273" s="460">
        <v>1</v>
      </c>
      <c r="AQ273" s="460">
        <v>1</v>
      </c>
      <c r="AR273" s="458" t="s">
        <v>183</v>
      </c>
      <c r="AS273" s="462">
        <f t="shared" si="68"/>
        <v>1</v>
      </c>
      <c r="AT273">
        <f t="shared" si="69"/>
        <v>1</v>
      </c>
      <c r="AU273" s="462">
        <f>IF(AT273=0,"",IF(AND(AT273=1,M273="F",SUMIF(C2:C391,C273,AS2:AS391)&lt;=1),SUMIF(C2:C391,C273,AS2:AS391),IF(AND(AT273=1,M273="F",SUMIF(C2:C391,C273,AS2:AS391)&gt;1),1,"")))</f>
        <v>1</v>
      </c>
      <c r="AV273" s="462" t="str">
        <f>IF(AT273=0,"",IF(AND(AT273=3,M273="F",SUMIF(C2:C391,C273,AS2:AS391)&lt;=1),SUMIF(C2:C391,C273,AS2:AS391),IF(AND(AT273=3,M273="F",SUMIF(C2:C391,C273,AS2:AS391)&gt;1),1,"")))</f>
        <v/>
      </c>
      <c r="AW273" s="462">
        <f>SUMIF(C2:C391,C273,O2:O391)</f>
        <v>1</v>
      </c>
      <c r="AX273" s="462">
        <f>IF(AND(M273="F",AS273&lt;&gt;0),SUMIF(C2:C391,C273,W2:W391),0)</f>
        <v>41454.400000000001</v>
      </c>
      <c r="AY273" s="462">
        <f t="shared" si="70"/>
        <v>41454.400000000001</v>
      </c>
      <c r="AZ273" s="462" t="str">
        <f t="shared" si="71"/>
        <v/>
      </c>
      <c r="BA273" s="462">
        <f t="shared" si="72"/>
        <v>0</v>
      </c>
      <c r="BB273" s="462">
        <f>IF(AND(AT273=1,AK273="E",AU273&gt;=0.75,AW273=1),Health,IF(AND(AT273=1,AK273="E",AU273&gt;=0.75),Health*P273,IF(AND(AT273=1,AK273="E",AU273&gt;=0.5,AW273=1),PTHealth,IF(AND(AT273=1,AK273="E",AU273&gt;=0.5),PTHealth*P273,0))))</f>
        <v>11650</v>
      </c>
      <c r="BC273" s="462">
        <f>IF(AND(AT273=3,AK273="E",AV273&gt;=0.75,AW273=1),Health,IF(AND(AT273=3,AK273="E",AV273&gt;=0.75),Health*P273,IF(AND(AT273=3,AK273="E",AV273&gt;=0.5,AW273=1),PTHealth,IF(AND(AT273=3,AK273="E",AV273&gt;=0.5),PTHealth*P273,0))))</f>
        <v>0</v>
      </c>
      <c r="BD273" s="462">
        <f>IF(AND(AT273&lt;&gt;0,AX273&gt;=MAXSSDI),SSDI*MAXSSDI*P273,IF(AT273&lt;&gt;0,SSDI*W273,0))</f>
        <v>2570.1728000000003</v>
      </c>
      <c r="BE273" s="462">
        <f>IF(AT273&lt;&gt;0,SSHI*W273,0)</f>
        <v>601.08880000000011</v>
      </c>
      <c r="BF273" s="462">
        <f>IF(AND(AT273&lt;&gt;0,AN273&lt;&gt;"NE"),VLOOKUP(AN273,Retirement_Rates,3,FALSE)*W273,0)</f>
        <v>4949.6553600000007</v>
      </c>
      <c r="BG273" s="462">
        <f>IF(AND(AT273&lt;&gt;0,AJ273&lt;&gt;"PF"),Life*W273,0)</f>
        <v>298.88622400000003</v>
      </c>
      <c r="BH273" s="462">
        <f>IF(AND(AT273&lt;&gt;0,AM273="Y"),UI*W273,0)</f>
        <v>203.12656000000001</v>
      </c>
      <c r="BI273" s="462">
        <f>IF(AND(AT273&lt;&gt;0,N273&lt;&gt;"NR"),DHR*W273,0)</f>
        <v>126.850464</v>
      </c>
      <c r="BJ273" s="462">
        <f>IF(AT273&lt;&gt;0,WC*W273,0)</f>
        <v>1115.12336</v>
      </c>
      <c r="BK273" s="462">
        <f>IF(OR(AND(AT273&lt;&gt;0,AJ273&lt;&gt;"PF",AN273&lt;&gt;"NE",AG273&lt;&gt;"A"),AND(AL273="E",OR(AT273=1,AT273=3))),Sick*W273,0)</f>
        <v>0</v>
      </c>
      <c r="BL273" s="462">
        <f t="shared" si="73"/>
        <v>9864.9035679999997</v>
      </c>
      <c r="BM273" s="462">
        <f t="shared" si="74"/>
        <v>0</v>
      </c>
      <c r="BN273" s="462">
        <f>IF(AND(AT273=1,AK273="E",AU273&gt;=0.75,AW273=1),HealthBY,IF(AND(AT273=1,AK273="E",AU273&gt;=0.75),HealthBY*P273,IF(AND(AT273=1,AK273="E",AU273&gt;=0.5,AW273=1),PTHealthBY,IF(AND(AT273=1,AK273="E",AU273&gt;=0.5),PTHealthBY*P273,0))))</f>
        <v>11650</v>
      </c>
      <c r="BO273" s="462">
        <f>IF(AND(AT273=3,AK273="E",AV273&gt;=0.75,AW273=1),HealthBY,IF(AND(AT273=3,AK273="E",AV273&gt;=0.75),HealthBY*P273,IF(AND(AT273=3,AK273="E",AV273&gt;=0.5,AW273=1),PTHealthBY,IF(AND(AT273=3,AK273="E",AV273&gt;=0.5),PTHealthBY*P273,0))))</f>
        <v>0</v>
      </c>
      <c r="BP273" s="462">
        <f>IF(AND(AT273&lt;&gt;0,(AX273+BA273)&gt;=MAXSSDIBY),SSDIBY*MAXSSDIBY*P273,IF(AT273&lt;&gt;0,SSDIBY*W273,0))</f>
        <v>2570.1728000000003</v>
      </c>
      <c r="BQ273" s="462">
        <f>IF(AT273&lt;&gt;0,SSHIBY*W273,0)</f>
        <v>601.08880000000011</v>
      </c>
      <c r="BR273" s="462">
        <f>IF(AND(AT273&lt;&gt;0,AN273&lt;&gt;"NE"),VLOOKUP(AN273,Retirement_Rates,4,FALSE)*W273,0)</f>
        <v>4949.6553600000007</v>
      </c>
      <c r="BS273" s="462">
        <f>IF(AND(AT273&lt;&gt;0,AJ273&lt;&gt;"PF"),LifeBY*W273,0)</f>
        <v>298.88622400000003</v>
      </c>
      <c r="BT273" s="462">
        <f>IF(AND(AT273&lt;&gt;0,AM273="Y"),UIBY*W273,0)</f>
        <v>0</v>
      </c>
      <c r="BU273" s="462">
        <f>IF(AND(AT273&lt;&gt;0,N273&lt;&gt;"NR"),DHRBY*W273,0)</f>
        <v>126.850464</v>
      </c>
      <c r="BV273" s="462">
        <f>IF(AT273&lt;&gt;0,WCBY*W273,0)</f>
        <v>1438.4676800000002</v>
      </c>
      <c r="BW273" s="462">
        <f>IF(OR(AND(AT273&lt;&gt;0,AJ273&lt;&gt;"PF",AN273&lt;&gt;"NE",AG273&lt;&gt;"A"),AND(AL273="E",OR(AT273=1,AT273=3))),SickBY*W273,0)</f>
        <v>0</v>
      </c>
      <c r="BX273" s="462">
        <f t="shared" si="75"/>
        <v>9985.1213279999993</v>
      </c>
      <c r="BY273" s="462">
        <f t="shared" si="76"/>
        <v>0</v>
      </c>
      <c r="BZ273" s="462">
        <f t="shared" si="77"/>
        <v>0</v>
      </c>
      <c r="CA273" s="462">
        <f t="shared" si="78"/>
        <v>0</v>
      </c>
      <c r="CB273" s="462">
        <f t="shared" si="79"/>
        <v>0</v>
      </c>
      <c r="CC273" s="462">
        <f>IF(AT273&lt;&gt;0,SSHICHG*Y273,0)</f>
        <v>0</v>
      </c>
      <c r="CD273" s="462">
        <f>IF(AND(AT273&lt;&gt;0,AN273&lt;&gt;"NE"),VLOOKUP(AN273,Retirement_Rates,5,FALSE)*Y273,0)</f>
        <v>0</v>
      </c>
      <c r="CE273" s="462">
        <f>IF(AND(AT273&lt;&gt;0,AJ273&lt;&gt;"PF"),LifeCHG*Y273,0)</f>
        <v>0</v>
      </c>
      <c r="CF273" s="462">
        <f>IF(AND(AT273&lt;&gt;0,AM273="Y"),UICHG*Y273,0)</f>
        <v>-203.12656000000001</v>
      </c>
      <c r="CG273" s="462">
        <f>IF(AND(AT273&lt;&gt;0,N273&lt;&gt;"NR"),DHRCHG*Y273,0)</f>
        <v>0</v>
      </c>
      <c r="CH273" s="462">
        <f>IF(AT273&lt;&gt;0,WCCHG*Y273,0)</f>
        <v>323.3443200000001</v>
      </c>
      <c r="CI273" s="462">
        <f>IF(OR(AND(AT273&lt;&gt;0,AJ273&lt;&gt;"PF",AN273&lt;&gt;"NE",AG273&lt;&gt;"A"),AND(AL273="E",OR(AT273=1,AT273=3))),SickCHG*Y273,0)</f>
        <v>0</v>
      </c>
      <c r="CJ273" s="462">
        <f t="shared" si="80"/>
        <v>120.21776000000008</v>
      </c>
      <c r="CK273" s="462" t="str">
        <f t="shared" si="81"/>
        <v/>
      </c>
      <c r="CL273" s="462" t="str">
        <f t="shared" si="82"/>
        <v/>
      </c>
      <c r="CM273" s="462" t="str">
        <f t="shared" si="83"/>
        <v/>
      </c>
      <c r="CN273" s="462" t="str">
        <f t="shared" si="84"/>
        <v>0496-02</v>
      </c>
    </row>
    <row r="274" spans="1:92" ht="15" thickBot="1" x14ac:dyDescent="0.35">
      <c r="A274" s="376" t="s">
        <v>161</v>
      </c>
      <c r="B274" s="376" t="s">
        <v>162</v>
      </c>
      <c r="C274" s="376" t="s">
        <v>942</v>
      </c>
      <c r="D274" s="376" t="s">
        <v>453</v>
      </c>
      <c r="E274" s="376" t="s">
        <v>935</v>
      </c>
      <c r="F274" s="382" t="s">
        <v>384</v>
      </c>
      <c r="G274" s="376" t="s">
        <v>432</v>
      </c>
      <c r="H274" s="378"/>
      <c r="I274" s="378"/>
      <c r="J274" s="376" t="s">
        <v>168</v>
      </c>
      <c r="K274" s="376" t="s">
        <v>454</v>
      </c>
      <c r="L274" s="376" t="s">
        <v>170</v>
      </c>
      <c r="M274" s="376" t="s">
        <v>171</v>
      </c>
      <c r="N274" s="376" t="s">
        <v>172</v>
      </c>
      <c r="O274" s="379">
        <v>1</v>
      </c>
      <c r="P274" s="460">
        <v>1</v>
      </c>
      <c r="Q274" s="460">
        <v>1</v>
      </c>
      <c r="R274" s="380">
        <v>80</v>
      </c>
      <c r="S274" s="460">
        <v>1</v>
      </c>
      <c r="T274" s="380">
        <v>60104.55</v>
      </c>
      <c r="U274" s="380">
        <v>0</v>
      </c>
      <c r="V274" s="380">
        <v>24822.29</v>
      </c>
      <c r="W274" s="380">
        <v>59508.800000000003</v>
      </c>
      <c r="X274" s="380">
        <v>25811.27</v>
      </c>
      <c r="Y274" s="380">
        <v>59508.800000000003</v>
      </c>
      <c r="Z274" s="380">
        <v>25983.85</v>
      </c>
      <c r="AA274" s="376" t="s">
        <v>943</v>
      </c>
      <c r="AB274" s="376" t="s">
        <v>944</v>
      </c>
      <c r="AC274" s="376" t="s">
        <v>781</v>
      </c>
      <c r="AD274" s="376" t="s">
        <v>176</v>
      </c>
      <c r="AE274" s="376" t="s">
        <v>454</v>
      </c>
      <c r="AF274" s="376" t="s">
        <v>177</v>
      </c>
      <c r="AG274" s="376" t="s">
        <v>178</v>
      </c>
      <c r="AH274" s="381">
        <v>28.61</v>
      </c>
      <c r="AI274" s="381">
        <v>44663.4</v>
      </c>
      <c r="AJ274" s="376" t="s">
        <v>179</v>
      </c>
      <c r="AK274" s="376" t="s">
        <v>180</v>
      </c>
      <c r="AL274" s="376" t="s">
        <v>181</v>
      </c>
      <c r="AM274" s="376" t="s">
        <v>182</v>
      </c>
      <c r="AN274" s="376" t="s">
        <v>68</v>
      </c>
      <c r="AO274" s="379">
        <v>80</v>
      </c>
      <c r="AP274" s="460">
        <v>1</v>
      </c>
      <c r="AQ274" s="460">
        <v>1</v>
      </c>
      <c r="AR274" s="458" t="s">
        <v>183</v>
      </c>
      <c r="AS274" s="462">
        <f t="shared" si="68"/>
        <v>1</v>
      </c>
      <c r="AT274">
        <f t="shared" si="69"/>
        <v>1</v>
      </c>
      <c r="AU274" s="462">
        <f>IF(AT274=0,"",IF(AND(AT274=1,M274="F",SUMIF(C2:C391,C274,AS2:AS391)&lt;=1),SUMIF(C2:C391,C274,AS2:AS391),IF(AND(AT274=1,M274="F",SUMIF(C2:C391,C274,AS2:AS391)&gt;1),1,"")))</f>
        <v>1</v>
      </c>
      <c r="AV274" s="462" t="str">
        <f>IF(AT274=0,"",IF(AND(AT274=3,M274="F",SUMIF(C2:C391,C274,AS2:AS391)&lt;=1),SUMIF(C2:C391,C274,AS2:AS391),IF(AND(AT274=3,M274="F",SUMIF(C2:C391,C274,AS2:AS391)&gt;1),1,"")))</f>
        <v/>
      </c>
      <c r="AW274" s="462">
        <f>SUMIF(C2:C391,C274,O2:O391)</f>
        <v>1</v>
      </c>
      <c r="AX274" s="462">
        <f>IF(AND(M274="F",AS274&lt;&gt;0),SUMIF(C2:C391,C274,W2:W391),0)</f>
        <v>59508.800000000003</v>
      </c>
      <c r="AY274" s="462">
        <f t="shared" si="70"/>
        <v>59508.800000000003</v>
      </c>
      <c r="AZ274" s="462" t="str">
        <f t="shared" si="71"/>
        <v/>
      </c>
      <c r="BA274" s="462">
        <f t="shared" si="72"/>
        <v>0</v>
      </c>
      <c r="BB274" s="462">
        <f>IF(AND(AT274=1,AK274="E",AU274&gt;=0.75,AW274=1),Health,IF(AND(AT274=1,AK274="E",AU274&gt;=0.75),Health*P274,IF(AND(AT274=1,AK274="E",AU274&gt;=0.5,AW274=1),PTHealth,IF(AND(AT274=1,AK274="E",AU274&gt;=0.5),PTHealth*P274,0))))</f>
        <v>11650</v>
      </c>
      <c r="BC274" s="462">
        <f>IF(AND(AT274=3,AK274="E",AV274&gt;=0.75,AW274=1),Health,IF(AND(AT274=3,AK274="E",AV274&gt;=0.75),Health*P274,IF(AND(AT274=3,AK274="E",AV274&gt;=0.5,AW274=1),PTHealth,IF(AND(AT274=3,AK274="E",AV274&gt;=0.5),PTHealth*P274,0))))</f>
        <v>0</v>
      </c>
      <c r="BD274" s="462">
        <f>IF(AND(AT274&lt;&gt;0,AX274&gt;=MAXSSDI),SSDI*MAXSSDI*P274,IF(AT274&lt;&gt;0,SSDI*W274,0))</f>
        <v>3689.5456000000004</v>
      </c>
      <c r="BE274" s="462">
        <f>IF(AT274&lt;&gt;0,SSHI*W274,0)</f>
        <v>862.87760000000003</v>
      </c>
      <c r="BF274" s="462">
        <f>IF(AND(AT274&lt;&gt;0,AN274&lt;&gt;"NE"),VLOOKUP(AN274,Retirement_Rates,3,FALSE)*W274,0)</f>
        <v>7105.3507200000004</v>
      </c>
      <c r="BG274" s="462">
        <f>IF(AND(AT274&lt;&gt;0,AJ274&lt;&gt;"PF"),Life*W274,0)</f>
        <v>429.05844800000006</v>
      </c>
      <c r="BH274" s="462">
        <f>IF(AND(AT274&lt;&gt;0,AM274="Y"),UI*W274,0)</f>
        <v>291.59312</v>
      </c>
      <c r="BI274" s="462">
        <f>IF(AND(AT274&lt;&gt;0,N274&lt;&gt;"NR"),DHR*W274,0)</f>
        <v>182.09692799999999</v>
      </c>
      <c r="BJ274" s="462">
        <f>IF(AT274&lt;&gt;0,WC*W274,0)</f>
        <v>1600.7867200000001</v>
      </c>
      <c r="BK274" s="462">
        <f>IF(OR(AND(AT274&lt;&gt;0,AJ274&lt;&gt;"PF",AN274&lt;&gt;"NE",AG274&lt;&gt;"A"),AND(AL274="E",OR(AT274=1,AT274=3))),Sick*W274,0)</f>
        <v>0</v>
      </c>
      <c r="BL274" s="462">
        <f t="shared" si="73"/>
        <v>14161.309136</v>
      </c>
      <c r="BM274" s="462">
        <f t="shared" si="74"/>
        <v>0</v>
      </c>
      <c r="BN274" s="462">
        <f>IF(AND(AT274=1,AK274="E",AU274&gt;=0.75,AW274=1),HealthBY,IF(AND(AT274=1,AK274="E",AU274&gt;=0.75),HealthBY*P274,IF(AND(AT274=1,AK274="E",AU274&gt;=0.5,AW274=1),PTHealthBY,IF(AND(AT274=1,AK274="E",AU274&gt;=0.5),PTHealthBY*P274,0))))</f>
        <v>11650</v>
      </c>
      <c r="BO274" s="462">
        <f>IF(AND(AT274=3,AK274="E",AV274&gt;=0.75,AW274=1),HealthBY,IF(AND(AT274=3,AK274="E",AV274&gt;=0.75),HealthBY*P274,IF(AND(AT274=3,AK274="E",AV274&gt;=0.5,AW274=1),PTHealthBY,IF(AND(AT274=3,AK274="E",AV274&gt;=0.5),PTHealthBY*P274,0))))</f>
        <v>0</v>
      </c>
      <c r="BP274" s="462">
        <f>IF(AND(AT274&lt;&gt;0,(AX274+BA274)&gt;=MAXSSDIBY),SSDIBY*MAXSSDIBY*P274,IF(AT274&lt;&gt;0,SSDIBY*W274,0))</f>
        <v>3689.5456000000004</v>
      </c>
      <c r="BQ274" s="462">
        <f>IF(AT274&lt;&gt;0,SSHIBY*W274,0)</f>
        <v>862.87760000000003</v>
      </c>
      <c r="BR274" s="462">
        <f>IF(AND(AT274&lt;&gt;0,AN274&lt;&gt;"NE"),VLOOKUP(AN274,Retirement_Rates,4,FALSE)*W274,0)</f>
        <v>7105.3507200000004</v>
      </c>
      <c r="BS274" s="462">
        <f>IF(AND(AT274&lt;&gt;0,AJ274&lt;&gt;"PF"),LifeBY*W274,0)</f>
        <v>429.05844800000006</v>
      </c>
      <c r="BT274" s="462">
        <f>IF(AND(AT274&lt;&gt;0,AM274="Y"),UIBY*W274,0)</f>
        <v>0</v>
      </c>
      <c r="BU274" s="462">
        <f>IF(AND(AT274&lt;&gt;0,N274&lt;&gt;"NR"),DHRBY*W274,0)</f>
        <v>182.09692799999999</v>
      </c>
      <c r="BV274" s="462">
        <f>IF(AT274&lt;&gt;0,WCBY*W274,0)</f>
        <v>2064.9553600000004</v>
      </c>
      <c r="BW274" s="462">
        <f>IF(OR(AND(AT274&lt;&gt;0,AJ274&lt;&gt;"PF",AN274&lt;&gt;"NE",AG274&lt;&gt;"A"),AND(AL274="E",OR(AT274=1,AT274=3))),SickBY*W274,0)</f>
        <v>0</v>
      </c>
      <c r="BX274" s="462">
        <f t="shared" si="75"/>
        <v>14333.884656</v>
      </c>
      <c r="BY274" s="462">
        <f t="shared" si="76"/>
        <v>0</v>
      </c>
      <c r="BZ274" s="462">
        <f t="shared" si="77"/>
        <v>0</v>
      </c>
      <c r="CA274" s="462">
        <f t="shared" si="78"/>
        <v>0</v>
      </c>
      <c r="CB274" s="462">
        <f t="shared" si="79"/>
        <v>0</v>
      </c>
      <c r="CC274" s="462">
        <f>IF(AT274&lt;&gt;0,SSHICHG*Y274,0)</f>
        <v>0</v>
      </c>
      <c r="CD274" s="462">
        <f>IF(AND(AT274&lt;&gt;0,AN274&lt;&gt;"NE"),VLOOKUP(AN274,Retirement_Rates,5,FALSE)*Y274,0)</f>
        <v>0</v>
      </c>
      <c r="CE274" s="462">
        <f>IF(AND(AT274&lt;&gt;0,AJ274&lt;&gt;"PF"),LifeCHG*Y274,0)</f>
        <v>0</v>
      </c>
      <c r="CF274" s="462">
        <f>IF(AND(AT274&lt;&gt;0,AM274="Y"),UICHG*Y274,0)</f>
        <v>-291.59312</v>
      </c>
      <c r="CG274" s="462">
        <f>IF(AND(AT274&lt;&gt;0,N274&lt;&gt;"NR"),DHRCHG*Y274,0)</f>
        <v>0</v>
      </c>
      <c r="CH274" s="462">
        <f>IF(AT274&lt;&gt;0,WCCHG*Y274,0)</f>
        <v>464.1686400000001</v>
      </c>
      <c r="CI274" s="462">
        <f>IF(OR(AND(AT274&lt;&gt;0,AJ274&lt;&gt;"PF",AN274&lt;&gt;"NE",AG274&lt;&gt;"A"),AND(AL274="E",OR(AT274=1,AT274=3))),SickCHG*Y274,0)</f>
        <v>0</v>
      </c>
      <c r="CJ274" s="462">
        <f t="shared" si="80"/>
        <v>172.5755200000001</v>
      </c>
      <c r="CK274" s="462" t="str">
        <f t="shared" si="81"/>
        <v/>
      </c>
      <c r="CL274" s="462" t="str">
        <f t="shared" si="82"/>
        <v/>
      </c>
      <c r="CM274" s="462" t="str">
        <f t="shared" si="83"/>
        <v/>
      </c>
      <c r="CN274" s="462" t="str">
        <f t="shared" si="84"/>
        <v>0496-02</v>
      </c>
    </row>
    <row r="275" spans="1:92" ht="15" thickBot="1" x14ac:dyDescent="0.35">
      <c r="A275" s="376" t="s">
        <v>161</v>
      </c>
      <c r="B275" s="376" t="s">
        <v>162</v>
      </c>
      <c r="C275" s="376" t="s">
        <v>945</v>
      </c>
      <c r="D275" s="376" t="s">
        <v>221</v>
      </c>
      <c r="E275" s="376" t="s">
        <v>935</v>
      </c>
      <c r="F275" s="382" t="s">
        <v>384</v>
      </c>
      <c r="G275" s="376" t="s">
        <v>432</v>
      </c>
      <c r="H275" s="378"/>
      <c r="I275" s="378"/>
      <c r="J275" s="376" t="s">
        <v>168</v>
      </c>
      <c r="K275" s="376" t="s">
        <v>222</v>
      </c>
      <c r="L275" s="376" t="s">
        <v>166</v>
      </c>
      <c r="M275" s="376" t="s">
        <v>225</v>
      </c>
      <c r="N275" s="376" t="s">
        <v>223</v>
      </c>
      <c r="O275" s="379">
        <v>0</v>
      </c>
      <c r="P275" s="460">
        <v>1</v>
      </c>
      <c r="Q275" s="460">
        <v>0</v>
      </c>
      <c r="R275" s="380">
        <v>0</v>
      </c>
      <c r="S275" s="460">
        <v>0</v>
      </c>
      <c r="T275" s="380">
        <v>0</v>
      </c>
      <c r="U275" s="380">
        <v>0</v>
      </c>
      <c r="V275" s="380">
        <v>0</v>
      </c>
      <c r="W275" s="380">
        <v>0</v>
      </c>
      <c r="X275" s="380">
        <v>0</v>
      </c>
      <c r="Y275" s="380">
        <v>0</v>
      </c>
      <c r="Z275" s="380">
        <v>0</v>
      </c>
      <c r="AA275" s="378"/>
      <c r="AB275" s="376" t="s">
        <v>45</v>
      </c>
      <c r="AC275" s="376" t="s">
        <v>45</v>
      </c>
      <c r="AD275" s="378"/>
      <c r="AE275" s="378"/>
      <c r="AF275" s="378"/>
      <c r="AG275" s="378"/>
      <c r="AH275" s="379">
        <v>0</v>
      </c>
      <c r="AI275" s="379">
        <v>0</v>
      </c>
      <c r="AJ275" s="378"/>
      <c r="AK275" s="378"/>
      <c r="AL275" s="376" t="s">
        <v>181</v>
      </c>
      <c r="AM275" s="378"/>
      <c r="AN275" s="378"/>
      <c r="AO275" s="379">
        <v>0</v>
      </c>
      <c r="AP275" s="460">
        <v>0</v>
      </c>
      <c r="AQ275" s="460">
        <v>0</v>
      </c>
      <c r="AR275" s="459"/>
      <c r="AS275" s="462">
        <f t="shared" si="68"/>
        <v>0</v>
      </c>
      <c r="AT275">
        <f t="shared" si="69"/>
        <v>0</v>
      </c>
      <c r="AU275" s="462" t="str">
        <f>IF(AT275=0,"",IF(AND(AT275=1,M275="F",SUMIF(C2:C391,C275,AS2:AS391)&lt;=1),SUMIF(C2:C391,C275,AS2:AS391),IF(AND(AT275=1,M275="F",SUMIF(C2:C391,C275,AS2:AS391)&gt;1),1,"")))</f>
        <v/>
      </c>
      <c r="AV275" s="462" t="str">
        <f>IF(AT275=0,"",IF(AND(AT275=3,M275="F",SUMIF(C2:C391,C275,AS2:AS391)&lt;=1),SUMIF(C2:C391,C275,AS2:AS391),IF(AND(AT275=3,M275="F",SUMIF(C2:C391,C275,AS2:AS391)&gt;1),1,"")))</f>
        <v/>
      </c>
      <c r="AW275" s="462">
        <f>SUMIF(C2:C391,C275,O2:O391)</f>
        <v>0</v>
      </c>
      <c r="AX275" s="462">
        <f>IF(AND(M275="F",AS275&lt;&gt;0),SUMIF(C2:C391,C275,W2:W391),0)</f>
        <v>0</v>
      </c>
      <c r="AY275" s="462" t="str">
        <f t="shared" si="70"/>
        <v/>
      </c>
      <c r="AZ275" s="462" t="str">
        <f t="shared" si="71"/>
        <v/>
      </c>
      <c r="BA275" s="462">
        <f t="shared" si="72"/>
        <v>0</v>
      </c>
      <c r="BB275" s="462">
        <f>IF(AND(AT275=1,AK275="E",AU275&gt;=0.75,AW275=1),Health,IF(AND(AT275=1,AK275="E",AU275&gt;=0.75),Health*P275,IF(AND(AT275=1,AK275="E",AU275&gt;=0.5,AW275=1),PTHealth,IF(AND(AT275=1,AK275="E",AU275&gt;=0.5),PTHealth*P275,0))))</f>
        <v>0</v>
      </c>
      <c r="BC275" s="462">
        <f>IF(AND(AT275=3,AK275="E",AV275&gt;=0.75,AW275=1),Health,IF(AND(AT275=3,AK275="E",AV275&gt;=0.75),Health*P275,IF(AND(AT275=3,AK275="E",AV275&gt;=0.5,AW275=1),PTHealth,IF(AND(AT275=3,AK275="E",AV275&gt;=0.5),PTHealth*P275,0))))</f>
        <v>0</v>
      </c>
      <c r="BD275" s="462">
        <f>IF(AND(AT275&lt;&gt;0,AX275&gt;=MAXSSDI),SSDI*MAXSSDI*P275,IF(AT275&lt;&gt;0,SSDI*W275,0))</f>
        <v>0</v>
      </c>
      <c r="BE275" s="462">
        <f>IF(AT275&lt;&gt;0,SSHI*W275,0)</f>
        <v>0</v>
      </c>
      <c r="BF275" s="462">
        <f>IF(AND(AT275&lt;&gt;0,AN275&lt;&gt;"NE"),VLOOKUP(AN275,Retirement_Rates,3,FALSE)*W275,0)</f>
        <v>0</v>
      </c>
      <c r="BG275" s="462">
        <f>IF(AND(AT275&lt;&gt;0,AJ275&lt;&gt;"PF"),Life*W275,0)</f>
        <v>0</v>
      </c>
      <c r="BH275" s="462">
        <f>IF(AND(AT275&lt;&gt;0,AM275="Y"),UI*W275,0)</f>
        <v>0</v>
      </c>
      <c r="BI275" s="462">
        <f>IF(AND(AT275&lt;&gt;0,N275&lt;&gt;"NR"),DHR*W275,0)</f>
        <v>0</v>
      </c>
      <c r="BJ275" s="462">
        <f>IF(AT275&lt;&gt;0,WC*W275,0)</f>
        <v>0</v>
      </c>
      <c r="BK275" s="462">
        <f>IF(OR(AND(AT275&lt;&gt;0,AJ275&lt;&gt;"PF",AN275&lt;&gt;"NE",AG275&lt;&gt;"A"),AND(AL275="E",OR(AT275=1,AT275=3))),Sick*W275,0)</f>
        <v>0</v>
      </c>
      <c r="BL275" s="462">
        <f t="shared" si="73"/>
        <v>0</v>
      </c>
      <c r="BM275" s="462">
        <f t="shared" si="74"/>
        <v>0</v>
      </c>
      <c r="BN275" s="462">
        <f>IF(AND(AT275=1,AK275="E",AU275&gt;=0.75,AW275=1),HealthBY,IF(AND(AT275=1,AK275="E",AU275&gt;=0.75),HealthBY*P275,IF(AND(AT275=1,AK275="E",AU275&gt;=0.5,AW275=1),PTHealthBY,IF(AND(AT275=1,AK275="E",AU275&gt;=0.5),PTHealthBY*P275,0))))</f>
        <v>0</v>
      </c>
      <c r="BO275" s="462">
        <f>IF(AND(AT275=3,AK275="E",AV275&gt;=0.75,AW275=1),HealthBY,IF(AND(AT275=3,AK275="E",AV275&gt;=0.75),HealthBY*P275,IF(AND(AT275=3,AK275="E",AV275&gt;=0.5,AW275=1),PTHealthBY,IF(AND(AT275=3,AK275="E",AV275&gt;=0.5),PTHealthBY*P275,0))))</f>
        <v>0</v>
      </c>
      <c r="BP275" s="462">
        <f>IF(AND(AT275&lt;&gt;0,(AX275+BA275)&gt;=MAXSSDIBY),SSDIBY*MAXSSDIBY*P275,IF(AT275&lt;&gt;0,SSDIBY*W275,0))</f>
        <v>0</v>
      </c>
      <c r="BQ275" s="462">
        <f>IF(AT275&lt;&gt;0,SSHIBY*W275,0)</f>
        <v>0</v>
      </c>
      <c r="BR275" s="462">
        <f>IF(AND(AT275&lt;&gt;0,AN275&lt;&gt;"NE"),VLOOKUP(AN275,Retirement_Rates,4,FALSE)*W275,0)</f>
        <v>0</v>
      </c>
      <c r="BS275" s="462">
        <f>IF(AND(AT275&lt;&gt;0,AJ275&lt;&gt;"PF"),LifeBY*W275,0)</f>
        <v>0</v>
      </c>
      <c r="BT275" s="462">
        <f>IF(AND(AT275&lt;&gt;0,AM275="Y"),UIBY*W275,0)</f>
        <v>0</v>
      </c>
      <c r="BU275" s="462">
        <f>IF(AND(AT275&lt;&gt;0,N275&lt;&gt;"NR"),DHRBY*W275,0)</f>
        <v>0</v>
      </c>
      <c r="BV275" s="462">
        <f>IF(AT275&lt;&gt;0,WCBY*W275,0)</f>
        <v>0</v>
      </c>
      <c r="BW275" s="462">
        <f>IF(OR(AND(AT275&lt;&gt;0,AJ275&lt;&gt;"PF",AN275&lt;&gt;"NE",AG275&lt;&gt;"A"),AND(AL275="E",OR(AT275=1,AT275=3))),SickBY*W275,0)</f>
        <v>0</v>
      </c>
      <c r="BX275" s="462">
        <f t="shared" si="75"/>
        <v>0</v>
      </c>
      <c r="BY275" s="462">
        <f t="shared" si="76"/>
        <v>0</v>
      </c>
      <c r="BZ275" s="462">
        <f t="shared" si="77"/>
        <v>0</v>
      </c>
      <c r="CA275" s="462">
        <f t="shared" si="78"/>
        <v>0</v>
      </c>
      <c r="CB275" s="462">
        <f t="shared" si="79"/>
        <v>0</v>
      </c>
      <c r="CC275" s="462">
        <f>IF(AT275&lt;&gt;0,SSHICHG*Y275,0)</f>
        <v>0</v>
      </c>
      <c r="CD275" s="462">
        <f>IF(AND(AT275&lt;&gt;0,AN275&lt;&gt;"NE"),VLOOKUP(AN275,Retirement_Rates,5,FALSE)*Y275,0)</f>
        <v>0</v>
      </c>
      <c r="CE275" s="462">
        <f>IF(AND(AT275&lt;&gt;0,AJ275&lt;&gt;"PF"),LifeCHG*Y275,0)</f>
        <v>0</v>
      </c>
      <c r="CF275" s="462">
        <f>IF(AND(AT275&lt;&gt;0,AM275="Y"),UICHG*Y275,0)</f>
        <v>0</v>
      </c>
      <c r="CG275" s="462">
        <f>IF(AND(AT275&lt;&gt;0,N275&lt;&gt;"NR"),DHRCHG*Y275,0)</f>
        <v>0</v>
      </c>
      <c r="CH275" s="462">
        <f>IF(AT275&lt;&gt;0,WCCHG*Y275,0)</f>
        <v>0</v>
      </c>
      <c r="CI275" s="462">
        <f>IF(OR(AND(AT275&lt;&gt;0,AJ275&lt;&gt;"PF",AN275&lt;&gt;"NE",AG275&lt;&gt;"A"),AND(AL275="E",OR(AT275=1,AT275=3))),SickCHG*Y275,0)</f>
        <v>0</v>
      </c>
      <c r="CJ275" s="462">
        <f t="shared" si="80"/>
        <v>0</v>
      </c>
      <c r="CK275" s="462" t="str">
        <f t="shared" si="81"/>
        <v/>
      </c>
      <c r="CL275" s="462">
        <f t="shared" si="82"/>
        <v>0</v>
      </c>
      <c r="CM275" s="462">
        <f t="shared" si="83"/>
        <v>0</v>
      </c>
      <c r="CN275" s="462" t="str">
        <f t="shared" si="84"/>
        <v>0496-02</v>
      </c>
    </row>
    <row r="276" spans="1:92" ht="15" thickBot="1" x14ac:dyDescent="0.35">
      <c r="A276" s="376" t="s">
        <v>161</v>
      </c>
      <c r="B276" s="376" t="s">
        <v>162</v>
      </c>
      <c r="C276" s="376" t="s">
        <v>719</v>
      </c>
      <c r="D276" s="376" t="s">
        <v>221</v>
      </c>
      <c r="E276" s="376" t="s">
        <v>935</v>
      </c>
      <c r="F276" s="382" t="s">
        <v>384</v>
      </c>
      <c r="G276" s="376" t="s">
        <v>432</v>
      </c>
      <c r="H276" s="378"/>
      <c r="I276" s="378"/>
      <c r="J276" s="376" t="s">
        <v>168</v>
      </c>
      <c r="K276" s="376" t="s">
        <v>222</v>
      </c>
      <c r="L276" s="376" t="s">
        <v>166</v>
      </c>
      <c r="M276" s="376" t="s">
        <v>171</v>
      </c>
      <c r="N276" s="376" t="s">
        <v>223</v>
      </c>
      <c r="O276" s="379">
        <v>0</v>
      </c>
      <c r="P276" s="460">
        <v>1</v>
      </c>
      <c r="Q276" s="460">
        <v>0</v>
      </c>
      <c r="R276" s="380">
        <v>0</v>
      </c>
      <c r="S276" s="460">
        <v>0</v>
      </c>
      <c r="T276" s="380">
        <v>50862.400000000001</v>
      </c>
      <c r="U276" s="380">
        <v>1653.09</v>
      </c>
      <c r="V276" s="380">
        <v>7149.1</v>
      </c>
      <c r="W276" s="380">
        <v>61835.49</v>
      </c>
      <c r="X276" s="380">
        <v>8314.36</v>
      </c>
      <c r="Y276" s="380">
        <v>61835.49</v>
      </c>
      <c r="Z276" s="380">
        <v>8314.36</v>
      </c>
      <c r="AA276" s="378"/>
      <c r="AB276" s="376" t="s">
        <v>45</v>
      </c>
      <c r="AC276" s="376" t="s">
        <v>45</v>
      </c>
      <c r="AD276" s="378"/>
      <c r="AE276" s="378"/>
      <c r="AF276" s="378"/>
      <c r="AG276" s="378"/>
      <c r="AH276" s="379">
        <v>0</v>
      </c>
      <c r="AI276" s="379">
        <v>0</v>
      </c>
      <c r="AJ276" s="378"/>
      <c r="AK276" s="378"/>
      <c r="AL276" s="376" t="s">
        <v>181</v>
      </c>
      <c r="AM276" s="378"/>
      <c r="AN276" s="378"/>
      <c r="AO276" s="379">
        <v>0</v>
      </c>
      <c r="AP276" s="460">
        <v>0</v>
      </c>
      <c r="AQ276" s="460">
        <v>0</v>
      </c>
      <c r="AR276" s="459"/>
      <c r="AS276" s="462">
        <f t="shared" si="68"/>
        <v>0</v>
      </c>
      <c r="AT276">
        <f t="shared" si="69"/>
        <v>0</v>
      </c>
      <c r="AU276" s="462" t="str">
        <f>IF(AT276=0,"",IF(AND(AT276=1,M276="F",SUMIF(C2:C391,C276,AS2:AS391)&lt;=1),SUMIF(C2:C391,C276,AS2:AS391),IF(AND(AT276=1,M276="F",SUMIF(C2:C391,C276,AS2:AS391)&gt;1),1,"")))</f>
        <v/>
      </c>
      <c r="AV276" s="462" t="str">
        <f>IF(AT276=0,"",IF(AND(AT276=3,M276="F",SUMIF(C2:C391,C276,AS2:AS391)&lt;=1),SUMIF(C2:C391,C276,AS2:AS391),IF(AND(AT276=3,M276="F",SUMIF(C2:C391,C276,AS2:AS391)&gt;1),1,"")))</f>
        <v/>
      </c>
      <c r="AW276" s="462">
        <f>SUMIF(C2:C391,C276,O2:O391)</f>
        <v>0</v>
      </c>
      <c r="AX276" s="462">
        <f>IF(AND(M276="F",AS276&lt;&gt;0),SUMIF(C2:C391,C276,W2:W391),0)</f>
        <v>0</v>
      </c>
      <c r="AY276" s="462" t="str">
        <f t="shared" si="70"/>
        <v/>
      </c>
      <c r="AZ276" s="462" t="str">
        <f t="shared" si="71"/>
        <v/>
      </c>
      <c r="BA276" s="462">
        <f t="shared" si="72"/>
        <v>0</v>
      </c>
      <c r="BB276" s="462">
        <f>IF(AND(AT276=1,AK276="E",AU276&gt;=0.75,AW276=1),Health,IF(AND(AT276=1,AK276="E",AU276&gt;=0.75),Health*P276,IF(AND(AT276=1,AK276="E",AU276&gt;=0.5,AW276=1),PTHealth,IF(AND(AT276=1,AK276="E",AU276&gt;=0.5),PTHealth*P276,0))))</f>
        <v>0</v>
      </c>
      <c r="BC276" s="462">
        <f>IF(AND(AT276=3,AK276="E",AV276&gt;=0.75,AW276=1),Health,IF(AND(AT276=3,AK276="E",AV276&gt;=0.75),Health*P276,IF(AND(AT276=3,AK276="E",AV276&gt;=0.5,AW276=1),PTHealth,IF(AND(AT276=3,AK276="E",AV276&gt;=0.5),PTHealth*P276,0))))</f>
        <v>0</v>
      </c>
      <c r="BD276" s="462">
        <f>IF(AND(AT276&lt;&gt;0,AX276&gt;=MAXSSDI),SSDI*MAXSSDI*P276,IF(AT276&lt;&gt;0,SSDI*W276,0))</f>
        <v>0</v>
      </c>
      <c r="BE276" s="462">
        <f>IF(AT276&lt;&gt;0,SSHI*W276,0)</f>
        <v>0</v>
      </c>
      <c r="BF276" s="462">
        <f>IF(AND(AT276&lt;&gt;0,AN276&lt;&gt;"NE"),VLOOKUP(AN276,Retirement_Rates,3,FALSE)*W276,0)</f>
        <v>0</v>
      </c>
      <c r="BG276" s="462">
        <f>IF(AND(AT276&lt;&gt;0,AJ276&lt;&gt;"PF"),Life*W276,0)</f>
        <v>0</v>
      </c>
      <c r="BH276" s="462">
        <f>IF(AND(AT276&lt;&gt;0,AM276="Y"),UI*W276,0)</f>
        <v>0</v>
      </c>
      <c r="BI276" s="462">
        <f>IF(AND(AT276&lt;&gt;0,N276&lt;&gt;"NR"),DHR*W276,0)</f>
        <v>0</v>
      </c>
      <c r="BJ276" s="462">
        <f>IF(AT276&lt;&gt;0,WC*W276,0)</f>
        <v>0</v>
      </c>
      <c r="BK276" s="462">
        <f>IF(OR(AND(AT276&lt;&gt;0,AJ276&lt;&gt;"PF",AN276&lt;&gt;"NE",AG276&lt;&gt;"A"),AND(AL276="E",OR(AT276=1,AT276=3))),Sick*W276,0)</f>
        <v>0</v>
      </c>
      <c r="BL276" s="462">
        <f t="shared" si="73"/>
        <v>0</v>
      </c>
      <c r="BM276" s="462">
        <f t="shared" si="74"/>
        <v>0</v>
      </c>
      <c r="BN276" s="462">
        <f>IF(AND(AT276=1,AK276="E",AU276&gt;=0.75,AW276=1),HealthBY,IF(AND(AT276=1,AK276="E",AU276&gt;=0.75),HealthBY*P276,IF(AND(AT276=1,AK276="E",AU276&gt;=0.5,AW276=1),PTHealthBY,IF(AND(AT276=1,AK276="E",AU276&gt;=0.5),PTHealthBY*P276,0))))</f>
        <v>0</v>
      </c>
      <c r="BO276" s="462">
        <f>IF(AND(AT276=3,AK276="E",AV276&gt;=0.75,AW276=1),HealthBY,IF(AND(AT276=3,AK276="E",AV276&gt;=0.75),HealthBY*P276,IF(AND(AT276=3,AK276="E",AV276&gt;=0.5,AW276=1),PTHealthBY,IF(AND(AT276=3,AK276="E",AV276&gt;=0.5),PTHealthBY*P276,0))))</f>
        <v>0</v>
      </c>
      <c r="BP276" s="462">
        <f>IF(AND(AT276&lt;&gt;0,(AX276+BA276)&gt;=MAXSSDIBY),SSDIBY*MAXSSDIBY*P276,IF(AT276&lt;&gt;0,SSDIBY*W276,0))</f>
        <v>0</v>
      </c>
      <c r="BQ276" s="462">
        <f>IF(AT276&lt;&gt;0,SSHIBY*W276,0)</f>
        <v>0</v>
      </c>
      <c r="BR276" s="462">
        <f>IF(AND(AT276&lt;&gt;0,AN276&lt;&gt;"NE"),VLOOKUP(AN276,Retirement_Rates,4,FALSE)*W276,0)</f>
        <v>0</v>
      </c>
      <c r="BS276" s="462">
        <f>IF(AND(AT276&lt;&gt;0,AJ276&lt;&gt;"PF"),LifeBY*W276,0)</f>
        <v>0</v>
      </c>
      <c r="BT276" s="462">
        <f>IF(AND(AT276&lt;&gt;0,AM276="Y"),UIBY*W276,0)</f>
        <v>0</v>
      </c>
      <c r="BU276" s="462">
        <f>IF(AND(AT276&lt;&gt;0,N276&lt;&gt;"NR"),DHRBY*W276,0)</f>
        <v>0</v>
      </c>
      <c r="BV276" s="462">
        <f>IF(AT276&lt;&gt;0,WCBY*W276,0)</f>
        <v>0</v>
      </c>
      <c r="BW276" s="462">
        <f>IF(OR(AND(AT276&lt;&gt;0,AJ276&lt;&gt;"PF",AN276&lt;&gt;"NE",AG276&lt;&gt;"A"),AND(AL276="E",OR(AT276=1,AT276=3))),SickBY*W276,0)</f>
        <v>0</v>
      </c>
      <c r="BX276" s="462">
        <f t="shared" si="75"/>
        <v>0</v>
      </c>
      <c r="BY276" s="462">
        <f t="shared" si="76"/>
        <v>0</v>
      </c>
      <c r="BZ276" s="462">
        <f t="shared" si="77"/>
        <v>0</v>
      </c>
      <c r="CA276" s="462">
        <f t="shared" si="78"/>
        <v>0</v>
      </c>
      <c r="CB276" s="462">
        <f t="shared" si="79"/>
        <v>0</v>
      </c>
      <c r="CC276" s="462">
        <f>IF(AT276&lt;&gt;0,SSHICHG*Y276,0)</f>
        <v>0</v>
      </c>
      <c r="CD276" s="462">
        <f>IF(AND(AT276&lt;&gt;0,AN276&lt;&gt;"NE"),VLOOKUP(AN276,Retirement_Rates,5,FALSE)*Y276,0)</f>
        <v>0</v>
      </c>
      <c r="CE276" s="462">
        <f>IF(AND(AT276&lt;&gt;0,AJ276&lt;&gt;"PF"),LifeCHG*Y276,0)</f>
        <v>0</v>
      </c>
      <c r="CF276" s="462">
        <f>IF(AND(AT276&lt;&gt;0,AM276="Y"),UICHG*Y276,0)</f>
        <v>0</v>
      </c>
      <c r="CG276" s="462">
        <f>IF(AND(AT276&lt;&gt;0,N276&lt;&gt;"NR"),DHRCHG*Y276,0)</f>
        <v>0</v>
      </c>
      <c r="CH276" s="462">
        <f>IF(AT276&lt;&gt;0,WCCHG*Y276,0)</f>
        <v>0</v>
      </c>
      <c r="CI276" s="462">
        <f>IF(OR(AND(AT276&lt;&gt;0,AJ276&lt;&gt;"PF",AN276&lt;&gt;"NE",AG276&lt;&gt;"A"),AND(AL276="E",OR(AT276=1,AT276=3))),SickCHG*Y276,0)</f>
        <v>0</v>
      </c>
      <c r="CJ276" s="462">
        <f t="shared" si="80"/>
        <v>0</v>
      </c>
      <c r="CK276" s="462" t="str">
        <f t="shared" si="81"/>
        <v/>
      </c>
      <c r="CL276" s="462">
        <f t="shared" si="82"/>
        <v>52515.49</v>
      </c>
      <c r="CM276" s="462">
        <f t="shared" si="83"/>
        <v>7149.1</v>
      </c>
      <c r="CN276" s="462" t="str">
        <f t="shared" si="84"/>
        <v>0496-02</v>
      </c>
    </row>
    <row r="277" spans="1:92" ht="15" thickBot="1" x14ac:dyDescent="0.35">
      <c r="A277" s="376" t="s">
        <v>161</v>
      </c>
      <c r="B277" s="376" t="s">
        <v>162</v>
      </c>
      <c r="C277" s="376" t="s">
        <v>528</v>
      </c>
      <c r="D277" s="376" t="s">
        <v>221</v>
      </c>
      <c r="E277" s="376" t="s">
        <v>935</v>
      </c>
      <c r="F277" s="382" t="s">
        <v>384</v>
      </c>
      <c r="G277" s="376" t="s">
        <v>432</v>
      </c>
      <c r="H277" s="378"/>
      <c r="I277" s="378"/>
      <c r="J277" s="376" t="s">
        <v>168</v>
      </c>
      <c r="K277" s="376" t="s">
        <v>222</v>
      </c>
      <c r="L277" s="376" t="s">
        <v>166</v>
      </c>
      <c r="M277" s="376" t="s">
        <v>171</v>
      </c>
      <c r="N277" s="376" t="s">
        <v>223</v>
      </c>
      <c r="O277" s="379">
        <v>0</v>
      </c>
      <c r="P277" s="460">
        <v>0</v>
      </c>
      <c r="Q277" s="460">
        <v>0</v>
      </c>
      <c r="R277" s="380">
        <v>0</v>
      </c>
      <c r="S277" s="460">
        <v>0</v>
      </c>
      <c r="T277" s="380">
        <v>416</v>
      </c>
      <c r="U277" s="380">
        <v>0</v>
      </c>
      <c r="V277" s="380">
        <v>46.59</v>
      </c>
      <c r="W277" s="380">
        <v>0</v>
      </c>
      <c r="X277" s="380">
        <v>0</v>
      </c>
      <c r="Y277" s="380">
        <v>0</v>
      </c>
      <c r="Z277" s="380">
        <v>0</v>
      </c>
      <c r="AA277" s="378"/>
      <c r="AB277" s="376" t="s">
        <v>45</v>
      </c>
      <c r="AC277" s="376" t="s">
        <v>45</v>
      </c>
      <c r="AD277" s="378"/>
      <c r="AE277" s="378"/>
      <c r="AF277" s="378"/>
      <c r="AG277" s="378"/>
      <c r="AH277" s="379">
        <v>0</v>
      </c>
      <c r="AI277" s="379">
        <v>0</v>
      </c>
      <c r="AJ277" s="378"/>
      <c r="AK277" s="378"/>
      <c r="AL277" s="376" t="s">
        <v>181</v>
      </c>
      <c r="AM277" s="378"/>
      <c r="AN277" s="378"/>
      <c r="AO277" s="379">
        <v>0</v>
      </c>
      <c r="AP277" s="460">
        <v>0</v>
      </c>
      <c r="AQ277" s="460">
        <v>0</v>
      </c>
      <c r="AR277" s="459"/>
      <c r="AS277" s="462">
        <f t="shared" si="68"/>
        <v>0</v>
      </c>
      <c r="AT277">
        <f t="shared" si="69"/>
        <v>0</v>
      </c>
      <c r="AU277" s="462" t="str">
        <f>IF(AT277=0,"",IF(AND(AT277=1,M277="F",SUMIF(C2:C391,C277,AS2:AS391)&lt;=1),SUMIF(C2:C391,C277,AS2:AS391),IF(AND(AT277=1,M277="F",SUMIF(C2:C391,C277,AS2:AS391)&gt;1),1,"")))</f>
        <v/>
      </c>
      <c r="AV277" s="462" t="str">
        <f>IF(AT277=0,"",IF(AND(AT277=3,M277="F",SUMIF(C2:C391,C277,AS2:AS391)&lt;=1),SUMIF(C2:C391,C277,AS2:AS391),IF(AND(AT277=3,M277="F",SUMIF(C2:C391,C277,AS2:AS391)&gt;1),1,"")))</f>
        <v/>
      </c>
      <c r="AW277" s="462">
        <f>SUMIF(C2:C391,C277,O2:O391)</f>
        <v>0</v>
      </c>
      <c r="AX277" s="462">
        <f>IF(AND(M277="F",AS277&lt;&gt;0),SUMIF(C2:C391,C277,W2:W391),0)</f>
        <v>0</v>
      </c>
      <c r="AY277" s="462" t="str">
        <f t="shared" si="70"/>
        <v/>
      </c>
      <c r="AZ277" s="462" t="str">
        <f t="shared" si="71"/>
        <v/>
      </c>
      <c r="BA277" s="462">
        <f t="shared" si="72"/>
        <v>0</v>
      </c>
      <c r="BB277" s="462">
        <f>IF(AND(AT277=1,AK277="E",AU277&gt;=0.75,AW277=1),Health,IF(AND(AT277=1,AK277="E",AU277&gt;=0.75),Health*P277,IF(AND(AT277=1,AK277="E",AU277&gt;=0.5,AW277=1),PTHealth,IF(AND(AT277=1,AK277="E",AU277&gt;=0.5),PTHealth*P277,0))))</f>
        <v>0</v>
      </c>
      <c r="BC277" s="462">
        <f>IF(AND(AT277=3,AK277="E",AV277&gt;=0.75,AW277=1),Health,IF(AND(AT277=3,AK277="E",AV277&gt;=0.75),Health*P277,IF(AND(AT277=3,AK277="E",AV277&gt;=0.5,AW277=1),PTHealth,IF(AND(AT277=3,AK277="E",AV277&gt;=0.5),PTHealth*P277,0))))</f>
        <v>0</v>
      </c>
      <c r="BD277" s="462">
        <f>IF(AND(AT277&lt;&gt;0,AX277&gt;=MAXSSDI),SSDI*MAXSSDI*P277,IF(AT277&lt;&gt;0,SSDI*W277,0))</f>
        <v>0</v>
      </c>
      <c r="BE277" s="462">
        <f>IF(AT277&lt;&gt;0,SSHI*W277,0)</f>
        <v>0</v>
      </c>
      <c r="BF277" s="462">
        <f>IF(AND(AT277&lt;&gt;0,AN277&lt;&gt;"NE"),VLOOKUP(AN277,Retirement_Rates,3,FALSE)*W277,0)</f>
        <v>0</v>
      </c>
      <c r="BG277" s="462">
        <f>IF(AND(AT277&lt;&gt;0,AJ277&lt;&gt;"PF"),Life*W277,0)</f>
        <v>0</v>
      </c>
      <c r="BH277" s="462">
        <f>IF(AND(AT277&lt;&gt;0,AM277="Y"),UI*W277,0)</f>
        <v>0</v>
      </c>
      <c r="BI277" s="462">
        <f>IF(AND(AT277&lt;&gt;0,N277&lt;&gt;"NR"),DHR*W277,0)</f>
        <v>0</v>
      </c>
      <c r="BJ277" s="462">
        <f>IF(AT277&lt;&gt;0,WC*W277,0)</f>
        <v>0</v>
      </c>
      <c r="BK277" s="462">
        <f>IF(OR(AND(AT277&lt;&gt;0,AJ277&lt;&gt;"PF",AN277&lt;&gt;"NE",AG277&lt;&gt;"A"),AND(AL277="E",OR(AT277=1,AT277=3))),Sick*W277,0)</f>
        <v>0</v>
      </c>
      <c r="BL277" s="462">
        <f t="shared" si="73"/>
        <v>0</v>
      </c>
      <c r="BM277" s="462">
        <f t="shared" si="74"/>
        <v>0</v>
      </c>
      <c r="BN277" s="462">
        <f>IF(AND(AT277=1,AK277="E",AU277&gt;=0.75,AW277=1),HealthBY,IF(AND(AT277=1,AK277="E",AU277&gt;=0.75),HealthBY*P277,IF(AND(AT277=1,AK277="E",AU277&gt;=0.5,AW277=1),PTHealthBY,IF(AND(AT277=1,AK277="E",AU277&gt;=0.5),PTHealthBY*P277,0))))</f>
        <v>0</v>
      </c>
      <c r="BO277" s="462">
        <f>IF(AND(AT277=3,AK277="E",AV277&gt;=0.75,AW277=1),HealthBY,IF(AND(AT277=3,AK277="E",AV277&gt;=0.75),HealthBY*P277,IF(AND(AT277=3,AK277="E",AV277&gt;=0.5,AW277=1),PTHealthBY,IF(AND(AT277=3,AK277="E",AV277&gt;=0.5),PTHealthBY*P277,0))))</f>
        <v>0</v>
      </c>
      <c r="BP277" s="462">
        <f>IF(AND(AT277&lt;&gt;0,(AX277+BA277)&gt;=MAXSSDIBY),SSDIBY*MAXSSDIBY*P277,IF(AT277&lt;&gt;0,SSDIBY*W277,0))</f>
        <v>0</v>
      </c>
      <c r="BQ277" s="462">
        <f>IF(AT277&lt;&gt;0,SSHIBY*W277,0)</f>
        <v>0</v>
      </c>
      <c r="BR277" s="462">
        <f>IF(AND(AT277&lt;&gt;0,AN277&lt;&gt;"NE"),VLOOKUP(AN277,Retirement_Rates,4,FALSE)*W277,0)</f>
        <v>0</v>
      </c>
      <c r="BS277" s="462">
        <f>IF(AND(AT277&lt;&gt;0,AJ277&lt;&gt;"PF"),LifeBY*W277,0)</f>
        <v>0</v>
      </c>
      <c r="BT277" s="462">
        <f>IF(AND(AT277&lt;&gt;0,AM277="Y"),UIBY*W277,0)</f>
        <v>0</v>
      </c>
      <c r="BU277" s="462">
        <f>IF(AND(AT277&lt;&gt;0,N277&lt;&gt;"NR"),DHRBY*W277,0)</f>
        <v>0</v>
      </c>
      <c r="BV277" s="462">
        <f>IF(AT277&lt;&gt;0,WCBY*W277,0)</f>
        <v>0</v>
      </c>
      <c r="BW277" s="462">
        <f>IF(OR(AND(AT277&lt;&gt;0,AJ277&lt;&gt;"PF",AN277&lt;&gt;"NE",AG277&lt;&gt;"A"),AND(AL277="E",OR(AT277=1,AT277=3))),SickBY*W277,0)</f>
        <v>0</v>
      </c>
      <c r="BX277" s="462">
        <f t="shared" si="75"/>
        <v>0</v>
      </c>
      <c r="BY277" s="462">
        <f t="shared" si="76"/>
        <v>0</v>
      </c>
      <c r="BZ277" s="462">
        <f t="shared" si="77"/>
        <v>0</v>
      </c>
      <c r="CA277" s="462">
        <f t="shared" si="78"/>
        <v>0</v>
      </c>
      <c r="CB277" s="462">
        <f t="shared" si="79"/>
        <v>0</v>
      </c>
      <c r="CC277" s="462">
        <f>IF(AT277&lt;&gt;0,SSHICHG*Y277,0)</f>
        <v>0</v>
      </c>
      <c r="CD277" s="462">
        <f>IF(AND(AT277&lt;&gt;0,AN277&lt;&gt;"NE"),VLOOKUP(AN277,Retirement_Rates,5,FALSE)*Y277,0)</f>
        <v>0</v>
      </c>
      <c r="CE277" s="462">
        <f>IF(AND(AT277&lt;&gt;0,AJ277&lt;&gt;"PF"),LifeCHG*Y277,0)</f>
        <v>0</v>
      </c>
      <c r="CF277" s="462">
        <f>IF(AND(AT277&lt;&gt;0,AM277="Y"),UICHG*Y277,0)</f>
        <v>0</v>
      </c>
      <c r="CG277" s="462">
        <f>IF(AND(AT277&lt;&gt;0,N277&lt;&gt;"NR"),DHRCHG*Y277,0)</f>
        <v>0</v>
      </c>
      <c r="CH277" s="462">
        <f>IF(AT277&lt;&gt;0,WCCHG*Y277,0)</f>
        <v>0</v>
      </c>
      <c r="CI277" s="462">
        <f>IF(OR(AND(AT277&lt;&gt;0,AJ277&lt;&gt;"PF",AN277&lt;&gt;"NE",AG277&lt;&gt;"A"),AND(AL277="E",OR(AT277=1,AT277=3))),SickCHG*Y277,0)</f>
        <v>0</v>
      </c>
      <c r="CJ277" s="462">
        <f t="shared" si="80"/>
        <v>0</v>
      </c>
      <c r="CK277" s="462" t="str">
        <f t="shared" si="81"/>
        <v/>
      </c>
      <c r="CL277" s="462">
        <f t="shared" si="82"/>
        <v>416</v>
      </c>
      <c r="CM277" s="462">
        <f t="shared" si="83"/>
        <v>46.59</v>
      </c>
      <c r="CN277" s="462" t="str">
        <f t="shared" si="84"/>
        <v>0496-02</v>
      </c>
    </row>
    <row r="278" spans="1:92" ht="15" thickBot="1" x14ac:dyDescent="0.35">
      <c r="A278" s="376" t="s">
        <v>161</v>
      </c>
      <c r="B278" s="376" t="s">
        <v>162</v>
      </c>
      <c r="C278" s="376" t="s">
        <v>836</v>
      </c>
      <c r="D278" s="376" t="s">
        <v>837</v>
      </c>
      <c r="E278" s="376" t="s">
        <v>935</v>
      </c>
      <c r="F278" s="382" t="s">
        <v>902</v>
      </c>
      <c r="G278" s="376" t="s">
        <v>432</v>
      </c>
      <c r="H278" s="378"/>
      <c r="I278" s="378"/>
      <c r="J278" s="376" t="s">
        <v>229</v>
      </c>
      <c r="K278" s="376" t="s">
        <v>838</v>
      </c>
      <c r="L278" s="376" t="s">
        <v>181</v>
      </c>
      <c r="M278" s="376" t="s">
        <v>171</v>
      </c>
      <c r="N278" s="376" t="s">
        <v>172</v>
      </c>
      <c r="O278" s="379">
        <v>1</v>
      </c>
      <c r="P278" s="460">
        <v>0.3</v>
      </c>
      <c r="Q278" s="460">
        <v>0.3</v>
      </c>
      <c r="R278" s="380">
        <v>80</v>
      </c>
      <c r="S278" s="460">
        <v>0.3</v>
      </c>
      <c r="T278" s="380">
        <v>19429.48</v>
      </c>
      <c r="U278" s="380">
        <v>0</v>
      </c>
      <c r="V278" s="380">
        <v>7749.5</v>
      </c>
      <c r="W278" s="380">
        <v>19980.48</v>
      </c>
      <c r="X278" s="380">
        <v>8249.74</v>
      </c>
      <c r="Y278" s="380">
        <v>19980.48</v>
      </c>
      <c r="Z278" s="380">
        <v>8307.68</v>
      </c>
      <c r="AA278" s="376" t="s">
        <v>839</v>
      </c>
      <c r="AB278" s="376" t="s">
        <v>840</v>
      </c>
      <c r="AC278" s="376" t="s">
        <v>841</v>
      </c>
      <c r="AD278" s="376" t="s">
        <v>574</v>
      </c>
      <c r="AE278" s="376" t="s">
        <v>838</v>
      </c>
      <c r="AF278" s="376" t="s">
        <v>206</v>
      </c>
      <c r="AG278" s="376" t="s">
        <v>178</v>
      </c>
      <c r="AH278" s="381">
        <v>32.020000000000003</v>
      </c>
      <c r="AI278" s="381">
        <v>46473.1</v>
      </c>
      <c r="AJ278" s="376" t="s">
        <v>179</v>
      </c>
      <c r="AK278" s="376" t="s">
        <v>180</v>
      </c>
      <c r="AL278" s="376" t="s">
        <v>181</v>
      </c>
      <c r="AM278" s="376" t="s">
        <v>182</v>
      </c>
      <c r="AN278" s="376" t="s">
        <v>68</v>
      </c>
      <c r="AO278" s="379">
        <v>80</v>
      </c>
      <c r="AP278" s="460">
        <v>1</v>
      </c>
      <c r="AQ278" s="460">
        <v>0.3</v>
      </c>
      <c r="AR278" s="458" t="s">
        <v>183</v>
      </c>
      <c r="AS278" s="462">
        <f t="shared" si="68"/>
        <v>0.3</v>
      </c>
      <c r="AT278">
        <f t="shared" si="69"/>
        <v>1</v>
      </c>
      <c r="AU278" s="462">
        <f>IF(AT278=0,"",IF(AND(AT278=1,M278="F",SUMIF(C2:C391,C278,AS2:AS391)&lt;=1),SUMIF(C2:C391,C278,AS2:AS391),IF(AND(AT278=1,M278="F",SUMIF(C2:C391,C278,AS2:AS391)&gt;1),1,"")))</f>
        <v>1</v>
      </c>
      <c r="AV278" s="462" t="str">
        <f>IF(AT278=0,"",IF(AND(AT278=3,M278="F",SUMIF(C2:C391,C278,AS2:AS391)&lt;=1),SUMIF(C2:C391,C278,AS2:AS391),IF(AND(AT278=3,M278="F",SUMIF(C2:C391,C278,AS2:AS391)&gt;1),1,"")))</f>
        <v/>
      </c>
      <c r="AW278" s="462">
        <f>SUMIF(C2:C391,C278,O2:O391)</f>
        <v>2</v>
      </c>
      <c r="AX278" s="462">
        <f>IF(AND(M278="F",AS278&lt;&gt;0),SUMIF(C2:C391,C278,W2:W391),0)</f>
        <v>66601.600000000006</v>
      </c>
      <c r="AY278" s="462">
        <f t="shared" si="70"/>
        <v>19980.48</v>
      </c>
      <c r="AZ278" s="462" t="str">
        <f t="shared" si="71"/>
        <v/>
      </c>
      <c r="BA278" s="462">
        <f t="shared" si="72"/>
        <v>0</v>
      </c>
      <c r="BB278" s="462">
        <f>IF(AND(AT278=1,AK278="E",AU278&gt;=0.75,AW278=1),Health,IF(AND(AT278=1,AK278="E",AU278&gt;=0.75),Health*P278,IF(AND(AT278=1,AK278="E",AU278&gt;=0.5,AW278=1),PTHealth,IF(AND(AT278=1,AK278="E",AU278&gt;=0.5),PTHealth*P278,0))))</f>
        <v>3495</v>
      </c>
      <c r="BC278" s="462">
        <f>IF(AND(AT278=3,AK278="E",AV278&gt;=0.75,AW278=1),Health,IF(AND(AT278=3,AK278="E",AV278&gt;=0.75),Health*P278,IF(AND(AT278=3,AK278="E",AV278&gt;=0.5,AW278=1),PTHealth,IF(AND(AT278=3,AK278="E",AV278&gt;=0.5),PTHealth*P278,0))))</f>
        <v>0</v>
      </c>
      <c r="BD278" s="462">
        <f>IF(AND(AT278&lt;&gt;0,AX278&gt;=MAXSSDI),SSDI*MAXSSDI*P278,IF(AT278&lt;&gt;0,SSDI*W278,0))</f>
        <v>1238.7897599999999</v>
      </c>
      <c r="BE278" s="462">
        <f>IF(AT278&lt;&gt;0,SSHI*W278,0)</f>
        <v>289.71696000000003</v>
      </c>
      <c r="BF278" s="462">
        <f>IF(AND(AT278&lt;&gt;0,AN278&lt;&gt;"NE"),VLOOKUP(AN278,Retirement_Rates,3,FALSE)*W278,0)</f>
        <v>2385.669312</v>
      </c>
      <c r="BG278" s="462">
        <f>IF(AND(AT278&lt;&gt;0,AJ278&lt;&gt;"PF"),Life*W278,0)</f>
        <v>144.0592608</v>
      </c>
      <c r="BH278" s="462">
        <f>IF(AND(AT278&lt;&gt;0,AM278="Y"),UI*W278,0)</f>
        <v>97.904351999999989</v>
      </c>
      <c r="BI278" s="462">
        <f>IF(AND(AT278&lt;&gt;0,N278&lt;&gt;"NR"),DHR*W278,0)</f>
        <v>61.140268799999994</v>
      </c>
      <c r="BJ278" s="462">
        <f>IF(AT278&lt;&gt;0,WC*W278,0)</f>
        <v>537.47491200000002</v>
      </c>
      <c r="BK278" s="462">
        <f>IF(OR(AND(AT278&lt;&gt;0,AJ278&lt;&gt;"PF",AN278&lt;&gt;"NE",AG278&lt;&gt;"A"),AND(AL278="E",OR(AT278=1,AT278=3))),Sick*W278,0)</f>
        <v>0</v>
      </c>
      <c r="BL278" s="462">
        <f t="shared" si="73"/>
        <v>4754.7548255999991</v>
      </c>
      <c r="BM278" s="462">
        <f t="shared" si="74"/>
        <v>0</v>
      </c>
      <c r="BN278" s="462">
        <f>IF(AND(AT278=1,AK278="E",AU278&gt;=0.75,AW278=1),HealthBY,IF(AND(AT278=1,AK278="E",AU278&gt;=0.75),HealthBY*P278,IF(AND(AT278=1,AK278="E",AU278&gt;=0.5,AW278=1),PTHealthBY,IF(AND(AT278=1,AK278="E",AU278&gt;=0.5),PTHealthBY*P278,0))))</f>
        <v>3495</v>
      </c>
      <c r="BO278" s="462">
        <f>IF(AND(AT278=3,AK278="E",AV278&gt;=0.75,AW278=1),HealthBY,IF(AND(AT278=3,AK278="E",AV278&gt;=0.75),HealthBY*P278,IF(AND(AT278=3,AK278="E",AV278&gt;=0.5,AW278=1),PTHealthBY,IF(AND(AT278=3,AK278="E",AV278&gt;=0.5),PTHealthBY*P278,0))))</f>
        <v>0</v>
      </c>
      <c r="BP278" s="462">
        <f>IF(AND(AT278&lt;&gt;0,(AX278+BA278)&gt;=MAXSSDIBY),SSDIBY*MAXSSDIBY*P278,IF(AT278&lt;&gt;0,SSDIBY*W278,0))</f>
        <v>1238.7897599999999</v>
      </c>
      <c r="BQ278" s="462">
        <f>IF(AT278&lt;&gt;0,SSHIBY*W278,0)</f>
        <v>289.71696000000003</v>
      </c>
      <c r="BR278" s="462">
        <f>IF(AND(AT278&lt;&gt;0,AN278&lt;&gt;"NE"),VLOOKUP(AN278,Retirement_Rates,4,FALSE)*W278,0)</f>
        <v>2385.669312</v>
      </c>
      <c r="BS278" s="462">
        <f>IF(AND(AT278&lt;&gt;0,AJ278&lt;&gt;"PF"),LifeBY*W278,0)</f>
        <v>144.0592608</v>
      </c>
      <c r="BT278" s="462">
        <f>IF(AND(AT278&lt;&gt;0,AM278="Y"),UIBY*W278,0)</f>
        <v>0</v>
      </c>
      <c r="BU278" s="462">
        <f>IF(AND(AT278&lt;&gt;0,N278&lt;&gt;"NR"),DHRBY*W278,0)</f>
        <v>61.140268799999994</v>
      </c>
      <c r="BV278" s="462">
        <f>IF(AT278&lt;&gt;0,WCBY*W278,0)</f>
        <v>693.32265600000005</v>
      </c>
      <c r="BW278" s="462">
        <f>IF(OR(AND(AT278&lt;&gt;0,AJ278&lt;&gt;"PF",AN278&lt;&gt;"NE",AG278&lt;&gt;"A"),AND(AL278="E",OR(AT278=1,AT278=3))),SickBY*W278,0)</f>
        <v>0</v>
      </c>
      <c r="BX278" s="462">
        <f t="shared" si="75"/>
        <v>4812.6982176000001</v>
      </c>
      <c r="BY278" s="462">
        <f t="shared" si="76"/>
        <v>0</v>
      </c>
      <c r="BZ278" s="462">
        <f t="shared" si="77"/>
        <v>0</v>
      </c>
      <c r="CA278" s="462">
        <f t="shared" si="78"/>
        <v>0</v>
      </c>
      <c r="CB278" s="462">
        <f t="shared" si="79"/>
        <v>0</v>
      </c>
      <c r="CC278" s="462">
        <f>IF(AT278&lt;&gt;0,SSHICHG*Y278,0)</f>
        <v>0</v>
      </c>
      <c r="CD278" s="462">
        <f>IF(AND(AT278&lt;&gt;0,AN278&lt;&gt;"NE"),VLOOKUP(AN278,Retirement_Rates,5,FALSE)*Y278,0)</f>
        <v>0</v>
      </c>
      <c r="CE278" s="462">
        <f>IF(AND(AT278&lt;&gt;0,AJ278&lt;&gt;"PF"),LifeCHG*Y278,0)</f>
        <v>0</v>
      </c>
      <c r="CF278" s="462">
        <f>IF(AND(AT278&lt;&gt;0,AM278="Y"),UICHG*Y278,0)</f>
        <v>-97.904351999999989</v>
      </c>
      <c r="CG278" s="462">
        <f>IF(AND(AT278&lt;&gt;0,N278&lt;&gt;"NR"),DHRCHG*Y278,0)</f>
        <v>0</v>
      </c>
      <c r="CH278" s="462">
        <f>IF(AT278&lt;&gt;0,WCCHG*Y278,0)</f>
        <v>155.84774400000003</v>
      </c>
      <c r="CI278" s="462">
        <f>IF(OR(AND(AT278&lt;&gt;0,AJ278&lt;&gt;"PF",AN278&lt;&gt;"NE",AG278&lt;&gt;"A"),AND(AL278="E",OR(AT278=1,AT278=3))),SickCHG*Y278,0)</f>
        <v>0</v>
      </c>
      <c r="CJ278" s="462">
        <f t="shared" si="80"/>
        <v>57.943392000000046</v>
      </c>
      <c r="CK278" s="462" t="str">
        <f t="shared" si="81"/>
        <v/>
      </c>
      <c r="CL278" s="462" t="str">
        <f t="shared" si="82"/>
        <v/>
      </c>
      <c r="CM278" s="462" t="str">
        <f t="shared" si="83"/>
        <v/>
      </c>
      <c r="CN278" s="462" t="str">
        <f t="shared" si="84"/>
        <v>0496-03</v>
      </c>
    </row>
    <row r="279" spans="1:92" ht="15" thickBot="1" x14ac:dyDescent="0.35">
      <c r="A279" s="376" t="s">
        <v>161</v>
      </c>
      <c r="B279" s="376" t="s">
        <v>162</v>
      </c>
      <c r="C279" s="376" t="s">
        <v>946</v>
      </c>
      <c r="D279" s="376" t="s">
        <v>221</v>
      </c>
      <c r="E279" s="376" t="s">
        <v>935</v>
      </c>
      <c r="F279" s="382" t="s">
        <v>902</v>
      </c>
      <c r="G279" s="376" t="s">
        <v>432</v>
      </c>
      <c r="H279" s="378"/>
      <c r="I279" s="378"/>
      <c r="J279" s="376" t="s">
        <v>168</v>
      </c>
      <c r="K279" s="376" t="s">
        <v>222</v>
      </c>
      <c r="L279" s="376" t="s">
        <v>166</v>
      </c>
      <c r="M279" s="376" t="s">
        <v>225</v>
      </c>
      <c r="N279" s="376" t="s">
        <v>223</v>
      </c>
      <c r="O279" s="379">
        <v>0</v>
      </c>
      <c r="P279" s="460">
        <v>1</v>
      </c>
      <c r="Q279" s="460">
        <v>0</v>
      </c>
      <c r="R279" s="380">
        <v>0</v>
      </c>
      <c r="S279" s="460">
        <v>0</v>
      </c>
      <c r="T279" s="380">
        <v>0</v>
      </c>
      <c r="U279" s="380">
        <v>0</v>
      </c>
      <c r="V279" s="380">
        <v>0</v>
      </c>
      <c r="W279" s="380">
        <v>0</v>
      </c>
      <c r="X279" s="380">
        <v>0</v>
      </c>
      <c r="Y279" s="380">
        <v>0</v>
      </c>
      <c r="Z279" s="380">
        <v>0</v>
      </c>
      <c r="AA279" s="378"/>
      <c r="AB279" s="376" t="s">
        <v>45</v>
      </c>
      <c r="AC279" s="376" t="s">
        <v>45</v>
      </c>
      <c r="AD279" s="378"/>
      <c r="AE279" s="378"/>
      <c r="AF279" s="378"/>
      <c r="AG279" s="378"/>
      <c r="AH279" s="379">
        <v>0</v>
      </c>
      <c r="AI279" s="379">
        <v>0</v>
      </c>
      <c r="AJ279" s="378"/>
      <c r="AK279" s="378"/>
      <c r="AL279" s="376" t="s">
        <v>181</v>
      </c>
      <c r="AM279" s="378"/>
      <c r="AN279" s="378"/>
      <c r="AO279" s="379">
        <v>0</v>
      </c>
      <c r="AP279" s="460">
        <v>0</v>
      </c>
      <c r="AQ279" s="460">
        <v>0</v>
      </c>
      <c r="AR279" s="459"/>
      <c r="AS279" s="462">
        <f t="shared" si="68"/>
        <v>0</v>
      </c>
      <c r="AT279">
        <f t="shared" si="69"/>
        <v>0</v>
      </c>
      <c r="AU279" s="462" t="str">
        <f>IF(AT279=0,"",IF(AND(AT279=1,M279="F",SUMIF(C2:C391,C279,AS2:AS391)&lt;=1),SUMIF(C2:C391,C279,AS2:AS391),IF(AND(AT279=1,M279="F",SUMIF(C2:C391,C279,AS2:AS391)&gt;1),1,"")))</f>
        <v/>
      </c>
      <c r="AV279" s="462" t="str">
        <f>IF(AT279=0,"",IF(AND(AT279=3,M279="F",SUMIF(C2:C391,C279,AS2:AS391)&lt;=1),SUMIF(C2:C391,C279,AS2:AS391),IF(AND(AT279=3,M279="F",SUMIF(C2:C391,C279,AS2:AS391)&gt;1),1,"")))</f>
        <v/>
      </c>
      <c r="AW279" s="462">
        <f>SUMIF(C2:C391,C279,O2:O391)</f>
        <v>0</v>
      </c>
      <c r="AX279" s="462">
        <f>IF(AND(M279="F",AS279&lt;&gt;0),SUMIF(C2:C391,C279,W2:W391),0)</f>
        <v>0</v>
      </c>
      <c r="AY279" s="462" t="str">
        <f t="shared" si="70"/>
        <v/>
      </c>
      <c r="AZ279" s="462" t="str">
        <f t="shared" si="71"/>
        <v/>
      </c>
      <c r="BA279" s="462">
        <f t="shared" si="72"/>
        <v>0</v>
      </c>
      <c r="BB279" s="462">
        <f>IF(AND(AT279=1,AK279="E",AU279&gt;=0.75,AW279=1),Health,IF(AND(AT279=1,AK279="E",AU279&gt;=0.75),Health*P279,IF(AND(AT279=1,AK279="E",AU279&gt;=0.5,AW279=1),PTHealth,IF(AND(AT279=1,AK279="E",AU279&gt;=0.5),PTHealth*P279,0))))</f>
        <v>0</v>
      </c>
      <c r="BC279" s="462">
        <f>IF(AND(AT279=3,AK279="E",AV279&gt;=0.75,AW279=1),Health,IF(AND(AT279=3,AK279="E",AV279&gt;=0.75),Health*P279,IF(AND(AT279=3,AK279="E",AV279&gt;=0.5,AW279=1),PTHealth,IF(AND(AT279=3,AK279="E",AV279&gt;=0.5),PTHealth*P279,0))))</f>
        <v>0</v>
      </c>
      <c r="BD279" s="462">
        <f>IF(AND(AT279&lt;&gt;0,AX279&gt;=MAXSSDI),SSDI*MAXSSDI*P279,IF(AT279&lt;&gt;0,SSDI*W279,0))</f>
        <v>0</v>
      </c>
      <c r="BE279" s="462">
        <f>IF(AT279&lt;&gt;0,SSHI*W279,0)</f>
        <v>0</v>
      </c>
      <c r="BF279" s="462">
        <f>IF(AND(AT279&lt;&gt;0,AN279&lt;&gt;"NE"),VLOOKUP(AN279,Retirement_Rates,3,FALSE)*W279,0)</f>
        <v>0</v>
      </c>
      <c r="BG279" s="462">
        <f>IF(AND(AT279&lt;&gt;0,AJ279&lt;&gt;"PF"),Life*W279,0)</f>
        <v>0</v>
      </c>
      <c r="BH279" s="462">
        <f>IF(AND(AT279&lt;&gt;0,AM279="Y"),UI*W279,0)</f>
        <v>0</v>
      </c>
      <c r="BI279" s="462">
        <f>IF(AND(AT279&lt;&gt;0,N279&lt;&gt;"NR"),DHR*W279,0)</f>
        <v>0</v>
      </c>
      <c r="BJ279" s="462">
        <f>IF(AT279&lt;&gt;0,WC*W279,0)</f>
        <v>0</v>
      </c>
      <c r="BK279" s="462">
        <f>IF(OR(AND(AT279&lt;&gt;0,AJ279&lt;&gt;"PF",AN279&lt;&gt;"NE",AG279&lt;&gt;"A"),AND(AL279="E",OR(AT279=1,AT279=3))),Sick*W279,0)</f>
        <v>0</v>
      </c>
      <c r="BL279" s="462">
        <f t="shared" si="73"/>
        <v>0</v>
      </c>
      <c r="BM279" s="462">
        <f t="shared" si="74"/>
        <v>0</v>
      </c>
      <c r="BN279" s="462">
        <f>IF(AND(AT279=1,AK279="E",AU279&gt;=0.75,AW279=1),HealthBY,IF(AND(AT279=1,AK279="E",AU279&gt;=0.75),HealthBY*P279,IF(AND(AT279=1,AK279="E",AU279&gt;=0.5,AW279=1),PTHealthBY,IF(AND(AT279=1,AK279="E",AU279&gt;=0.5),PTHealthBY*P279,0))))</f>
        <v>0</v>
      </c>
      <c r="BO279" s="462">
        <f>IF(AND(AT279=3,AK279="E",AV279&gt;=0.75,AW279=1),HealthBY,IF(AND(AT279=3,AK279="E",AV279&gt;=0.75),HealthBY*P279,IF(AND(AT279=3,AK279="E",AV279&gt;=0.5,AW279=1),PTHealthBY,IF(AND(AT279=3,AK279="E",AV279&gt;=0.5),PTHealthBY*P279,0))))</f>
        <v>0</v>
      </c>
      <c r="BP279" s="462">
        <f>IF(AND(AT279&lt;&gt;0,(AX279+BA279)&gt;=MAXSSDIBY),SSDIBY*MAXSSDIBY*P279,IF(AT279&lt;&gt;0,SSDIBY*W279,0))</f>
        <v>0</v>
      </c>
      <c r="BQ279" s="462">
        <f>IF(AT279&lt;&gt;0,SSHIBY*W279,0)</f>
        <v>0</v>
      </c>
      <c r="BR279" s="462">
        <f>IF(AND(AT279&lt;&gt;0,AN279&lt;&gt;"NE"),VLOOKUP(AN279,Retirement_Rates,4,FALSE)*W279,0)</f>
        <v>0</v>
      </c>
      <c r="BS279" s="462">
        <f>IF(AND(AT279&lt;&gt;0,AJ279&lt;&gt;"PF"),LifeBY*W279,0)</f>
        <v>0</v>
      </c>
      <c r="BT279" s="462">
        <f>IF(AND(AT279&lt;&gt;0,AM279="Y"),UIBY*W279,0)</f>
        <v>0</v>
      </c>
      <c r="BU279" s="462">
        <f>IF(AND(AT279&lt;&gt;0,N279&lt;&gt;"NR"),DHRBY*W279,0)</f>
        <v>0</v>
      </c>
      <c r="BV279" s="462">
        <f>IF(AT279&lt;&gt;0,WCBY*W279,0)</f>
        <v>0</v>
      </c>
      <c r="BW279" s="462">
        <f>IF(OR(AND(AT279&lt;&gt;0,AJ279&lt;&gt;"PF",AN279&lt;&gt;"NE",AG279&lt;&gt;"A"),AND(AL279="E",OR(AT279=1,AT279=3))),SickBY*W279,0)</f>
        <v>0</v>
      </c>
      <c r="BX279" s="462">
        <f t="shared" si="75"/>
        <v>0</v>
      </c>
      <c r="BY279" s="462">
        <f t="shared" si="76"/>
        <v>0</v>
      </c>
      <c r="BZ279" s="462">
        <f t="shared" si="77"/>
        <v>0</v>
      </c>
      <c r="CA279" s="462">
        <f t="shared" si="78"/>
        <v>0</v>
      </c>
      <c r="CB279" s="462">
        <f t="shared" si="79"/>
        <v>0</v>
      </c>
      <c r="CC279" s="462">
        <f>IF(AT279&lt;&gt;0,SSHICHG*Y279,0)</f>
        <v>0</v>
      </c>
      <c r="CD279" s="462">
        <f>IF(AND(AT279&lt;&gt;0,AN279&lt;&gt;"NE"),VLOOKUP(AN279,Retirement_Rates,5,FALSE)*Y279,0)</f>
        <v>0</v>
      </c>
      <c r="CE279" s="462">
        <f>IF(AND(AT279&lt;&gt;0,AJ279&lt;&gt;"PF"),LifeCHG*Y279,0)</f>
        <v>0</v>
      </c>
      <c r="CF279" s="462">
        <f>IF(AND(AT279&lt;&gt;0,AM279="Y"),UICHG*Y279,0)</f>
        <v>0</v>
      </c>
      <c r="CG279" s="462">
        <f>IF(AND(AT279&lt;&gt;0,N279&lt;&gt;"NR"),DHRCHG*Y279,0)</f>
        <v>0</v>
      </c>
      <c r="CH279" s="462">
        <f>IF(AT279&lt;&gt;0,WCCHG*Y279,0)</f>
        <v>0</v>
      </c>
      <c r="CI279" s="462">
        <f>IF(OR(AND(AT279&lt;&gt;0,AJ279&lt;&gt;"PF",AN279&lt;&gt;"NE",AG279&lt;&gt;"A"),AND(AL279="E",OR(AT279=1,AT279=3))),SickCHG*Y279,0)</f>
        <v>0</v>
      </c>
      <c r="CJ279" s="462">
        <f t="shared" si="80"/>
        <v>0</v>
      </c>
      <c r="CK279" s="462" t="str">
        <f t="shared" si="81"/>
        <v/>
      </c>
      <c r="CL279" s="462">
        <f t="shared" si="82"/>
        <v>0</v>
      </c>
      <c r="CM279" s="462">
        <f t="shared" si="83"/>
        <v>0</v>
      </c>
      <c r="CN279" s="462" t="str">
        <f t="shared" si="84"/>
        <v>0496-03</v>
      </c>
    </row>
    <row r="280" spans="1:92" ht="15" thickBot="1" x14ac:dyDescent="0.35">
      <c r="A280" s="376" t="s">
        <v>161</v>
      </c>
      <c r="B280" s="376" t="s">
        <v>162</v>
      </c>
      <c r="C280" s="376" t="s">
        <v>673</v>
      </c>
      <c r="D280" s="376" t="s">
        <v>453</v>
      </c>
      <c r="E280" s="376" t="s">
        <v>935</v>
      </c>
      <c r="F280" s="382" t="s">
        <v>902</v>
      </c>
      <c r="G280" s="376" t="s">
        <v>432</v>
      </c>
      <c r="H280" s="378"/>
      <c r="I280" s="378"/>
      <c r="J280" s="376" t="s">
        <v>229</v>
      </c>
      <c r="K280" s="376" t="s">
        <v>454</v>
      </c>
      <c r="L280" s="376" t="s">
        <v>170</v>
      </c>
      <c r="M280" s="376" t="s">
        <v>171</v>
      </c>
      <c r="N280" s="376" t="s">
        <v>172</v>
      </c>
      <c r="O280" s="379">
        <v>1</v>
      </c>
      <c r="P280" s="460">
        <v>0.1</v>
      </c>
      <c r="Q280" s="460">
        <v>0.1</v>
      </c>
      <c r="R280" s="380">
        <v>80</v>
      </c>
      <c r="S280" s="460">
        <v>0.1</v>
      </c>
      <c r="T280" s="380">
        <v>5592.46</v>
      </c>
      <c r="U280" s="380">
        <v>0</v>
      </c>
      <c r="V280" s="380">
        <v>2074.4499999999998</v>
      </c>
      <c r="W280" s="380">
        <v>5928</v>
      </c>
      <c r="X280" s="380">
        <v>2575.6799999999998</v>
      </c>
      <c r="Y280" s="380">
        <v>5928</v>
      </c>
      <c r="Z280" s="380">
        <v>2592.87</v>
      </c>
      <c r="AA280" s="376" t="s">
        <v>674</v>
      </c>
      <c r="AB280" s="376" t="s">
        <v>590</v>
      </c>
      <c r="AC280" s="376" t="s">
        <v>675</v>
      </c>
      <c r="AD280" s="376" t="s">
        <v>324</v>
      </c>
      <c r="AE280" s="376" t="s">
        <v>454</v>
      </c>
      <c r="AF280" s="376" t="s">
        <v>177</v>
      </c>
      <c r="AG280" s="376" t="s">
        <v>178</v>
      </c>
      <c r="AH280" s="381">
        <v>28.5</v>
      </c>
      <c r="AI280" s="381">
        <v>22185.5</v>
      </c>
      <c r="AJ280" s="376" t="s">
        <v>179</v>
      </c>
      <c r="AK280" s="376" t="s">
        <v>180</v>
      </c>
      <c r="AL280" s="376" t="s">
        <v>181</v>
      </c>
      <c r="AM280" s="376" t="s">
        <v>182</v>
      </c>
      <c r="AN280" s="376" t="s">
        <v>68</v>
      </c>
      <c r="AO280" s="379">
        <v>80</v>
      </c>
      <c r="AP280" s="460">
        <v>1</v>
      </c>
      <c r="AQ280" s="460">
        <v>0.1</v>
      </c>
      <c r="AR280" s="458" t="s">
        <v>183</v>
      </c>
      <c r="AS280" s="462">
        <f t="shared" si="68"/>
        <v>0.1</v>
      </c>
      <c r="AT280">
        <f t="shared" si="69"/>
        <v>1</v>
      </c>
      <c r="AU280" s="462">
        <f>IF(AT280=0,"",IF(AND(AT280=1,M280="F",SUMIF(C2:C391,C280,AS2:AS391)&lt;=1),SUMIF(C2:C391,C280,AS2:AS391),IF(AND(AT280=1,M280="F",SUMIF(C2:C391,C280,AS2:AS391)&gt;1),1,"")))</f>
        <v>1</v>
      </c>
      <c r="AV280" s="462" t="str">
        <f>IF(AT280=0,"",IF(AND(AT280=3,M280="F",SUMIF(C2:C391,C280,AS2:AS391)&lt;=1),SUMIF(C2:C391,C280,AS2:AS391),IF(AND(AT280=3,M280="F",SUMIF(C2:C391,C280,AS2:AS391)&gt;1),1,"")))</f>
        <v/>
      </c>
      <c r="AW280" s="462">
        <f>SUMIF(C2:C391,C280,O2:O391)</f>
        <v>3</v>
      </c>
      <c r="AX280" s="462">
        <f>IF(AND(M280="F",AS280&lt;&gt;0),SUMIF(C2:C391,C280,W2:W391),0)</f>
        <v>59280</v>
      </c>
      <c r="AY280" s="462">
        <f t="shared" si="70"/>
        <v>5928</v>
      </c>
      <c r="AZ280" s="462" t="str">
        <f t="shared" si="71"/>
        <v/>
      </c>
      <c r="BA280" s="462">
        <f t="shared" si="72"/>
        <v>0</v>
      </c>
      <c r="BB280" s="462">
        <f>IF(AND(AT280=1,AK280="E",AU280&gt;=0.75,AW280=1),Health,IF(AND(AT280=1,AK280="E",AU280&gt;=0.75),Health*P280,IF(AND(AT280=1,AK280="E",AU280&gt;=0.5,AW280=1),PTHealth,IF(AND(AT280=1,AK280="E",AU280&gt;=0.5),PTHealth*P280,0))))</f>
        <v>1165</v>
      </c>
      <c r="BC280" s="462">
        <f>IF(AND(AT280=3,AK280="E",AV280&gt;=0.75,AW280=1),Health,IF(AND(AT280=3,AK280="E",AV280&gt;=0.75),Health*P280,IF(AND(AT280=3,AK280="E",AV280&gt;=0.5,AW280=1),PTHealth,IF(AND(AT280=3,AK280="E",AV280&gt;=0.5),PTHealth*P280,0))))</f>
        <v>0</v>
      </c>
      <c r="BD280" s="462">
        <f>IF(AND(AT280&lt;&gt;0,AX280&gt;=MAXSSDI),SSDI*MAXSSDI*P280,IF(AT280&lt;&gt;0,SSDI*W280,0))</f>
        <v>367.536</v>
      </c>
      <c r="BE280" s="462">
        <f>IF(AT280&lt;&gt;0,SSHI*W280,0)</f>
        <v>85.956000000000003</v>
      </c>
      <c r="BF280" s="462">
        <f>IF(AND(AT280&lt;&gt;0,AN280&lt;&gt;"NE"),VLOOKUP(AN280,Retirement_Rates,3,FALSE)*W280,0)</f>
        <v>707.80320000000006</v>
      </c>
      <c r="BG280" s="462">
        <f>IF(AND(AT280&lt;&gt;0,AJ280&lt;&gt;"PF"),Life*W280,0)</f>
        <v>42.740880000000004</v>
      </c>
      <c r="BH280" s="462">
        <f>IF(AND(AT280&lt;&gt;0,AM280="Y"),UI*W280,0)</f>
        <v>29.0472</v>
      </c>
      <c r="BI280" s="462">
        <f>IF(AND(AT280&lt;&gt;0,N280&lt;&gt;"NR"),DHR*W280,0)</f>
        <v>18.139679999999998</v>
      </c>
      <c r="BJ280" s="462">
        <f>IF(AT280&lt;&gt;0,WC*W280,0)</f>
        <v>159.4632</v>
      </c>
      <c r="BK280" s="462">
        <f>IF(OR(AND(AT280&lt;&gt;0,AJ280&lt;&gt;"PF",AN280&lt;&gt;"NE",AG280&lt;&gt;"A"),AND(AL280="E",OR(AT280=1,AT280=3))),Sick*W280,0)</f>
        <v>0</v>
      </c>
      <c r="BL280" s="462">
        <f t="shared" si="73"/>
        <v>1410.68616</v>
      </c>
      <c r="BM280" s="462">
        <f t="shared" si="74"/>
        <v>0</v>
      </c>
      <c r="BN280" s="462">
        <f>IF(AND(AT280=1,AK280="E",AU280&gt;=0.75,AW280=1),HealthBY,IF(AND(AT280=1,AK280="E",AU280&gt;=0.75),HealthBY*P280,IF(AND(AT280=1,AK280="E",AU280&gt;=0.5,AW280=1),PTHealthBY,IF(AND(AT280=1,AK280="E",AU280&gt;=0.5),PTHealthBY*P280,0))))</f>
        <v>1165</v>
      </c>
      <c r="BO280" s="462">
        <f>IF(AND(AT280=3,AK280="E",AV280&gt;=0.75,AW280=1),HealthBY,IF(AND(AT280=3,AK280="E",AV280&gt;=0.75),HealthBY*P280,IF(AND(AT280=3,AK280="E",AV280&gt;=0.5,AW280=1),PTHealthBY,IF(AND(AT280=3,AK280="E",AV280&gt;=0.5),PTHealthBY*P280,0))))</f>
        <v>0</v>
      </c>
      <c r="BP280" s="462">
        <f>IF(AND(AT280&lt;&gt;0,(AX280+BA280)&gt;=MAXSSDIBY),SSDIBY*MAXSSDIBY*P280,IF(AT280&lt;&gt;0,SSDIBY*W280,0))</f>
        <v>367.536</v>
      </c>
      <c r="BQ280" s="462">
        <f>IF(AT280&lt;&gt;0,SSHIBY*W280,0)</f>
        <v>85.956000000000003</v>
      </c>
      <c r="BR280" s="462">
        <f>IF(AND(AT280&lt;&gt;0,AN280&lt;&gt;"NE"),VLOOKUP(AN280,Retirement_Rates,4,FALSE)*W280,0)</f>
        <v>707.80320000000006</v>
      </c>
      <c r="BS280" s="462">
        <f>IF(AND(AT280&lt;&gt;0,AJ280&lt;&gt;"PF"),LifeBY*W280,0)</f>
        <v>42.740880000000004</v>
      </c>
      <c r="BT280" s="462">
        <f>IF(AND(AT280&lt;&gt;0,AM280="Y"),UIBY*W280,0)</f>
        <v>0</v>
      </c>
      <c r="BU280" s="462">
        <f>IF(AND(AT280&lt;&gt;0,N280&lt;&gt;"NR"),DHRBY*W280,0)</f>
        <v>18.139679999999998</v>
      </c>
      <c r="BV280" s="462">
        <f>IF(AT280&lt;&gt;0,WCBY*W280,0)</f>
        <v>205.70160000000001</v>
      </c>
      <c r="BW280" s="462">
        <f>IF(OR(AND(AT280&lt;&gt;0,AJ280&lt;&gt;"PF",AN280&lt;&gt;"NE",AG280&lt;&gt;"A"),AND(AL280="E",OR(AT280=1,AT280=3))),SickBY*W280,0)</f>
        <v>0</v>
      </c>
      <c r="BX280" s="462">
        <f t="shared" si="75"/>
        <v>1427.8773600000002</v>
      </c>
      <c r="BY280" s="462">
        <f t="shared" si="76"/>
        <v>0</v>
      </c>
      <c r="BZ280" s="462">
        <f t="shared" si="77"/>
        <v>0</v>
      </c>
      <c r="CA280" s="462">
        <f t="shared" si="78"/>
        <v>0</v>
      </c>
      <c r="CB280" s="462">
        <f t="shared" si="79"/>
        <v>0</v>
      </c>
      <c r="CC280" s="462">
        <f>IF(AT280&lt;&gt;0,SSHICHG*Y280,0)</f>
        <v>0</v>
      </c>
      <c r="CD280" s="462">
        <f>IF(AND(AT280&lt;&gt;0,AN280&lt;&gt;"NE"),VLOOKUP(AN280,Retirement_Rates,5,FALSE)*Y280,0)</f>
        <v>0</v>
      </c>
      <c r="CE280" s="462">
        <f>IF(AND(AT280&lt;&gt;0,AJ280&lt;&gt;"PF"),LifeCHG*Y280,0)</f>
        <v>0</v>
      </c>
      <c r="CF280" s="462">
        <f>IF(AND(AT280&lt;&gt;0,AM280="Y"),UICHG*Y280,0)</f>
        <v>-29.0472</v>
      </c>
      <c r="CG280" s="462">
        <f>IF(AND(AT280&lt;&gt;0,N280&lt;&gt;"NR"),DHRCHG*Y280,0)</f>
        <v>0</v>
      </c>
      <c r="CH280" s="462">
        <f>IF(AT280&lt;&gt;0,WCCHG*Y280,0)</f>
        <v>46.238400000000006</v>
      </c>
      <c r="CI280" s="462">
        <f>IF(OR(AND(AT280&lt;&gt;0,AJ280&lt;&gt;"PF",AN280&lt;&gt;"NE",AG280&lt;&gt;"A"),AND(AL280="E",OR(AT280=1,AT280=3))),SickCHG*Y280,0)</f>
        <v>0</v>
      </c>
      <c r="CJ280" s="462">
        <f t="shared" si="80"/>
        <v>17.191200000000006</v>
      </c>
      <c r="CK280" s="462" t="str">
        <f t="shared" si="81"/>
        <v/>
      </c>
      <c r="CL280" s="462" t="str">
        <f t="shared" si="82"/>
        <v/>
      </c>
      <c r="CM280" s="462" t="str">
        <f t="shared" si="83"/>
        <v/>
      </c>
      <c r="CN280" s="462" t="str">
        <f t="shared" si="84"/>
        <v>0496-03</v>
      </c>
    </row>
    <row r="281" spans="1:92" ht="15" thickBot="1" x14ac:dyDescent="0.35">
      <c r="A281" s="376" t="s">
        <v>161</v>
      </c>
      <c r="B281" s="376" t="s">
        <v>162</v>
      </c>
      <c r="C281" s="376" t="s">
        <v>947</v>
      </c>
      <c r="D281" s="376" t="s">
        <v>221</v>
      </c>
      <c r="E281" s="376" t="s">
        <v>935</v>
      </c>
      <c r="F281" s="382" t="s">
        <v>902</v>
      </c>
      <c r="G281" s="376" t="s">
        <v>432</v>
      </c>
      <c r="H281" s="378"/>
      <c r="I281" s="378"/>
      <c r="J281" s="376" t="s">
        <v>168</v>
      </c>
      <c r="K281" s="376" t="s">
        <v>222</v>
      </c>
      <c r="L281" s="376" t="s">
        <v>166</v>
      </c>
      <c r="M281" s="376" t="s">
        <v>171</v>
      </c>
      <c r="N281" s="376" t="s">
        <v>223</v>
      </c>
      <c r="O281" s="379">
        <v>0</v>
      </c>
      <c r="P281" s="460">
        <v>1</v>
      </c>
      <c r="Q281" s="460">
        <v>0</v>
      </c>
      <c r="R281" s="380">
        <v>0</v>
      </c>
      <c r="S281" s="460">
        <v>0</v>
      </c>
      <c r="T281" s="380">
        <v>6906.5</v>
      </c>
      <c r="U281" s="380">
        <v>0</v>
      </c>
      <c r="V281" s="380">
        <v>1087.93</v>
      </c>
      <c r="W281" s="380">
        <v>6906.5</v>
      </c>
      <c r="X281" s="380">
        <v>1087.93</v>
      </c>
      <c r="Y281" s="380">
        <v>6906.5</v>
      </c>
      <c r="Z281" s="380">
        <v>1087.93</v>
      </c>
      <c r="AA281" s="378"/>
      <c r="AB281" s="376" t="s">
        <v>45</v>
      </c>
      <c r="AC281" s="376" t="s">
        <v>45</v>
      </c>
      <c r="AD281" s="378"/>
      <c r="AE281" s="378"/>
      <c r="AF281" s="378"/>
      <c r="AG281" s="378"/>
      <c r="AH281" s="379">
        <v>0</v>
      </c>
      <c r="AI281" s="379">
        <v>0</v>
      </c>
      <c r="AJ281" s="378"/>
      <c r="AK281" s="378"/>
      <c r="AL281" s="376" t="s">
        <v>181</v>
      </c>
      <c r="AM281" s="378"/>
      <c r="AN281" s="378"/>
      <c r="AO281" s="379">
        <v>0</v>
      </c>
      <c r="AP281" s="460">
        <v>0</v>
      </c>
      <c r="AQ281" s="460">
        <v>0</v>
      </c>
      <c r="AR281" s="459"/>
      <c r="AS281" s="462">
        <f t="shared" si="68"/>
        <v>0</v>
      </c>
      <c r="AT281">
        <f t="shared" si="69"/>
        <v>0</v>
      </c>
      <c r="AU281" s="462" t="str">
        <f>IF(AT281=0,"",IF(AND(AT281=1,M281="F",SUMIF(C2:C391,C281,AS2:AS391)&lt;=1),SUMIF(C2:C391,C281,AS2:AS391),IF(AND(AT281=1,M281="F",SUMIF(C2:C391,C281,AS2:AS391)&gt;1),1,"")))</f>
        <v/>
      </c>
      <c r="AV281" s="462" t="str">
        <f>IF(AT281=0,"",IF(AND(AT281=3,M281="F",SUMIF(C2:C391,C281,AS2:AS391)&lt;=1),SUMIF(C2:C391,C281,AS2:AS391),IF(AND(AT281=3,M281="F",SUMIF(C2:C391,C281,AS2:AS391)&gt;1),1,"")))</f>
        <v/>
      </c>
      <c r="AW281" s="462">
        <f>SUMIF(C2:C391,C281,O2:O391)</f>
        <v>0</v>
      </c>
      <c r="AX281" s="462">
        <f>IF(AND(M281="F",AS281&lt;&gt;0),SUMIF(C2:C391,C281,W2:W391),0)</f>
        <v>0</v>
      </c>
      <c r="AY281" s="462" t="str">
        <f t="shared" si="70"/>
        <v/>
      </c>
      <c r="AZ281" s="462" t="str">
        <f t="shared" si="71"/>
        <v/>
      </c>
      <c r="BA281" s="462">
        <f t="shared" si="72"/>
        <v>0</v>
      </c>
      <c r="BB281" s="462">
        <f>IF(AND(AT281=1,AK281="E",AU281&gt;=0.75,AW281=1),Health,IF(AND(AT281=1,AK281="E",AU281&gt;=0.75),Health*P281,IF(AND(AT281=1,AK281="E",AU281&gt;=0.5,AW281=1),PTHealth,IF(AND(AT281=1,AK281="E",AU281&gt;=0.5),PTHealth*P281,0))))</f>
        <v>0</v>
      </c>
      <c r="BC281" s="462">
        <f>IF(AND(AT281=3,AK281="E",AV281&gt;=0.75,AW281=1),Health,IF(AND(AT281=3,AK281="E",AV281&gt;=0.75),Health*P281,IF(AND(AT281=3,AK281="E",AV281&gt;=0.5,AW281=1),PTHealth,IF(AND(AT281=3,AK281="E",AV281&gt;=0.5),PTHealth*P281,0))))</f>
        <v>0</v>
      </c>
      <c r="BD281" s="462">
        <f>IF(AND(AT281&lt;&gt;0,AX281&gt;=MAXSSDI),SSDI*MAXSSDI*P281,IF(AT281&lt;&gt;0,SSDI*W281,0))</f>
        <v>0</v>
      </c>
      <c r="BE281" s="462">
        <f>IF(AT281&lt;&gt;0,SSHI*W281,0)</f>
        <v>0</v>
      </c>
      <c r="BF281" s="462">
        <f>IF(AND(AT281&lt;&gt;0,AN281&lt;&gt;"NE"),VLOOKUP(AN281,Retirement_Rates,3,FALSE)*W281,0)</f>
        <v>0</v>
      </c>
      <c r="BG281" s="462">
        <f>IF(AND(AT281&lt;&gt;0,AJ281&lt;&gt;"PF"),Life*W281,0)</f>
        <v>0</v>
      </c>
      <c r="BH281" s="462">
        <f>IF(AND(AT281&lt;&gt;0,AM281="Y"),UI*W281,0)</f>
        <v>0</v>
      </c>
      <c r="BI281" s="462">
        <f>IF(AND(AT281&lt;&gt;0,N281&lt;&gt;"NR"),DHR*W281,0)</f>
        <v>0</v>
      </c>
      <c r="BJ281" s="462">
        <f>IF(AT281&lt;&gt;0,WC*W281,0)</f>
        <v>0</v>
      </c>
      <c r="BK281" s="462">
        <f>IF(OR(AND(AT281&lt;&gt;0,AJ281&lt;&gt;"PF",AN281&lt;&gt;"NE",AG281&lt;&gt;"A"),AND(AL281="E",OR(AT281=1,AT281=3))),Sick*W281,0)</f>
        <v>0</v>
      </c>
      <c r="BL281" s="462">
        <f t="shared" si="73"/>
        <v>0</v>
      </c>
      <c r="BM281" s="462">
        <f t="shared" si="74"/>
        <v>0</v>
      </c>
      <c r="BN281" s="462">
        <f>IF(AND(AT281=1,AK281="E",AU281&gt;=0.75,AW281=1),HealthBY,IF(AND(AT281=1,AK281="E",AU281&gt;=0.75),HealthBY*P281,IF(AND(AT281=1,AK281="E",AU281&gt;=0.5,AW281=1),PTHealthBY,IF(AND(AT281=1,AK281="E",AU281&gt;=0.5),PTHealthBY*P281,0))))</f>
        <v>0</v>
      </c>
      <c r="BO281" s="462">
        <f>IF(AND(AT281=3,AK281="E",AV281&gt;=0.75,AW281=1),HealthBY,IF(AND(AT281=3,AK281="E",AV281&gt;=0.75),HealthBY*P281,IF(AND(AT281=3,AK281="E",AV281&gt;=0.5,AW281=1),PTHealthBY,IF(AND(AT281=3,AK281="E",AV281&gt;=0.5),PTHealthBY*P281,0))))</f>
        <v>0</v>
      </c>
      <c r="BP281" s="462">
        <f>IF(AND(AT281&lt;&gt;0,(AX281+BA281)&gt;=MAXSSDIBY),SSDIBY*MAXSSDIBY*P281,IF(AT281&lt;&gt;0,SSDIBY*W281,0))</f>
        <v>0</v>
      </c>
      <c r="BQ281" s="462">
        <f>IF(AT281&lt;&gt;0,SSHIBY*W281,0)</f>
        <v>0</v>
      </c>
      <c r="BR281" s="462">
        <f>IF(AND(AT281&lt;&gt;0,AN281&lt;&gt;"NE"),VLOOKUP(AN281,Retirement_Rates,4,FALSE)*W281,0)</f>
        <v>0</v>
      </c>
      <c r="BS281" s="462">
        <f>IF(AND(AT281&lt;&gt;0,AJ281&lt;&gt;"PF"),LifeBY*W281,0)</f>
        <v>0</v>
      </c>
      <c r="BT281" s="462">
        <f>IF(AND(AT281&lt;&gt;0,AM281="Y"),UIBY*W281,0)</f>
        <v>0</v>
      </c>
      <c r="BU281" s="462">
        <f>IF(AND(AT281&lt;&gt;0,N281&lt;&gt;"NR"),DHRBY*W281,0)</f>
        <v>0</v>
      </c>
      <c r="BV281" s="462">
        <f>IF(AT281&lt;&gt;0,WCBY*W281,0)</f>
        <v>0</v>
      </c>
      <c r="BW281" s="462">
        <f>IF(OR(AND(AT281&lt;&gt;0,AJ281&lt;&gt;"PF",AN281&lt;&gt;"NE",AG281&lt;&gt;"A"),AND(AL281="E",OR(AT281=1,AT281=3))),SickBY*W281,0)</f>
        <v>0</v>
      </c>
      <c r="BX281" s="462">
        <f t="shared" si="75"/>
        <v>0</v>
      </c>
      <c r="BY281" s="462">
        <f t="shared" si="76"/>
        <v>0</v>
      </c>
      <c r="BZ281" s="462">
        <f t="shared" si="77"/>
        <v>0</v>
      </c>
      <c r="CA281" s="462">
        <f t="shared" si="78"/>
        <v>0</v>
      </c>
      <c r="CB281" s="462">
        <f t="shared" si="79"/>
        <v>0</v>
      </c>
      <c r="CC281" s="462">
        <f>IF(AT281&lt;&gt;0,SSHICHG*Y281,0)</f>
        <v>0</v>
      </c>
      <c r="CD281" s="462">
        <f>IF(AND(AT281&lt;&gt;0,AN281&lt;&gt;"NE"),VLOOKUP(AN281,Retirement_Rates,5,FALSE)*Y281,0)</f>
        <v>0</v>
      </c>
      <c r="CE281" s="462">
        <f>IF(AND(AT281&lt;&gt;0,AJ281&lt;&gt;"PF"),LifeCHG*Y281,0)</f>
        <v>0</v>
      </c>
      <c r="CF281" s="462">
        <f>IF(AND(AT281&lt;&gt;0,AM281="Y"),UICHG*Y281,0)</f>
        <v>0</v>
      </c>
      <c r="CG281" s="462">
        <f>IF(AND(AT281&lt;&gt;0,N281&lt;&gt;"NR"),DHRCHG*Y281,0)</f>
        <v>0</v>
      </c>
      <c r="CH281" s="462">
        <f>IF(AT281&lt;&gt;0,WCCHG*Y281,0)</f>
        <v>0</v>
      </c>
      <c r="CI281" s="462">
        <f>IF(OR(AND(AT281&lt;&gt;0,AJ281&lt;&gt;"PF",AN281&lt;&gt;"NE",AG281&lt;&gt;"A"),AND(AL281="E",OR(AT281=1,AT281=3))),SickCHG*Y281,0)</f>
        <v>0</v>
      </c>
      <c r="CJ281" s="462">
        <f t="shared" si="80"/>
        <v>0</v>
      </c>
      <c r="CK281" s="462" t="str">
        <f t="shared" si="81"/>
        <v/>
      </c>
      <c r="CL281" s="462">
        <f t="shared" si="82"/>
        <v>6906.5</v>
      </c>
      <c r="CM281" s="462">
        <f t="shared" si="83"/>
        <v>1087.93</v>
      </c>
      <c r="CN281" s="462" t="str">
        <f t="shared" si="84"/>
        <v>0496-03</v>
      </c>
    </row>
    <row r="282" spans="1:92" ht="15" thickBot="1" x14ac:dyDescent="0.35">
      <c r="A282" s="376" t="s">
        <v>161</v>
      </c>
      <c r="B282" s="376" t="s">
        <v>162</v>
      </c>
      <c r="C282" s="376" t="s">
        <v>948</v>
      </c>
      <c r="D282" s="376" t="s">
        <v>221</v>
      </c>
      <c r="E282" s="376" t="s">
        <v>935</v>
      </c>
      <c r="F282" s="382" t="s">
        <v>902</v>
      </c>
      <c r="G282" s="376" t="s">
        <v>432</v>
      </c>
      <c r="H282" s="378"/>
      <c r="I282" s="378"/>
      <c r="J282" s="376" t="s">
        <v>168</v>
      </c>
      <c r="K282" s="376" t="s">
        <v>222</v>
      </c>
      <c r="L282" s="376" t="s">
        <v>166</v>
      </c>
      <c r="M282" s="376" t="s">
        <v>225</v>
      </c>
      <c r="N282" s="376" t="s">
        <v>223</v>
      </c>
      <c r="O282" s="379">
        <v>0</v>
      </c>
      <c r="P282" s="460">
        <v>1</v>
      </c>
      <c r="Q282" s="460">
        <v>0</v>
      </c>
      <c r="R282" s="380">
        <v>0</v>
      </c>
      <c r="S282" s="460">
        <v>0</v>
      </c>
      <c r="T282" s="380">
        <v>0</v>
      </c>
      <c r="U282" s="380">
        <v>0</v>
      </c>
      <c r="V282" s="380">
        <v>0</v>
      </c>
      <c r="W282" s="380">
        <v>0</v>
      </c>
      <c r="X282" s="380">
        <v>0</v>
      </c>
      <c r="Y282" s="380">
        <v>0</v>
      </c>
      <c r="Z282" s="380">
        <v>0</v>
      </c>
      <c r="AA282" s="378"/>
      <c r="AB282" s="376" t="s">
        <v>45</v>
      </c>
      <c r="AC282" s="376" t="s">
        <v>45</v>
      </c>
      <c r="AD282" s="378"/>
      <c r="AE282" s="378"/>
      <c r="AF282" s="378"/>
      <c r="AG282" s="378"/>
      <c r="AH282" s="379">
        <v>0</v>
      </c>
      <c r="AI282" s="379">
        <v>0</v>
      </c>
      <c r="AJ282" s="378"/>
      <c r="AK282" s="378"/>
      <c r="AL282" s="376" t="s">
        <v>181</v>
      </c>
      <c r="AM282" s="378"/>
      <c r="AN282" s="378"/>
      <c r="AO282" s="379">
        <v>0</v>
      </c>
      <c r="AP282" s="460">
        <v>0</v>
      </c>
      <c r="AQ282" s="460">
        <v>0</v>
      </c>
      <c r="AR282" s="459"/>
      <c r="AS282" s="462">
        <f t="shared" si="68"/>
        <v>0</v>
      </c>
      <c r="AT282">
        <f t="shared" si="69"/>
        <v>0</v>
      </c>
      <c r="AU282" s="462" t="str">
        <f>IF(AT282=0,"",IF(AND(AT282=1,M282="F",SUMIF(C2:C391,C282,AS2:AS391)&lt;=1),SUMIF(C2:C391,C282,AS2:AS391),IF(AND(AT282=1,M282="F",SUMIF(C2:C391,C282,AS2:AS391)&gt;1),1,"")))</f>
        <v/>
      </c>
      <c r="AV282" s="462" t="str">
        <f>IF(AT282=0,"",IF(AND(AT282=3,M282="F",SUMIF(C2:C391,C282,AS2:AS391)&lt;=1),SUMIF(C2:C391,C282,AS2:AS391),IF(AND(AT282=3,M282="F",SUMIF(C2:C391,C282,AS2:AS391)&gt;1),1,"")))</f>
        <v/>
      </c>
      <c r="AW282" s="462">
        <f>SUMIF(C2:C391,C282,O2:O391)</f>
        <v>0</v>
      </c>
      <c r="AX282" s="462">
        <f>IF(AND(M282="F",AS282&lt;&gt;0),SUMIF(C2:C391,C282,W2:W391),0)</f>
        <v>0</v>
      </c>
      <c r="AY282" s="462" t="str">
        <f t="shared" si="70"/>
        <v/>
      </c>
      <c r="AZ282" s="462" t="str">
        <f t="shared" si="71"/>
        <v/>
      </c>
      <c r="BA282" s="462">
        <f t="shared" si="72"/>
        <v>0</v>
      </c>
      <c r="BB282" s="462">
        <f>IF(AND(AT282=1,AK282="E",AU282&gt;=0.75,AW282=1),Health,IF(AND(AT282=1,AK282="E",AU282&gt;=0.75),Health*P282,IF(AND(AT282=1,AK282="E",AU282&gt;=0.5,AW282=1),PTHealth,IF(AND(AT282=1,AK282="E",AU282&gt;=0.5),PTHealth*P282,0))))</f>
        <v>0</v>
      </c>
      <c r="BC282" s="462">
        <f>IF(AND(AT282=3,AK282="E",AV282&gt;=0.75,AW282=1),Health,IF(AND(AT282=3,AK282="E",AV282&gt;=0.75),Health*P282,IF(AND(AT282=3,AK282="E",AV282&gt;=0.5,AW282=1),PTHealth,IF(AND(AT282=3,AK282="E",AV282&gt;=0.5),PTHealth*P282,0))))</f>
        <v>0</v>
      </c>
      <c r="BD282" s="462">
        <f>IF(AND(AT282&lt;&gt;0,AX282&gt;=MAXSSDI),SSDI*MAXSSDI*P282,IF(AT282&lt;&gt;0,SSDI*W282,0))</f>
        <v>0</v>
      </c>
      <c r="BE282" s="462">
        <f>IF(AT282&lt;&gt;0,SSHI*W282,0)</f>
        <v>0</v>
      </c>
      <c r="BF282" s="462">
        <f>IF(AND(AT282&lt;&gt;0,AN282&lt;&gt;"NE"),VLOOKUP(AN282,Retirement_Rates,3,FALSE)*W282,0)</f>
        <v>0</v>
      </c>
      <c r="BG282" s="462">
        <f>IF(AND(AT282&lt;&gt;0,AJ282&lt;&gt;"PF"),Life*W282,0)</f>
        <v>0</v>
      </c>
      <c r="BH282" s="462">
        <f>IF(AND(AT282&lt;&gt;0,AM282="Y"),UI*W282,0)</f>
        <v>0</v>
      </c>
      <c r="BI282" s="462">
        <f>IF(AND(AT282&lt;&gt;0,N282&lt;&gt;"NR"),DHR*W282,0)</f>
        <v>0</v>
      </c>
      <c r="BJ282" s="462">
        <f>IF(AT282&lt;&gt;0,WC*W282,0)</f>
        <v>0</v>
      </c>
      <c r="BK282" s="462">
        <f>IF(OR(AND(AT282&lt;&gt;0,AJ282&lt;&gt;"PF",AN282&lt;&gt;"NE",AG282&lt;&gt;"A"),AND(AL282="E",OR(AT282=1,AT282=3))),Sick*W282,0)</f>
        <v>0</v>
      </c>
      <c r="BL282" s="462">
        <f t="shared" si="73"/>
        <v>0</v>
      </c>
      <c r="BM282" s="462">
        <f t="shared" si="74"/>
        <v>0</v>
      </c>
      <c r="BN282" s="462">
        <f>IF(AND(AT282=1,AK282="E",AU282&gt;=0.75,AW282=1),HealthBY,IF(AND(AT282=1,AK282="E",AU282&gt;=0.75),HealthBY*P282,IF(AND(AT282=1,AK282="E",AU282&gt;=0.5,AW282=1),PTHealthBY,IF(AND(AT282=1,AK282="E",AU282&gt;=0.5),PTHealthBY*P282,0))))</f>
        <v>0</v>
      </c>
      <c r="BO282" s="462">
        <f>IF(AND(AT282=3,AK282="E",AV282&gt;=0.75,AW282=1),HealthBY,IF(AND(AT282=3,AK282="E",AV282&gt;=0.75),HealthBY*P282,IF(AND(AT282=3,AK282="E",AV282&gt;=0.5,AW282=1),PTHealthBY,IF(AND(AT282=3,AK282="E",AV282&gt;=0.5),PTHealthBY*P282,0))))</f>
        <v>0</v>
      </c>
      <c r="BP282" s="462">
        <f>IF(AND(AT282&lt;&gt;0,(AX282+BA282)&gt;=MAXSSDIBY),SSDIBY*MAXSSDIBY*P282,IF(AT282&lt;&gt;0,SSDIBY*W282,0))</f>
        <v>0</v>
      </c>
      <c r="BQ282" s="462">
        <f>IF(AT282&lt;&gt;0,SSHIBY*W282,0)</f>
        <v>0</v>
      </c>
      <c r="BR282" s="462">
        <f>IF(AND(AT282&lt;&gt;0,AN282&lt;&gt;"NE"),VLOOKUP(AN282,Retirement_Rates,4,FALSE)*W282,0)</f>
        <v>0</v>
      </c>
      <c r="BS282" s="462">
        <f>IF(AND(AT282&lt;&gt;0,AJ282&lt;&gt;"PF"),LifeBY*W282,0)</f>
        <v>0</v>
      </c>
      <c r="BT282" s="462">
        <f>IF(AND(AT282&lt;&gt;0,AM282="Y"),UIBY*W282,0)</f>
        <v>0</v>
      </c>
      <c r="BU282" s="462">
        <f>IF(AND(AT282&lt;&gt;0,N282&lt;&gt;"NR"),DHRBY*W282,0)</f>
        <v>0</v>
      </c>
      <c r="BV282" s="462">
        <f>IF(AT282&lt;&gt;0,WCBY*W282,0)</f>
        <v>0</v>
      </c>
      <c r="BW282" s="462">
        <f>IF(OR(AND(AT282&lt;&gt;0,AJ282&lt;&gt;"PF",AN282&lt;&gt;"NE",AG282&lt;&gt;"A"),AND(AL282="E",OR(AT282=1,AT282=3))),SickBY*W282,0)</f>
        <v>0</v>
      </c>
      <c r="BX282" s="462">
        <f t="shared" si="75"/>
        <v>0</v>
      </c>
      <c r="BY282" s="462">
        <f t="shared" si="76"/>
        <v>0</v>
      </c>
      <c r="BZ282" s="462">
        <f t="shared" si="77"/>
        <v>0</v>
      </c>
      <c r="CA282" s="462">
        <f t="shared" si="78"/>
        <v>0</v>
      </c>
      <c r="CB282" s="462">
        <f t="shared" si="79"/>
        <v>0</v>
      </c>
      <c r="CC282" s="462">
        <f>IF(AT282&lt;&gt;0,SSHICHG*Y282,0)</f>
        <v>0</v>
      </c>
      <c r="CD282" s="462">
        <f>IF(AND(AT282&lt;&gt;0,AN282&lt;&gt;"NE"),VLOOKUP(AN282,Retirement_Rates,5,FALSE)*Y282,0)</f>
        <v>0</v>
      </c>
      <c r="CE282" s="462">
        <f>IF(AND(AT282&lt;&gt;0,AJ282&lt;&gt;"PF"),LifeCHG*Y282,0)</f>
        <v>0</v>
      </c>
      <c r="CF282" s="462">
        <f>IF(AND(AT282&lt;&gt;0,AM282="Y"),UICHG*Y282,0)</f>
        <v>0</v>
      </c>
      <c r="CG282" s="462">
        <f>IF(AND(AT282&lt;&gt;0,N282&lt;&gt;"NR"),DHRCHG*Y282,0)</f>
        <v>0</v>
      </c>
      <c r="CH282" s="462">
        <f>IF(AT282&lt;&gt;0,WCCHG*Y282,0)</f>
        <v>0</v>
      </c>
      <c r="CI282" s="462">
        <f>IF(OR(AND(AT282&lt;&gt;0,AJ282&lt;&gt;"PF",AN282&lt;&gt;"NE",AG282&lt;&gt;"A"),AND(AL282="E",OR(AT282=1,AT282=3))),SickCHG*Y282,0)</f>
        <v>0</v>
      </c>
      <c r="CJ282" s="462">
        <f t="shared" si="80"/>
        <v>0</v>
      </c>
      <c r="CK282" s="462" t="str">
        <f t="shared" si="81"/>
        <v/>
      </c>
      <c r="CL282" s="462">
        <f t="shared" si="82"/>
        <v>0</v>
      </c>
      <c r="CM282" s="462">
        <f t="shared" si="83"/>
        <v>0</v>
      </c>
      <c r="CN282" s="462" t="str">
        <f t="shared" si="84"/>
        <v>0496-03</v>
      </c>
    </row>
    <row r="283" spans="1:92" ht="15" thickBot="1" x14ac:dyDescent="0.35">
      <c r="A283" s="376" t="s">
        <v>161</v>
      </c>
      <c r="B283" s="376" t="s">
        <v>162</v>
      </c>
      <c r="C283" s="376" t="s">
        <v>884</v>
      </c>
      <c r="D283" s="376" t="s">
        <v>460</v>
      </c>
      <c r="E283" s="376" t="s">
        <v>935</v>
      </c>
      <c r="F283" s="382" t="s">
        <v>902</v>
      </c>
      <c r="G283" s="376" t="s">
        <v>432</v>
      </c>
      <c r="H283" s="378"/>
      <c r="I283" s="378"/>
      <c r="J283" s="376" t="s">
        <v>193</v>
      </c>
      <c r="K283" s="376" t="s">
        <v>461</v>
      </c>
      <c r="L283" s="376" t="s">
        <v>240</v>
      </c>
      <c r="M283" s="376" t="s">
        <v>225</v>
      </c>
      <c r="N283" s="376" t="s">
        <v>172</v>
      </c>
      <c r="O283" s="379">
        <v>0</v>
      </c>
      <c r="P283" s="460">
        <v>0.25</v>
      </c>
      <c r="Q283" s="460">
        <v>0.25</v>
      </c>
      <c r="R283" s="380">
        <v>80</v>
      </c>
      <c r="S283" s="460">
        <v>0.25</v>
      </c>
      <c r="T283" s="380">
        <v>21816.89</v>
      </c>
      <c r="U283" s="380">
        <v>0</v>
      </c>
      <c r="V283" s="380">
        <v>8132.49</v>
      </c>
      <c r="W283" s="380">
        <v>11850.8</v>
      </c>
      <c r="X283" s="380">
        <v>5190.6499999999996</v>
      </c>
      <c r="Y283" s="380">
        <v>11850.8</v>
      </c>
      <c r="Z283" s="380">
        <v>5131.3900000000003</v>
      </c>
      <c r="AA283" s="378"/>
      <c r="AB283" s="376" t="s">
        <v>45</v>
      </c>
      <c r="AC283" s="376" t="s">
        <v>45</v>
      </c>
      <c r="AD283" s="378"/>
      <c r="AE283" s="378"/>
      <c r="AF283" s="378"/>
      <c r="AG283" s="378"/>
      <c r="AH283" s="379">
        <v>0</v>
      </c>
      <c r="AI283" s="379">
        <v>0</v>
      </c>
      <c r="AJ283" s="378"/>
      <c r="AK283" s="378"/>
      <c r="AL283" s="376" t="s">
        <v>181</v>
      </c>
      <c r="AM283" s="378"/>
      <c r="AN283" s="378"/>
      <c r="AO283" s="379">
        <v>0</v>
      </c>
      <c r="AP283" s="460">
        <v>0</v>
      </c>
      <c r="AQ283" s="460">
        <v>0</v>
      </c>
      <c r="AR283" s="459"/>
      <c r="AS283" s="462">
        <f t="shared" si="68"/>
        <v>0</v>
      </c>
      <c r="AT283">
        <f t="shared" si="69"/>
        <v>0</v>
      </c>
      <c r="AU283" s="462" t="str">
        <f>IF(AT283=0,"",IF(AND(AT283=1,M283="F",SUMIF(C2:C391,C283,AS2:AS391)&lt;=1),SUMIF(C2:C391,C283,AS2:AS391),IF(AND(AT283=1,M283="F",SUMIF(C2:C391,C283,AS2:AS391)&gt;1),1,"")))</f>
        <v/>
      </c>
      <c r="AV283" s="462" t="str">
        <f>IF(AT283=0,"",IF(AND(AT283=3,M283="F",SUMIF(C2:C391,C283,AS2:AS391)&lt;=1),SUMIF(C2:C391,C283,AS2:AS391),IF(AND(AT283=3,M283="F",SUMIF(C2:C391,C283,AS2:AS391)&gt;1),1,"")))</f>
        <v/>
      </c>
      <c r="AW283" s="462">
        <f>SUMIF(C2:C391,C283,O2:O391)</f>
        <v>0</v>
      </c>
      <c r="AX283" s="462">
        <f>IF(AND(M283="F",AS283&lt;&gt;0),SUMIF(C2:C391,C283,W2:W391),0)</f>
        <v>0</v>
      </c>
      <c r="AY283" s="462" t="str">
        <f t="shared" si="70"/>
        <v/>
      </c>
      <c r="AZ283" s="462" t="str">
        <f t="shared" si="71"/>
        <v/>
      </c>
      <c r="BA283" s="462">
        <f t="shared" si="72"/>
        <v>0</v>
      </c>
      <c r="BB283" s="462">
        <f>IF(AND(AT283=1,AK283="E",AU283&gt;=0.75,AW283=1),Health,IF(AND(AT283=1,AK283="E",AU283&gt;=0.75),Health*P283,IF(AND(AT283=1,AK283="E",AU283&gt;=0.5,AW283=1),PTHealth,IF(AND(AT283=1,AK283="E",AU283&gt;=0.5),PTHealth*P283,0))))</f>
        <v>0</v>
      </c>
      <c r="BC283" s="462">
        <f>IF(AND(AT283=3,AK283="E",AV283&gt;=0.75,AW283=1),Health,IF(AND(AT283=3,AK283="E",AV283&gt;=0.75),Health*P283,IF(AND(AT283=3,AK283="E",AV283&gt;=0.5,AW283=1),PTHealth,IF(AND(AT283=3,AK283="E",AV283&gt;=0.5),PTHealth*P283,0))))</f>
        <v>0</v>
      </c>
      <c r="BD283" s="462">
        <f>IF(AND(AT283&lt;&gt;0,AX283&gt;=MAXSSDI),SSDI*MAXSSDI*P283,IF(AT283&lt;&gt;0,SSDI*W283,0))</f>
        <v>0</v>
      </c>
      <c r="BE283" s="462">
        <f>IF(AT283&lt;&gt;0,SSHI*W283,0)</f>
        <v>0</v>
      </c>
      <c r="BF283" s="462">
        <f>IF(AND(AT283&lt;&gt;0,AN283&lt;&gt;"NE"),VLOOKUP(AN283,Retirement_Rates,3,FALSE)*W283,0)</f>
        <v>0</v>
      </c>
      <c r="BG283" s="462">
        <f>IF(AND(AT283&lt;&gt;0,AJ283&lt;&gt;"PF"),Life*W283,0)</f>
        <v>0</v>
      </c>
      <c r="BH283" s="462">
        <f>IF(AND(AT283&lt;&gt;0,AM283="Y"),UI*W283,0)</f>
        <v>0</v>
      </c>
      <c r="BI283" s="462">
        <f>IF(AND(AT283&lt;&gt;0,N283&lt;&gt;"NR"),DHR*W283,0)</f>
        <v>0</v>
      </c>
      <c r="BJ283" s="462">
        <f>IF(AT283&lt;&gt;0,WC*W283,0)</f>
        <v>0</v>
      </c>
      <c r="BK283" s="462">
        <f>IF(OR(AND(AT283&lt;&gt;0,AJ283&lt;&gt;"PF",AN283&lt;&gt;"NE",AG283&lt;&gt;"A"),AND(AL283="E",OR(AT283=1,AT283=3))),Sick*W283,0)</f>
        <v>0</v>
      </c>
      <c r="BL283" s="462">
        <f t="shared" si="73"/>
        <v>0</v>
      </c>
      <c r="BM283" s="462">
        <f t="shared" si="74"/>
        <v>0</v>
      </c>
      <c r="BN283" s="462">
        <f>IF(AND(AT283=1,AK283="E",AU283&gt;=0.75,AW283=1),HealthBY,IF(AND(AT283=1,AK283="E",AU283&gt;=0.75),HealthBY*P283,IF(AND(AT283=1,AK283="E",AU283&gt;=0.5,AW283=1),PTHealthBY,IF(AND(AT283=1,AK283="E",AU283&gt;=0.5),PTHealthBY*P283,0))))</f>
        <v>0</v>
      </c>
      <c r="BO283" s="462">
        <f>IF(AND(AT283=3,AK283="E",AV283&gt;=0.75,AW283=1),HealthBY,IF(AND(AT283=3,AK283="E",AV283&gt;=0.75),HealthBY*P283,IF(AND(AT283=3,AK283="E",AV283&gt;=0.5,AW283=1),PTHealthBY,IF(AND(AT283=3,AK283="E",AV283&gt;=0.5),PTHealthBY*P283,0))))</f>
        <v>0</v>
      </c>
      <c r="BP283" s="462">
        <f>IF(AND(AT283&lt;&gt;0,(AX283+BA283)&gt;=MAXSSDIBY),SSDIBY*MAXSSDIBY*P283,IF(AT283&lt;&gt;0,SSDIBY*W283,0))</f>
        <v>0</v>
      </c>
      <c r="BQ283" s="462">
        <f>IF(AT283&lt;&gt;0,SSHIBY*W283,0)</f>
        <v>0</v>
      </c>
      <c r="BR283" s="462">
        <f>IF(AND(AT283&lt;&gt;0,AN283&lt;&gt;"NE"),VLOOKUP(AN283,Retirement_Rates,4,FALSE)*W283,0)</f>
        <v>0</v>
      </c>
      <c r="BS283" s="462">
        <f>IF(AND(AT283&lt;&gt;0,AJ283&lt;&gt;"PF"),LifeBY*W283,0)</f>
        <v>0</v>
      </c>
      <c r="BT283" s="462">
        <f>IF(AND(AT283&lt;&gt;0,AM283="Y"),UIBY*W283,0)</f>
        <v>0</v>
      </c>
      <c r="BU283" s="462">
        <f>IF(AND(AT283&lt;&gt;0,N283&lt;&gt;"NR"),DHRBY*W283,0)</f>
        <v>0</v>
      </c>
      <c r="BV283" s="462">
        <f>IF(AT283&lt;&gt;0,WCBY*W283,0)</f>
        <v>0</v>
      </c>
      <c r="BW283" s="462">
        <f>IF(OR(AND(AT283&lt;&gt;0,AJ283&lt;&gt;"PF",AN283&lt;&gt;"NE",AG283&lt;&gt;"A"),AND(AL283="E",OR(AT283=1,AT283=3))),SickBY*W283,0)</f>
        <v>0</v>
      </c>
      <c r="BX283" s="462">
        <f t="shared" si="75"/>
        <v>0</v>
      </c>
      <c r="BY283" s="462">
        <f t="shared" si="76"/>
        <v>0</v>
      </c>
      <c r="BZ283" s="462">
        <f t="shared" si="77"/>
        <v>0</v>
      </c>
      <c r="CA283" s="462">
        <f t="shared" si="78"/>
        <v>0</v>
      </c>
      <c r="CB283" s="462">
        <f t="shared" si="79"/>
        <v>0</v>
      </c>
      <c r="CC283" s="462">
        <f>IF(AT283&lt;&gt;0,SSHICHG*Y283,0)</f>
        <v>0</v>
      </c>
      <c r="CD283" s="462">
        <f>IF(AND(AT283&lt;&gt;0,AN283&lt;&gt;"NE"),VLOOKUP(AN283,Retirement_Rates,5,FALSE)*Y283,0)</f>
        <v>0</v>
      </c>
      <c r="CE283" s="462">
        <f>IF(AND(AT283&lt;&gt;0,AJ283&lt;&gt;"PF"),LifeCHG*Y283,0)</f>
        <v>0</v>
      </c>
      <c r="CF283" s="462">
        <f>IF(AND(AT283&lt;&gt;0,AM283="Y"),UICHG*Y283,0)</f>
        <v>0</v>
      </c>
      <c r="CG283" s="462">
        <f>IF(AND(AT283&lt;&gt;0,N283&lt;&gt;"NR"),DHRCHG*Y283,0)</f>
        <v>0</v>
      </c>
      <c r="CH283" s="462">
        <f>IF(AT283&lt;&gt;0,WCCHG*Y283,0)</f>
        <v>0</v>
      </c>
      <c r="CI283" s="462">
        <f>IF(OR(AND(AT283&lt;&gt;0,AJ283&lt;&gt;"PF",AN283&lt;&gt;"NE",AG283&lt;&gt;"A"),AND(AL283="E",OR(AT283=1,AT283=3))),SickCHG*Y283,0)</f>
        <v>0</v>
      </c>
      <c r="CJ283" s="462">
        <f t="shared" si="80"/>
        <v>0</v>
      </c>
      <c r="CK283" s="462" t="str">
        <f t="shared" si="81"/>
        <v/>
      </c>
      <c r="CL283" s="462" t="str">
        <f t="shared" si="82"/>
        <v/>
      </c>
      <c r="CM283" s="462" t="str">
        <f t="shared" si="83"/>
        <v/>
      </c>
      <c r="CN283" s="462" t="str">
        <f t="shared" si="84"/>
        <v>0496-03</v>
      </c>
    </row>
    <row r="284" spans="1:92" ht="15" thickBot="1" x14ac:dyDescent="0.35">
      <c r="A284" s="376" t="s">
        <v>161</v>
      </c>
      <c r="B284" s="376" t="s">
        <v>162</v>
      </c>
      <c r="C284" s="376" t="s">
        <v>533</v>
      </c>
      <c r="D284" s="376" t="s">
        <v>438</v>
      </c>
      <c r="E284" s="376" t="s">
        <v>935</v>
      </c>
      <c r="F284" s="382" t="s">
        <v>424</v>
      </c>
      <c r="G284" s="376" t="s">
        <v>432</v>
      </c>
      <c r="H284" s="378"/>
      <c r="I284" s="378"/>
      <c r="J284" s="376" t="s">
        <v>193</v>
      </c>
      <c r="K284" s="376" t="s">
        <v>439</v>
      </c>
      <c r="L284" s="376" t="s">
        <v>231</v>
      </c>
      <c r="M284" s="376" t="s">
        <v>171</v>
      </c>
      <c r="N284" s="376" t="s">
        <v>172</v>
      </c>
      <c r="O284" s="379">
        <v>1</v>
      </c>
      <c r="P284" s="460">
        <v>0.5</v>
      </c>
      <c r="Q284" s="460">
        <v>0.5</v>
      </c>
      <c r="R284" s="380">
        <v>80</v>
      </c>
      <c r="S284" s="460">
        <v>0.5</v>
      </c>
      <c r="T284" s="380">
        <v>41636.76</v>
      </c>
      <c r="U284" s="380">
        <v>0</v>
      </c>
      <c r="V284" s="380">
        <v>21275.51</v>
      </c>
      <c r="W284" s="380">
        <v>20904</v>
      </c>
      <c r="X284" s="380">
        <v>10799.5</v>
      </c>
      <c r="Y284" s="380">
        <v>20904</v>
      </c>
      <c r="Z284" s="380">
        <v>10860.13</v>
      </c>
      <c r="AA284" s="376" t="s">
        <v>534</v>
      </c>
      <c r="AB284" s="376" t="s">
        <v>535</v>
      </c>
      <c r="AC284" s="376" t="s">
        <v>536</v>
      </c>
      <c r="AD284" s="376" t="s">
        <v>176</v>
      </c>
      <c r="AE284" s="376" t="s">
        <v>439</v>
      </c>
      <c r="AF284" s="376" t="s">
        <v>236</v>
      </c>
      <c r="AG284" s="376" t="s">
        <v>178</v>
      </c>
      <c r="AH284" s="381">
        <v>20.100000000000001</v>
      </c>
      <c r="AI284" s="379">
        <v>8472</v>
      </c>
      <c r="AJ284" s="376" t="s">
        <v>179</v>
      </c>
      <c r="AK284" s="376" t="s">
        <v>180</v>
      </c>
      <c r="AL284" s="376" t="s">
        <v>181</v>
      </c>
      <c r="AM284" s="376" t="s">
        <v>182</v>
      </c>
      <c r="AN284" s="376" t="s">
        <v>68</v>
      </c>
      <c r="AO284" s="379">
        <v>80</v>
      </c>
      <c r="AP284" s="460">
        <v>1</v>
      </c>
      <c r="AQ284" s="460">
        <v>0.5</v>
      </c>
      <c r="AR284" s="458" t="s">
        <v>183</v>
      </c>
      <c r="AS284" s="462">
        <f t="shared" si="68"/>
        <v>0.5</v>
      </c>
      <c r="AT284">
        <f t="shared" si="69"/>
        <v>1</v>
      </c>
      <c r="AU284" s="462">
        <f>IF(AT284=0,"",IF(AND(AT284=1,M284="F",SUMIF(C2:C391,C284,AS2:AS391)&lt;=1),SUMIF(C2:C391,C284,AS2:AS391),IF(AND(AT284=1,M284="F",SUMIF(C2:C391,C284,AS2:AS391)&gt;1),1,"")))</f>
        <v>1</v>
      </c>
      <c r="AV284" s="462" t="str">
        <f>IF(AT284=0,"",IF(AND(AT284=3,M284="F",SUMIF(C2:C391,C284,AS2:AS391)&lt;=1),SUMIF(C2:C391,C284,AS2:AS391),IF(AND(AT284=3,M284="F",SUMIF(C2:C391,C284,AS2:AS391)&gt;1),1,"")))</f>
        <v/>
      </c>
      <c r="AW284" s="462">
        <f>SUMIF(C2:C391,C284,O2:O391)</f>
        <v>2</v>
      </c>
      <c r="AX284" s="462">
        <f>IF(AND(M284="F",AS284&lt;&gt;0),SUMIF(C2:C391,C284,W2:W391),0)</f>
        <v>41808</v>
      </c>
      <c r="AY284" s="462">
        <f t="shared" si="70"/>
        <v>20904</v>
      </c>
      <c r="AZ284" s="462" t="str">
        <f t="shared" si="71"/>
        <v/>
      </c>
      <c r="BA284" s="462">
        <f t="shared" si="72"/>
        <v>0</v>
      </c>
      <c r="BB284" s="462">
        <f>IF(AND(AT284=1,AK284="E",AU284&gt;=0.75,AW284=1),Health,IF(AND(AT284=1,AK284="E",AU284&gt;=0.75),Health*P284,IF(AND(AT284=1,AK284="E",AU284&gt;=0.5,AW284=1),PTHealth,IF(AND(AT284=1,AK284="E",AU284&gt;=0.5),PTHealth*P284,0))))</f>
        <v>5825</v>
      </c>
      <c r="BC284" s="462">
        <f>IF(AND(AT284=3,AK284="E",AV284&gt;=0.75,AW284=1),Health,IF(AND(AT284=3,AK284="E",AV284&gt;=0.75),Health*P284,IF(AND(AT284=3,AK284="E",AV284&gt;=0.5,AW284=1),PTHealth,IF(AND(AT284=3,AK284="E",AV284&gt;=0.5),PTHealth*P284,0))))</f>
        <v>0</v>
      </c>
      <c r="BD284" s="462">
        <f>IF(AND(AT284&lt;&gt;0,AX284&gt;=MAXSSDI),SSDI*MAXSSDI*P284,IF(AT284&lt;&gt;0,SSDI*W284,0))</f>
        <v>1296.048</v>
      </c>
      <c r="BE284" s="462">
        <f>IF(AT284&lt;&gt;0,SSHI*W284,0)</f>
        <v>303.108</v>
      </c>
      <c r="BF284" s="462">
        <f>IF(AND(AT284&lt;&gt;0,AN284&lt;&gt;"NE"),VLOOKUP(AN284,Retirement_Rates,3,FALSE)*W284,0)</f>
        <v>2495.9376000000002</v>
      </c>
      <c r="BG284" s="462">
        <f>IF(AND(AT284&lt;&gt;0,AJ284&lt;&gt;"PF"),Life*W284,0)</f>
        <v>150.71784</v>
      </c>
      <c r="BH284" s="462">
        <f>IF(AND(AT284&lt;&gt;0,AM284="Y"),UI*W284,0)</f>
        <v>102.42959999999999</v>
      </c>
      <c r="BI284" s="462">
        <f>IF(AND(AT284&lt;&gt;0,N284&lt;&gt;"NR"),DHR*W284,0)</f>
        <v>63.966239999999992</v>
      </c>
      <c r="BJ284" s="462">
        <f>IF(AT284&lt;&gt;0,WC*W284,0)</f>
        <v>562.31759999999997</v>
      </c>
      <c r="BK284" s="462">
        <f>IF(OR(AND(AT284&lt;&gt;0,AJ284&lt;&gt;"PF",AN284&lt;&gt;"NE",AG284&lt;&gt;"A"),AND(AL284="E",OR(AT284=1,AT284=3))),Sick*W284,0)</f>
        <v>0</v>
      </c>
      <c r="BL284" s="462">
        <f t="shared" si="73"/>
        <v>4974.5248800000008</v>
      </c>
      <c r="BM284" s="462">
        <f t="shared" si="74"/>
        <v>0</v>
      </c>
      <c r="BN284" s="462">
        <f>IF(AND(AT284=1,AK284="E",AU284&gt;=0.75,AW284=1),HealthBY,IF(AND(AT284=1,AK284="E",AU284&gt;=0.75),HealthBY*P284,IF(AND(AT284=1,AK284="E",AU284&gt;=0.5,AW284=1),PTHealthBY,IF(AND(AT284=1,AK284="E",AU284&gt;=0.5),PTHealthBY*P284,0))))</f>
        <v>5825</v>
      </c>
      <c r="BO284" s="462">
        <f>IF(AND(AT284=3,AK284="E",AV284&gt;=0.75,AW284=1),HealthBY,IF(AND(AT284=3,AK284="E",AV284&gt;=0.75),HealthBY*P284,IF(AND(AT284=3,AK284="E",AV284&gt;=0.5,AW284=1),PTHealthBY,IF(AND(AT284=3,AK284="E",AV284&gt;=0.5),PTHealthBY*P284,0))))</f>
        <v>0</v>
      </c>
      <c r="BP284" s="462">
        <f>IF(AND(AT284&lt;&gt;0,(AX284+BA284)&gt;=MAXSSDIBY),SSDIBY*MAXSSDIBY*P284,IF(AT284&lt;&gt;0,SSDIBY*W284,0))</f>
        <v>1296.048</v>
      </c>
      <c r="BQ284" s="462">
        <f>IF(AT284&lt;&gt;0,SSHIBY*W284,0)</f>
        <v>303.108</v>
      </c>
      <c r="BR284" s="462">
        <f>IF(AND(AT284&lt;&gt;0,AN284&lt;&gt;"NE"),VLOOKUP(AN284,Retirement_Rates,4,FALSE)*W284,0)</f>
        <v>2495.9376000000002</v>
      </c>
      <c r="BS284" s="462">
        <f>IF(AND(AT284&lt;&gt;0,AJ284&lt;&gt;"PF"),LifeBY*W284,0)</f>
        <v>150.71784</v>
      </c>
      <c r="BT284" s="462">
        <f>IF(AND(AT284&lt;&gt;0,AM284="Y"),UIBY*W284,0)</f>
        <v>0</v>
      </c>
      <c r="BU284" s="462">
        <f>IF(AND(AT284&lt;&gt;0,N284&lt;&gt;"NR"),DHRBY*W284,0)</f>
        <v>63.966239999999992</v>
      </c>
      <c r="BV284" s="462">
        <f>IF(AT284&lt;&gt;0,WCBY*W284,0)</f>
        <v>725.36880000000008</v>
      </c>
      <c r="BW284" s="462">
        <f>IF(OR(AND(AT284&lt;&gt;0,AJ284&lt;&gt;"PF",AN284&lt;&gt;"NE",AG284&lt;&gt;"A"),AND(AL284="E",OR(AT284=1,AT284=3))),SickBY*W284,0)</f>
        <v>0</v>
      </c>
      <c r="BX284" s="462">
        <f t="shared" si="75"/>
        <v>5035.1464800000003</v>
      </c>
      <c r="BY284" s="462">
        <f t="shared" si="76"/>
        <v>0</v>
      </c>
      <c r="BZ284" s="462">
        <f t="shared" si="77"/>
        <v>0</v>
      </c>
      <c r="CA284" s="462">
        <f t="shared" si="78"/>
        <v>0</v>
      </c>
      <c r="CB284" s="462">
        <f t="shared" si="79"/>
        <v>0</v>
      </c>
      <c r="CC284" s="462">
        <f>IF(AT284&lt;&gt;0,SSHICHG*Y284,0)</f>
        <v>0</v>
      </c>
      <c r="CD284" s="462">
        <f>IF(AND(AT284&lt;&gt;0,AN284&lt;&gt;"NE"),VLOOKUP(AN284,Retirement_Rates,5,FALSE)*Y284,0)</f>
        <v>0</v>
      </c>
      <c r="CE284" s="462">
        <f>IF(AND(AT284&lt;&gt;0,AJ284&lt;&gt;"PF"),LifeCHG*Y284,0)</f>
        <v>0</v>
      </c>
      <c r="CF284" s="462">
        <f>IF(AND(AT284&lt;&gt;0,AM284="Y"),UICHG*Y284,0)</f>
        <v>-102.42959999999999</v>
      </c>
      <c r="CG284" s="462">
        <f>IF(AND(AT284&lt;&gt;0,N284&lt;&gt;"NR"),DHRCHG*Y284,0)</f>
        <v>0</v>
      </c>
      <c r="CH284" s="462">
        <f>IF(AT284&lt;&gt;0,WCCHG*Y284,0)</f>
        <v>163.05120000000002</v>
      </c>
      <c r="CI284" s="462">
        <f>IF(OR(AND(AT284&lt;&gt;0,AJ284&lt;&gt;"PF",AN284&lt;&gt;"NE",AG284&lt;&gt;"A"),AND(AL284="E",OR(AT284=1,AT284=3))),SickCHG*Y284,0)</f>
        <v>0</v>
      </c>
      <c r="CJ284" s="462">
        <f t="shared" si="80"/>
        <v>60.621600000000029</v>
      </c>
      <c r="CK284" s="462" t="str">
        <f t="shared" si="81"/>
        <v/>
      </c>
      <c r="CL284" s="462" t="str">
        <f t="shared" si="82"/>
        <v/>
      </c>
      <c r="CM284" s="462" t="str">
        <f t="shared" si="83"/>
        <v/>
      </c>
      <c r="CN284" s="462" t="str">
        <f t="shared" si="84"/>
        <v>0496-05</v>
      </c>
    </row>
    <row r="285" spans="1:92" ht="15" thickBot="1" x14ac:dyDescent="0.35">
      <c r="A285" s="376" t="s">
        <v>161</v>
      </c>
      <c r="B285" s="376" t="s">
        <v>162</v>
      </c>
      <c r="C285" s="376" t="s">
        <v>541</v>
      </c>
      <c r="D285" s="376" t="s">
        <v>431</v>
      </c>
      <c r="E285" s="376" t="s">
        <v>935</v>
      </c>
      <c r="F285" s="382" t="s">
        <v>424</v>
      </c>
      <c r="G285" s="376" t="s">
        <v>432</v>
      </c>
      <c r="H285" s="378"/>
      <c r="I285" s="378"/>
      <c r="J285" s="376" t="s">
        <v>193</v>
      </c>
      <c r="K285" s="376" t="s">
        <v>433</v>
      </c>
      <c r="L285" s="376" t="s">
        <v>195</v>
      </c>
      <c r="M285" s="376" t="s">
        <v>171</v>
      </c>
      <c r="N285" s="376" t="s">
        <v>172</v>
      </c>
      <c r="O285" s="379">
        <v>1</v>
      </c>
      <c r="P285" s="460">
        <v>0.5</v>
      </c>
      <c r="Q285" s="460">
        <v>0.5</v>
      </c>
      <c r="R285" s="380">
        <v>80</v>
      </c>
      <c r="S285" s="460">
        <v>0.5</v>
      </c>
      <c r="T285" s="380">
        <v>27260.33</v>
      </c>
      <c r="U285" s="380">
        <v>0</v>
      </c>
      <c r="V285" s="380">
        <v>11949.91</v>
      </c>
      <c r="W285" s="380">
        <v>27518.400000000001</v>
      </c>
      <c r="X285" s="380">
        <v>12373.54</v>
      </c>
      <c r="Y285" s="380">
        <v>27518.400000000001</v>
      </c>
      <c r="Z285" s="380">
        <v>12453.34</v>
      </c>
      <c r="AA285" s="376" t="s">
        <v>542</v>
      </c>
      <c r="AB285" s="376" t="s">
        <v>543</v>
      </c>
      <c r="AC285" s="376" t="s">
        <v>544</v>
      </c>
      <c r="AD285" s="376" t="s">
        <v>176</v>
      </c>
      <c r="AE285" s="376" t="s">
        <v>433</v>
      </c>
      <c r="AF285" s="376" t="s">
        <v>199</v>
      </c>
      <c r="AG285" s="376" t="s">
        <v>178</v>
      </c>
      <c r="AH285" s="381">
        <v>26.46</v>
      </c>
      <c r="AI285" s="381">
        <v>62317.8</v>
      </c>
      <c r="AJ285" s="376" t="s">
        <v>179</v>
      </c>
      <c r="AK285" s="376" t="s">
        <v>180</v>
      </c>
      <c r="AL285" s="376" t="s">
        <v>181</v>
      </c>
      <c r="AM285" s="376" t="s">
        <v>182</v>
      </c>
      <c r="AN285" s="376" t="s">
        <v>68</v>
      </c>
      <c r="AO285" s="379">
        <v>80</v>
      </c>
      <c r="AP285" s="460">
        <v>1</v>
      </c>
      <c r="AQ285" s="460">
        <v>0.5</v>
      </c>
      <c r="AR285" s="458" t="s">
        <v>183</v>
      </c>
      <c r="AS285" s="462">
        <f t="shared" si="68"/>
        <v>0.5</v>
      </c>
      <c r="AT285">
        <f t="shared" si="69"/>
        <v>1</v>
      </c>
      <c r="AU285" s="462">
        <f>IF(AT285=0,"",IF(AND(AT285=1,M285="F",SUMIF(C2:C391,C285,AS2:AS391)&lt;=1),SUMIF(C2:C391,C285,AS2:AS391),IF(AND(AT285=1,M285="F",SUMIF(C2:C391,C285,AS2:AS391)&gt;1),1,"")))</f>
        <v>1</v>
      </c>
      <c r="AV285" s="462" t="str">
        <f>IF(AT285=0,"",IF(AND(AT285=3,M285="F",SUMIF(C2:C391,C285,AS2:AS391)&lt;=1),SUMIF(C2:C391,C285,AS2:AS391),IF(AND(AT285=3,M285="F",SUMIF(C2:C391,C285,AS2:AS391)&gt;1),1,"")))</f>
        <v/>
      </c>
      <c r="AW285" s="462">
        <f>SUMIF(C2:C391,C285,O2:O391)</f>
        <v>2</v>
      </c>
      <c r="AX285" s="462">
        <f>IF(AND(M285="F",AS285&lt;&gt;0),SUMIF(C2:C391,C285,W2:W391),0)</f>
        <v>55036.800000000003</v>
      </c>
      <c r="AY285" s="462">
        <f t="shared" si="70"/>
        <v>27518.400000000001</v>
      </c>
      <c r="AZ285" s="462" t="str">
        <f t="shared" si="71"/>
        <v/>
      </c>
      <c r="BA285" s="462">
        <f t="shared" si="72"/>
        <v>0</v>
      </c>
      <c r="BB285" s="462">
        <f>IF(AND(AT285=1,AK285="E",AU285&gt;=0.75,AW285=1),Health,IF(AND(AT285=1,AK285="E",AU285&gt;=0.75),Health*P285,IF(AND(AT285=1,AK285="E",AU285&gt;=0.5,AW285=1),PTHealth,IF(AND(AT285=1,AK285="E",AU285&gt;=0.5),PTHealth*P285,0))))</f>
        <v>5825</v>
      </c>
      <c r="BC285" s="462">
        <f>IF(AND(AT285=3,AK285="E",AV285&gt;=0.75,AW285=1),Health,IF(AND(AT285=3,AK285="E",AV285&gt;=0.75),Health*P285,IF(AND(AT285=3,AK285="E",AV285&gt;=0.5,AW285=1),PTHealth,IF(AND(AT285=3,AK285="E",AV285&gt;=0.5),PTHealth*P285,0))))</f>
        <v>0</v>
      </c>
      <c r="BD285" s="462">
        <f>IF(AND(AT285&lt;&gt;0,AX285&gt;=MAXSSDI),SSDI*MAXSSDI*P285,IF(AT285&lt;&gt;0,SSDI*W285,0))</f>
        <v>1706.1408000000001</v>
      </c>
      <c r="BE285" s="462">
        <f>IF(AT285&lt;&gt;0,SSHI*W285,0)</f>
        <v>399.01680000000005</v>
      </c>
      <c r="BF285" s="462">
        <f>IF(AND(AT285&lt;&gt;0,AN285&lt;&gt;"NE"),VLOOKUP(AN285,Retirement_Rates,3,FALSE)*W285,0)</f>
        <v>3285.6969600000002</v>
      </c>
      <c r="BG285" s="462">
        <f>IF(AND(AT285&lt;&gt;0,AJ285&lt;&gt;"PF"),Life*W285,0)</f>
        <v>198.40766400000001</v>
      </c>
      <c r="BH285" s="462">
        <f>IF(AND(AT285&lt;&gt;0,AM285="Y"),UI*W285,0)</f>
        <v>134.84016</v>
      </c>
      <c r="BI285" s="462">
        <f>IF(AND(AT285&lt;&gt;0,N285&lt;&gt;"NR"),DHR*W285,0)</f>
        <v>84.206304000000003</v>
      </c>
      <c r="BJ285" s="462">
        <f>IF(AT285&lt;&gt;0,WC*W285,0)</f>
        <v>740.24495999999999</v>
      </c>
      <c r="BK285" s="462">
        <f>IF(OR(AND(AT285&lt;&gt;0,AJ285&lt;&gt;"PF",AN285&lt;&gt;"NE",AG285&lt;&gt;"A"),AND(AL285="E",OR(AT285=1,AT285=3))),Sick*W285,0)</f>
        <v>0</v>
      </c>
      <c r="BL285" s="462">
        <f t="shared" si="73"/>
        <v>6548.5536480000001</v>
      </c>
      <c r="BM285" s="462">
        <f t="shared" si="74"/>
        <v>0</v>
      </c>
      <c r="BN285" s="462">
        <f>IF(AND(AT285=1,AK285="E",AU285&gt;=0.75,AW285=1),HealthBY,IF(AND(AT285=1,AK285="E",AU285&gt;=0.75),HealthBY*P285,IF(AND(AT285=1,AK285="E",AU285&gt;=0.5,AW285=1),PTHealthBY,IF(AND(AT285=1,AK285="E",AU285&gt;=0.5),PTHealthBY*P285,0))))</f>
        <v>5825</v>
      </c>
      <c r="BO285" s="462">
        <f>IF(AND(AT285=3,AK285="E",AV285&gt;=0.75,AW285=1),HealthBY,IF(AND(AT285=3,AK285="E",AV285&gt;=0.75),HealthBY*P285,IF(AND(AT285=3,AK285="E",AV285&gt;=0.5,AW285=1),PTHealthBY,IF(AND(AT285=3,AK285="E",AV285&gt;=0.5),PTHealthBY*P285,0))))</f>
        <v>0</v>
      </c>
      <c r="BP285" s="462">
        <f>IF(AND(AT285&lt;&gt;0,(AX285+BA285)&gt;=MAXSSDIBY),SSDIBY*MAXSSDIBY*P285,IF(AT285&lt;&gt;0,SSDIBY*W285,0))</f>
        <v>1706.1408000000001</v>
      </c>
      <c r="BQ285" s="462">
        <f>IF(AT285&lt;&gt;0,SSHIBY*W285,0)</f>
        <v>399.01680000000005</v>
      </c>
      <c r="BR285" s="462">
        <f>IF(AND(AT285&lt;&gt;0,AN285&lt;&gt;"NE"),VLOOKUP(AN285,Retirement_Rates,4,FALSE)*W285,0)</f>
        <v>3285.6969600000002</v>
      </c>
      <c r="BS285" s="462">
        <f>IF(AND(AT285&lt;&gt;0,AJ285&lt;&gt;"PF"),LifeBY*W285,0)</f>
        <v>198.40766400000001</v>
      </c>
      <c r="BT285" s="462">
        <f>IF(AND(AT285&lt;&gt;0,AM285="Y"),UIBY*W285,0)</f>
        <v>0</v>
      </c>
      <c r="BU285" s="462">
        <f>IF(AND(AT285&lt;&gt;0,N285&lt;&gt;"NR"),DHRBY*W285,0)</f>
        <v>84.206304000000003</v>
      </c>
      <c r="BV285" s="462">
        <f>IF(AT285&lt;&gt;0,WCBY*W285,0)</f>
        <v>954.88848000000007</v>
      </c>
      <c r="BW285" s="462">
        <f>IF(OR(AND(AT285&lt;&gt;0,AJ285&lt;&gt;"PF",AN285&lt;&gt;"NE",AG285&lt;&gt;"A"),AND(AL285="E",OR(AT285=1,AT285=3))),SickBY*W285,0)</f>
        <v>0</v>
      </c>
      <c r="BX285" s="462">
        <f t="shared" si="75"/>
        <v>6628.3570080000009</v>
      </c>
      <c r="BY285" s="462">
        <f t="shared" si="76"/>
        <v>0</v>
      </c>
      <c r="BZ285" s="462">
        <f t="shared" si="77"/>
        <v>0</v>
      </c>
      <c r="CA285" s="462">
        <f t="shared" si="78"/>
        <v>0</v>
      </c>
      <c r="CB285" s="462">
        <f t="shared" si="79"/>
        <v>0</v>
      </c>
      <c r="CC285" s="462">
        <f>IF(AT285&lt;&gt;0,SSHICHG*Y285,0)</f>
        <v>0</v>
      </c>
      <c r="CD285" s="462">
        <f>IF(AND(AT285&lt;&gt;0,AN285&lt;&gt;"NE"),VLOOKUP(AN285,Retirement_Rates,5,FALSE)*Y285,0)</f>
        <v>0</v>
      </c>
      <c r="CE285" s="462">
        <f>IF(AND(AT285&lt;&gt;0,AJ285&lt;&gt;"PF"),LifeCHG*Y285,0)</f>
        <v>0</v>
      </c>
      <c r="CF285" s="462">
        <f>IF(AND(AT285&lt;&gt;0,AM285="Y"),UICHG*Y285,0)</f>
        <v>-134.84016</v>
      </c>
      <c r="CG285" s="462">
        <f>IF(AND(AT285&lt;&gt;0,N285&lt;&gt;"NR"),DHRCHG*Y285,0)</f>
        <v>0</v>
      </c>
      <c r="CH285" s="462">
        <f>IF(AT285&lt;&gt;0,WCCHG*Y285,0)</f>
        <v>214.64352000000005</v>
      </c>
      <c r="CI285" s="462">
        <f>IF(OR(AND(AT285&lt;&gt;0,AJ285&lt;&gt;"PF",AN285&lt;&gt;"NE",AG285&lt;&gt;"A"),AND(AL285="E",OR(AT285=1,AT285=3))),SickCHG*Y285,0)</f>
        <v>0</v>
      </c>
      <c r="CJ285" s="462">
        <f t="shared" si="80"/>
        <v>79.803360000000055</v>
      </c>
      <c r="CK285" s="462" t="str">
        <f t="shared" si="81"/>
        <v/>
      </c>
      <c r="CL285" s="462" t="str">
        <f t="shared" si="82"/>
        <v/>
      </c>
      <c r="CM285" s="462" t="str">
        <f t="shared" si="83"/>
        <v/>
      </c>
      <c r="CN285" s="462" t="str">
        <f t="shared" si="84"/>
        <v>0496-05</v>
      </c>
    </row>
    <row r="286" spans="1:92" ht="15" thickBot="1" x14ac:dyDescent="0.35">
      <c r="A286" s="376" t="s">
        <v>161</v>
      </c>
      <c r="B286" s="376" t="s">
        <v>162</v>
      </c>
      <c r="C286" s="376" t="s">
        <v>949</v>
      </c>
      <c r="D286" s="376" t="s">
        <v>221</v>
      </c>
      <c r="E286" s="376" t="s">
        <v>935</v>
      </c>
      <c r="F286" s="382" t="s">
        <v>424</v>
      </c>
      <c r="G286" s="376" t="s">
        <v>432</v>
      </c>
      <c r="H286" s="378"/>
      <c r="I286" s="378"/>
      <c r="J286" s="376" t="s">
        <v>168</v>
      </c>
      <c r="K286" s="376" t="s">
        <v>222</v>
      </c>
      <c r="L286" s="376" t="s">
        <v>166</v>
      </c>
      <c r="M286" s="376" t="s">
        <v>171</v>
      </c>
      <c r="N286" s="376" t="s">
        <v>223</v>
      </c>
      <c r="O286" s="379">
        <v>0</v>
      </c>
      <c r="P286" s="460">
        <v>1</v>
      </c>
      <c r="Q286" s="460">
        <v>0</v>
      </c>
      <c r="R286" s="380">
        <v>0</v>
      </c>
      <c r="S286" s="460">
        <v>0</v>
      </c>
      <c r="T286" s="380">
        <v>19644</v>
      </c>
      <c r="U286" s="380">
        <v>552</v>
      </c>
      <c r="V286" s="380">
        <v>3459.71</v>
      </c>
      <c r="W286" s="380">
        <v>20196</v>
      </c>
      <c r="X286" s="380">
        <v>3459.71</v>
      </c>
      <c r="Y286" s="380">
        <v>20196</v>
      </c>
      <c r="Z286" s="380">
        <v>3459.71</v>
      </c>
      <c r="AA286" s="378"/>
      <c r="AB286" s="376" t="s">
        <v>45</v>
      </c>
      <c r="AC286" s="376" t="s">
        <v>45</v>
      </c>
      <c r="AD286" s="378"/>
      <c r="AE286" s="378"/>
      <c r="AF286" s="378"/>
      <c r="AG286" s="378"/>
      <c r="AH286" s="379">
        <v>0</v>
      </c>
      <c r="AI286" s="379">
        <v>0</v>
      </c>
      <c r="AJ286" s="378"/>
      <c r="AK286" s="378"/>
      <c r="AL286" s="376" t="s">
        <v>181</v>
      </c>
      <c r="AM286" s="378"/>
      <c r="AN286" s="378"/>
      <c r="AO286" s="379">
        <v>0</v>
      </c>
      <c r="AP286" s="460">
        <v>0</v>
      </c>
      <c r="AQ286" s="460">
        <v>0</v>
      </c>
      <c r="AR286" s="459"/>
      <c r="AS286" s="462">
        <f t="shared" si="68"/>
        <v>0</v>
      </c>
      <c r="AT286">
        <f t="shared" si="69"/>
        <v>0</v>
      </c>
      <c r="AU286" s="462" t="str">
        <f>IF(AT286=0,"",IF(AND(AT286=1,M286="F",SUMIF(C2:C391,C286,AS2:AS391)&lt;=1),SUMIF(C2:C391,C286,AS2:AS391),IF(AND(AT286=1,M286="F",SUMIF(C2:C391,C286,AS2:AS391)&gt;1),1,"")))</f>
        <v/>
      </c>
      <c r="AV286" s="462" t="str">
        <f>IF(AT286=0,"",IF(AND(AT286=3,M286="F",SUMIF(C2:C391,C286,AS2:AS391)&lt;=1),SUMIF(C2:C391,C286,AS2:AS391),IF(AND(AT286=3,M286="F",SUMIF(C2:C391,C286,AS2:AS391)&gt;1),1,"")))</f>
        <v/>
      </c>
      <c r="AW286" s="462">
        <f>SUMIF(C2:C391,C286,O2:O391)</f>
        <v>0</v>
      </c>
      <c r="AX286" s="462">
        <f>IF(AND(M286="F",AS286&lt;&gt;0),SUMIF(C2:C391,C286,W2:W391),0)</f>
        <v>0</v>
      </c>
      <c r="AY286" s="462" t="str">
        <f t="shared" si="70"/>
        <v/>
      </c>
      <c r="AZ286" s="462" t="str">
        <f t="shared" si="71"/>
        <v/>
      </c>
      <c r="BA286" s="462">
        <f t="shared" si="72"/>
        <v>0</v>
      </c>
      <c r="BB286" s="462">
        <f>IF(AND(AT286=1,AK286="E",AU286&gt;=0.75,AW286=1),Health,IF(AND(AT286=1,AK286="E",AU286&gt;=0.75),Health*P286,IF(AND(AT286=1,AK286="E",AU286&gt;=0.5,AW286=1),PTHealth,IF(AND(AT286=1,AK286="E",AU286&gt;=0.5),PTHealth*P286,0))))</f>
        <v>0</v>
      </c>
      <c r="BC286" s="462">
        <f>IF(AND(AT286=3,AK286="E",AV286&gt;=0.75,AW286=1),Health,IF(AND(AT286=3,AK286="E",AV286&gt;=0.75),Health*P286,IF(AND(AT286=3,AK286="E",AV286&gt;=0.5,AW286=1),PTHealth,IF(AND(AT286=3,AK286="E",AV286&gt;=0.5),PTHealth*P286,0))))</f>
        <v>0</v>
      </c>
      <c r="BD286" s="462">
        <f>IF(AND(AT286&lt;&gt;0,AX286&gt;=MAXSSDI),SSDI*MAXSSDI*P286,IF(AT286&lt;&gt;0,SSDI*W286,0))</f>
        <v>0</v>
      </c>
      <c r="BE286" s="462">
        <f>IF(AT286&lt;&gt;0,SSHI*W286,0)</f>
        <v>0</v>
      </c>
      <c r="BF286" s="462">
        <f>IF(AND(AT286&lt;&gt;0,AN286&lt;&gt;"NE"),VLOOKUP(AN286,Retirement_Rates,3,FALSE)*W286,0)</f>
        <v>0</v>
      </c>
      <c r="BG286" s="462">
        <f>IF(AND(AT286&lt;&gt;0,AJ286&lt;&gt;"PF"),Life*W286,0)</f>
        <v>0</v>
      </c>
      <c r="BH286" s="462">
        <f>IF(AND(AT286&lt;&gt;0,AM286="Y"),UI*W286,0)</f>
        <v>0</v>
      </c>
      <c r="BI286" s="462">
        <f>IF(AND(AT286&lt;&gt;0,N286&lt;&gt;"NR"),DHR*W286,0)</f>
        <v>0</v>
      </c>
      <c r="BJ286" s="462">
        <f>IF(AT286&lt;&gt;0,WC*W286,0)</f>
        <v>0</v>
      </c>
      <c r="BK286" s="462">
        <f>IF(OR(AND(AT286&lt;&gt;0,AJ286&lt;&gt;"PF",AN286&lt;&gt;"NE",AG286&lt;&gt;"A"),AND(AL286="E",OR(AT286=1,AT286=3))),Sick*W286,0)</f>
        <v>0</v>
      </c>
      <c r="BL286" s="462">
        <f t="shared" si="73"/>
        <v>0</v>
      </c>
      <c r="BM286" s="462">
        <f t="shared" si="74"/>
        <v>0</v>
      </c>
      <c r="BN286" s="462">
        <f>IF(AND(AT286=1,AK286="E",AU286&gt;=0.75,AW286=1),HealthBY,IF(AND(AT286=1,AK286="E",AU286&gt;=0.75),HealthBY*P286,IF(AND(AT286=1,AK286="E",AU286&gt;=0.5,AW286=1),PTHealthBY,IF(AND(AT286=1,AK286="E",AU286&gt;=0.5),PTHealthBY*P286,0))))</f>
        <v>0</v>
      </c>
      <c r="BO286" s="462">
        <f>IF(AND(AT286=3,AK286="E",AV286&gt;=0.75,AW286=1),HealthBY,IF(AND(AT286=3,AK286="E",AV286&gt;=0.75),HealthBY*P286,IF(AND(AT286=3,AK286="E",AV286&gt;=0.5,AW286=1),PTHealthBY,IF(AND(AT286=3,AK286="E",AV286&gt;=0.5),PTHealthBY*P286,0))))</f>
        <v>0</v>
      </c>
      <c r="BP286" s="462">
        <f>IF(AND(AT286&lt;&gt;0,(AX286+BA286)&gt;=MAXSSDIBY),SSDIBY*MAXSSDIBY*P286,IF(AT286&lt;&gt;0,SSDIBY*W286,0))</f>
        <v>0</v>
      </c>
      <c r="BQ286" s="462">
        <f>IF(AT286&lt;&gt;0,SSHIBY*W286,0)</f>
        <v>0</v>
      </c>
      <c r="BR286" s="462">
        <f>IF(AND(AT286&lt;&gt;0,AN286&lt;&gt;"NE"),VLOOKUP(AN286,Retirement_Rates,4,FALSE)*W286,0)</f>
        <v>0</v>
      </c>
      <c r="BS286" s="462">
        <f>IF(AND(AT286&lt;&gt;0,AJ286&lt;&gt;"PF"),LifeBY*W286,0)</f>
        <v>0</v>
      </c>
      <c r="BT286" s="462">
        <f>IF(AND(AT286&lt;&gt;0,AM286="Y"),UIBY*W286,0)</f>
        <v>0</v>
      </c>
      <c r="BU286" s="462">
        <f>IF(AND(AT286&lt;&gt;0,N286&lt;&gt;"NR"),DHRBY*W286,0)</f>
        <v>0</v>
      </c>
      <c r="BV286" s="462">
        <f>IF(AT286&lt;&gt;0,WCBY*W286,0)</f>
        <v>0</v>
      </c>
      <c r="BW286" s="462">
        <f>IF(OR(AND(AT286&lt;&gt;0,AJ286&lt;&gt;"PF",AN286&lt;&gt;"NE",AG286&lt;&gt;"A"),AND(AL286="E",OR(AT286=1,AT286=3))),SickBY*W286,0)</f>
        <v>0</v>
      </c>
      <c r="BX286" s="462">
        <f t="shared" si="75"/>
        <v>0</v>
      </c>
      <c r="BY286" s="462">
        <f t="shared" si="76"/>
        <v>0</v>
      </c>
      <c r="BZ286" s="462">
        <f t="shared" si="77"/>
        <v>0</v>
      </c>
      <c r="CA286" s="462">
        <f t="shared" si="78"/>
        <v>0</v>
      </c>
      <c r="CB286" s="462">
        <f t="shared" si="79"/>
        <v>0</v>
      </c>
      <c r="CC286" s="462">
        <f>IF(AT286&lt;&gt;0,SSHICHG*Y286,0)</f>
        <v>0</v>
      </c>
      <c r="CD286" s="462">
        <f>IF(AND(AT286&lt;&gt;0,AN286&lt;&gt;"NE"),VLOOKUP(AN286,Retirement_Rates,5,FALSE)*Y286,0)</f>
        <v>0</v>
      </c>
      <c r="CE286" s="462">
        <f>IF(AND(AT286&lt;&gt;0,AJ286&lt;&gt;"PF"),LifeCHG*Y286,0)</f>
        <v>0</v>
      </c>
      <c r="CF286" s="462">
        <f>IF(AND(AT286&lt;&gt;0,AM286="Y"),UICHG*Y286,0)</f>
        <v>0</v>
      </c>
      <c r="CG286" s="462">
        <f>IF(AND(AT286&lt;&gt;0,N286&lt;&gt;"NR"),DHRCHG*Y286,0)</f>
        <v>0</v>
      </c>
      <c r="CH286" s="462">
        <f>IF(AT286&lt;&gt;0,WCCHG*Y286,0)</f>
        <v>0</v>
      </c>
      <c r="CI286" s="462">
        <f>IF(OR(AND(AT286&lt;&gt;0,AJ286&lt;&gt;"PF",AN286&lt;&gt;"NE",AG286&lt;&gt;"A"),AND(AL286="E",OR(AT286=1,AT286=3))),SickCHG*Y286,0)</f>
        <v>0</v>
      </c>
      <c r="CJ286" s="462">
        <f t="shared" si="80"/>
        <v>0</v>
      </c>
      <c r="CK286" s="462" t="str">
        <f t="shared" si="81"/>
        <v/>
      </c>
      <c r="CL286" s="462">
        <f t="shared" si="82"/>
        <v>20196</v>
      </c>
      <c r="CM286" s="462">
        <f t="shared" si="83"/>
        <v>3459.71</v>
      </c>
      <c r="CN286" s="462" t="str">
        <f t="shared" si="84"/>
        <v>0496-05</v>
      </c>
    </row>
    <row r="287" spans="1:92" ht="15" thickBot="1" x14ac:dyDescent="0.35">
      <c r="A287" s="376" t="s">
        <v>161</v>
      </c>
      <c r="B287" s="376" t="s">
        <v>162</v>
      </c>
      <c r="C287" s="376" t="s">
        <v>950</v>
      </c>
      <c r="D287" s="376" t="s">
        <v>221</v>
      </c>
      <c r="E287" s="376" t="s">
        <v>228</v>
      </c>
      <c r="F287" s="377" t="s">
        <v>166</v>
      </c>
      <c r="G287" s="376" t="s">
        <v>951</v>
      </c>
      <c r="H287" s="378"/>
      <c r="I287" s="378"/>
      <c r="J287" s="376" t="s">
        <v>168</v>
      </c>
      <c r="K287" s="376" t="s">
        <v>222</v>
      </c>
      <c r="L287" s="376" t="s">
        <v>166</v>
      </c>
      <c r="M287" s="376" t="s">
        <v>225</v>
      </c>
      <c r="N287" s="376" t="s">
        <v>223</v>
      </c>
      <c r="O287" s="379">
        <v>0</v>
      </c>
      <c r="P287" s="460">
        <v>1</v>
      </c>
      <c r="Q287" s="460">
        <v>0</v>
      </c>
      <c r="R287" s="380">
        <v>0</v>
      </c>
      <c r="S287" s="460">
        <v>0</v>
      </c>
      <c r="T287" s="380">
        <v>0</v>
      </c>
      <c r="U287" s="380">
        <v>0</v>
      </c>
      <c r="V287" s="380">
        <v>0</v>
      </c>
      <c r="W287" s="380">
        <v>0</v>
      </c>
      <c r="X287" s="380">
        <v>0</v>
      </c>
      <c r="Y287" s="380">
        <v>0</v>
      </c>
      <c r="Z287" s="380">
        <v>0</v>
      </c>
      <c r="AA287" s="378"/>
      <c r="AB287" s="376" t="s">
        <v>45</v>
      </c>
      <c r="AC287" s="376" t="s">
        <v>45</v>
      </c>
      <c r="AD287" s="378"/>
      <c r="AE287" s="378"/>
      <c r="AF287" s="378"/>
      <c r="AG287" s="378"/>
      <c r="AH287" s="379">
        <v>0</v>
      </c>
      <c r="AI287" s="379">
        <v>0</v>
      </c>
      <c r="AJ287" s="378"/>
      <c r="AK287" s="378"/>
      <c r="AL287" s="376" t="s">
        <v>181</v>
      </c>
      <c r="AM287" s="378"/>
      <c r="AN287" s="378"/>
      <c r="AO287" s="379">
        <v>0</v>
      </c>
      <c r="AP287" s="460">
        <v>0</v>
      </c>
      <c r="AQ287" s="460">
        <v>0</v>
      </c>
      <c r="AR287" s="459"/>
      <c r="AS287" s="462">
        <f t="shared" si="68"/>
        <v>0</v>
      </c>
      <c r="AT287">
        <f t="shared" si="69"/>
        <v>0</v>
      </c>
      <c r="AU287" s="462" t="str">
        <f>IF(AT287=0,"",IF(AND(AT287=1,M287="F",SUMIF(C2:C391,C287,AS2:AS391)&lt;=1),SUMIF(C2:C391,C287,AS2:AS391),IF(AND(AT287=1,M287="F",SUMIF(C2:C391,C287,AS2:AS391)&gt;1),1,"")))</f>
        <v/>
      </c>
      <c r="AV287" s="462" t="str">
        <f>IF(AT287=0,"",IF(AND(AT287=3,M287="F",SUMIF(C2:C391,C287,AS2:AS391)&lt;=1),SUMIF(C2:C391,C287,AS2:AS391),IF(AND(AT287=3,M287="F",SUMIF(C2:C391,C287,AS2:AS391)&gt;1),1,"")))</f>
        <v/>
      </c>
      <c r="AW287" s="462">
        <f>SUMIF(C2:C391,C287,O2:O391)</f>
        <v>0</v>
      </c>
      <c r="AX287" s="462">
        <f>IF(AND(M287="F",AS287&lt;&gt;0),SUMIF(C2:C391,C287,W2:W391),0)</f>
        <v>0</v>
      </c>
      <c r="AY287" s="462" t="str">
        <f t="shared" si="70"/>
        <v/>
      </c>
      <c r="AZ287" s="462" t="str">
        <f t="shared" si="71"/>
        <v/>
      </c>
      <c r="BA287" s="462">
        <f t="shared" si="72"/>
        <v>0</v>
      </c>
      <c r="BB287" s="462">
        <f>IF(AND(AT287=1,AK287="E",AU287&gt;=0.75,AW287=1),Health,IF(AND(AT287=1,AK287="E",AU287&gt;=0.75),Health*P287,IF(AND(AT287=1,AK287="E",AU287&gt;=0.5,AW287=1),PTHealth,IF(AND(AT287=1,AK287="E",AU287&gt;=0.5),PTHealth*P287,0))))</f>
        <v>0</v>
      </c>
      <c r="BC287" s="462">
        <f>IF(AND(AT287=3,AK287="E",AV287&gt;=0.75,AW287=1),Health,IF(AND(AT287=3,AK287="E",AV287&gt;=0.75),Health*P287,IF(AND(AT287=3,AK287="E",AV287&gt;=0.5,AW287=1),PTHealth,IF(AND(AT287=3,AK287="E",AV287&gt;=0.5),PTHealth*P287,0))))</f>
        <v>0</v>
      </c>
      <c r="BD287" s="462">
        <f>IF(AND(AT287&lt;&gt;0,AX287&gt;=MAXSSDI),SSDI*MAXSSDI*P287,IF(AT287&lt;&gt;0,SSDI*W287,0))</f>
        <v>0</v>
      </c>
      <c r="BE287" s="462">
        <f>IF(AT287&lt;&gt;0,SSHI*W287,0)</f>
        <v>0</v>
      </c>
      <c r="BF287" s="462">
        <f>IF(AND(AT287&lt;&gt;0,AN287&lt;&gt;"NE"),VLOOKUP(AN287,Retirement_Rates,3,FALSE)*W287,0)</f>
        <v>0</v>
      </c>
      <c r="BG287" s="462">
        <f>IF(AND(AT287&lt;&gt;0,AJ287&lt;&gt;"PF"),Life*W287,0)</f>
        <v>0</v>
      </c>
      <c r="BH287" s="462">
        <f>IF(AND(AT287&lt;&gt;0,AM287="Y"),UI*W287,0)</f>
        <v>0</v>
      </c>
      <c r="BI287" s="462">
        <f>IF(AND(AT287&lt;&gt;0,N287&lt;&gt;"NR"),DHR*W287,0)</f>
        <v>0</v>
      </c>
      <c r="BJ287" s="462">
        <f>IF(AT287&lt;&gt;0,WC*W287,0)</f>
        <v>0</v>
      </c>
      <c r="BK287" s="462">
        <f>IF(OR(AND(AT287&lt;&gt;0,AJ287&lt;&gt;"PF",AN287&lt;&gt;"NE",AG287&lt;&gt;"A"),AND(AL287="E",OR(AT287=1,AT287=3))),Sick*W287,0)</f>
        <v>0</v>
      </c>
      <c r="BL287" s="462">
        <f t="shared" si="73"/>
        <v>0</v>
      </c>
      <c r="BM287" s="462">
        <f t="shared" si="74"/>
        <v>0</v>
      </c>
      <c r="BN287" s="462">
        <f>IF(AND(AT287=1,AK287="E",AU287&gt;=0.75,AW287=1),HealthBY,IF(AND(AT287=1,AK287="E",AU287&gt;=0.75),HealthBY*P287,IF(AND(AT287=1,AK287="E",AU287&gt;=0.5,AW287=1),PTHealthBY,IF(AND(AT287=1,AK287="E",AU287&gt;=0.5),PTHealthBY*P287,0))))</f>
        <v>0</v>
      </c>
      <c r="BO287" s="462">
        <f>IF(AND(AT287=3,AK287="E",AV287&gt;=0.75,AW287=1),HealthBY,IF(AND(AT287=3,AK287="E",AV287&gt;=0.75),HealthBY*P287,IF(AND(AT287=3,AK287="E",AV287&gt;=0.5,AW287=1),PTHealthBY,IF(AND(AT287=3,AK287="E",AV287&gt;=0.5),PTHealthBY*P287,0))))</f>
        <v>0</v>
      </c>
      <c r="BP287" s="462">
        <f>IF(AND(AT287&lt;&gt;0,(AX287+BA287)&gt;=MAXSSDIBY),SSDIBY*MAXSSDIBY*P287,IF(AT287&lt;&gt;0,SSDIBY*W287,0))</f>
        <v>0</v>
      </c>
      <c r="BQ287" s="462">
        <f>IF(AT287&lt;&gt;0,SSHIBY*W287,0)</f>
        <v>0</v>
      </c>
      <c r="BR287" s="462">
        <f>IF(AND(AT287&lt;&gt;0,AN287&lt;&gt;"NE"),VLOOKUP(AN287,Retirement_Rates,4,FALSE)*W287,0)</f>
        <v>0</v>
      </c>
      <c r="BS287" s="462">
        <f>IF(AND(AT287&lt;&gt;0,AJ287&lt;&gt;"PF"),LifeBY*W287,0)</f>
        <v>0</v>
      </c>
      <c r="BT287" s="462">
        <f>IF(AND(AT287&lt;&gt;0,AM287="Y"),UIBY*W287,0)</f>
        <v>0</v>
      </c>
      <c r="BU287" s="462">
        <f>IF(AND(AT287&lt;&gt;0,N287&lt;&gt;"NR"),DHRBY*W287,0)</f>
        <v>0</v>
      </c>
      <c r="BV287" s="462">
        <f>IF(AT287&lt;&gt;0,WCBY*W287,0)</f>
        <v>0</v>
      </c>
      <c r="BW287" s="462">
        <f>IF(OR(AND(AT287&lt;&gt;0,AJ287&lt;&gt;"PF",AN287&lt;&gt;"NE",AG287&lt;&gt;"A"),AND(AL287="E",OR(AT287=1,AT287=3))),SickBY*W287,0)</f>
        <v>0</v>
      </c>
      <c r="BX287" s="462">
        <f t="shared" si="75"/>
        <v>0</v>
      </c>
      <c r="BY287" s="462">
        <f t="shared" si="76"/>
        <v>0</v>
      </c>
      <c r="BZ287" s="462">
        <f t="shared" si="77"/>
        <v>0</v>
      </c>
      <c r="CA287" s="462">
        <f t="shared" si="78"/>
        <v>0</v>
      </c>
      <c r="CB287" s="462">
        <f t="shared" si="79"/>
        <v>0</v>
      </c>
      <c r="CC287" s="462">
        <f>IF(AT287&lt;&gt;0,SSHICHG*Y287,0)</f>
        <v>0</v>
      </c>
      <c r="CD287" s="462">
        <f>IF(AND(AT287&lt;&gt;0,AN287&lt;&gt;"NE"),VLOOKUP(AN287,Retirement_Rates,5,FALSE)*Y287,0)</f>
        <v>0</v>
      </c>
      <c r="CE287" s="462">
        <f>IF(AND(AT287&lt;&gt;0,AJ287&lt;&gt;"PF"),LifeCHG*Y287,0)</f>
        <v>0</v>
      </c>
      <c r="CF287" s="462">
        <f>IF(AND(AT287&lt;&gt;0,AM287="Y"),UICHG*Y287,0)</f>
        <v>0</v>
      </c>
      <c r="CG287" s="462">
        <f>IF(AND(AT287&lt;&gt;0,N287&lt;&gt;"NR"),DHRCHG*Y287,0)</f>
        <v>0</v>
      </c>
      <c r="CH287" s="462">
        <f>IF(AT287&lt;&gt;0,WCCHG*Y287,0)</f>
        <v>0</v>
      </c>
      <c r="CI287" s="462">
        <f>IF(OR(AND(AT287&lt;&gt;0,AJ287&lt;&gt;"PF",AN287&lt;&gt;"NE",AG287&lt;&gt;"A"),AND(AL287="E",OR(AT287=1,AT287=3))),SickCHG*Y287,0)</f>
        <v>0</v>
      </c>
      <c r="CJ287" s="462">
        <f t="shared" si="80"/>
        <v>0</v>
      </c>
      <c r="CK287" s="462" t="str">
        <f t="shared" si="81"/>
        <v/>
      </c>
      <c r="CL287" s="462">
        <f t="shared" si="82"/>
        <v>0</v>
      </c>
      <c r="CM287" s="462">
        <f t="shared" si="83"/>
        <v>0</v>
      </c>
      <c r="CN287" s="462" t="str">
        <f t="shared" si="84"/>
        <v>0125-00</v>
      </c>
    </row>
    <row r="288" spans="1:92" ht="15" thickBot="1" x14ac:dyDescent="0.35">
      <c r="A288" s="376" t="s">
        <v>161</v>
      </c>
      <c r="B288" s="376" t="s">
        <v>162</v>
      </c>
      <c r="C288" s="376" t="s">
        <v>568</v>
      </c>
      <c r="D288" s="376" t="s">
        <v>569</v>
      </c>
      <c r="E288" s="376" t="s">
        <v>421</v>
      </c>
      <c r="F288" s="382" t="s">
        <v>384</v>
      </c>
      <c r="G288" s="376" t="s">
        <v>951</v>
      </c>
      <c r="H288" s="378"/>
      <c r="I288" s="378"/>
      <c r="J288" s="376" t="s">
        <v>193</v>
      </c>
      <c r="K288" s="376" t="s">
        <v>570</v>
      </c>
      <c r="L288" s="376" t="s">
        <v>195</v>
      </c>
      <c r="M288" s="376" t="s">
        <v>171</v>
      </c>
      <c r="N288" s="376" t="s">
        <v>172</v>
      </c>
      <c r="O288" s="379">
        <v>1</v>
      </c>
      <c r="P288" s="460">
        <v>0</v>
      </c>
      <c r="Q288" s="460">
        <v>0</v>
      </c>
      <c r="R288" s="380">
        <v>80</v>
      </c>
      <c r="S288" s="460">
        <v>0</v>
      </c>
      <c r="T288" s="380">
        <v>0</v>
      </c>
      <c r="U288" s="380">
        <v>0</v>
      </c>
      <c r="V288" s="380">
        <v>46.03</v>
      </c>
      <c r="W288" s="380">
        <v>0</v>
      </c>
      <c r="X288" s="380">
        <v>0</v>
      </c>
      <c r="Y288" s="380">
        <v>0</v>
      </c>
      <c r="Z288" s="380">
        <v>0</v>
      </c>
      <c r="AA288" s="376" t="s">
        <v>571</v>
      </c>
      <c r="AB288" s="376" t="s">
        <v>572</v>
      </c>
      <c r="AC288" s="376" t="s">
        <v>573</v>
      </c>
      <c r="AD288" s="376" t="s">
        <v>574</v>
      </c>
      <c r="AE288" s="376" t="s">
        <v>570</v>
      </c>
      <c r="AF288" s="376" t="s">
        <v>199</v>
      </c>
      <c r="AG288" s="376" t="s">
        <v>178</v>
      </c>
      <c r="AH288" s="381">
        <v>27.3</v>
      </c>
      <c r="AI288" s="381">
        <v>4526.5</v>
      </c>
      <c r="AJ288" s="376" t="s">
        <v>179</v>
      </c>
      <c r="AK288" s="376" t="s">
        <v>180</v>
      </c>
      <c r="AL288" s="376" t="s">
        <v>181</v>
      </c>
      <c r="AM288" s="376" t="s">
        <v>182</v>
      </c>
      <c r="AN288" s="376" t="s">
        <v>68</v>
      </c>
      <c r="AO288" s="379">
        <v>80</v>
      </c>
      <c r="AP288" s="460">
        <v>1</v>
      </c>
      <c r="AQ288" s="460">
        <v>0</v>
      </c>
      <c r="AR288" s="458" t="s">
        <v>183</v>
      </c>
      <c r="AS288" s="462">
        <f t="shared" si="68"/>
        <v>0</v>
      </c>
      <c r="AT288">
        <f t="shared" si="69"/>
        <v>0</v>
      </c>
      <c r="AU288" s="462" t="str">
        <f>IF(AT288=0,"",IF(AND(AT288=1,M288="F",SUMIF(C2:C391,C288,AS2:AS391)&lt;=1),SUMIF(C2:C391,C288,AS2:AS391),IF(AND(AT288=1,M288="F",SUMIF(C2:C391,C288,AS2:AS391)&gt;1),1,"")))</f>
        <v/>
      </c>
      <c r="AV288" s="462" t="str">
        <f>IF(AT288=0,"",IF(AND(AT288=3,M288="F",SUMIF(C2:C391,C288,AS2:AS391)&lt;=1),SUMIF(C2:C391,C288,AS2:AS391),IF(AND(AT288=3,M288="F",SUMIF(C2:C391,C288,AS2:AS391)&gt;1),1,"")))</f>
        <v/>
      </c>
      <c r="AW288" s="462">
        <f>SUMIF(C2:C391,C288,O2:O391)</f>
        <v>3</v>
      </c>
      <c r="AX288" s="462">
        <f>IF(AND(M288="F",AS288&lt;&gt;0),SUMIF(C2:C391,C288,W2:W391),0)</f>
        <v>0</v>
      </c>
      <c r="AY288" s="462" t="str">
        <f t="shared" si="70"/>
        <v/>
      </c>
      <c r="AZ288" s="462" t="str">
        <f t="shared" si="71"/>
        <v/>
      </c>
      <c r="BA288" s="462">
        <f t="shared" si="72"/>
        <v>0</v>
      </c>
      <c r="BB288" s="462">
        <f>IF(AND(AT288=1,AK288="E",AU288&gt;=0.75,AW288=1),Health,IF(AND(AT288=1,AK288="E",AU288&gt;=0.75),Health*P288,IF(AND(AT288=1,AK288="E",AU288&gt;=0.5,AW288=1),PTHealth,IF(AND(AT288=1,AK288="E",AU288&gt;=0.5),PTHealth*P288,0))))</f>
        <v>0</v>
      </c>
      <c r="BC288" s="462">
        <f>IF(AND(AT288=3,AK288="E",AV288&gt;=0.75,AW288=1),Health,IF(AND(AT288=3,AK288="E",AV288&gt;=0.75),Health*P288,IF(AND(AT288=3,AK288="E",AV288&gt;=0.5,AW288=1),PTHealth,IF(AND(AT288=3,AK288="E",AV288&gt;=0.5),PTHealth*P288,0))))</f>
        <v>0</v>
      </c>
      <c r="BD288" s="462">
        <f>IF(AND(AT288&lt;&gt;0,AX288&gt;=MAXSSDI),SSDI*MAXSSDI*P288,IF(AT288&lt;&gt;0,SSDI*W288,0))</f>
        <v>0</v>
      </c>
      <c r="BE288" s="462">
        <f>IF(AT288&lt;&gt;0,SSHI*W288,0)</f>
        <v>0</v>
      </c>
      <c r="BF288" s="462">
        <f>IF(AND(AT288&lt;&gt;0,AN288&lt;&gt;"NE"),VLOOKUP(AN288,Retirement_Rates,3,FALSE)*W288,0)</f>
        <v>0</v>
      </c>
      <c r="BG288" s="462">
        <f>IF(AND(AT288&lt;&gt;0,AJ288&lt;&gt;"PF"),Life*W288,0)</f>
        <v>0</v>
      </c>
      <c r="BH288" s="462">
        <f>IF(AND(AT288&lt;&gt;0,AM288="Y"),UI*W288,0)</f>
        <v>0</v>
      </c>
      <c r="BI288" s="462">
        <f>IF(AND(AT288&lt;&gt;0,N288&lt;&gt;"NR"),DHR*W288,0)</f>
        <v>0</v>
      </c>
      <c r="BJ288" s="462">
        <f>IF(AT288&lt;&gt;0,WC*W288,0)</f>
        <v>0</v>
      </c>
      <c r="BK288" s="462">
        <f>IF(OR(AND(AT288&lt;&gt;0,AJ288&lt;&gt;"PF",AN288&lt;&gt;"NE",AG288&lt;&gt;"A"),AND(AL288="E",OR(AT288=1,AT288=3))),Sick*W288,0)</f>
        <v>0</v>
      </c>
      <c r="BL288" s="462">
        <f t="shared" si="73"/>
        <v>0</v>
      </c>
      <c r="BM288" s="462">
        <f t="shared" si="74"/>
        <v>0</v>
      </c>
      <c r="BN288" s="462">
        <f>IF(AND(AT288=1,AK288="E",AU288&gt;=0.75,AW288=1),HealthBY,IF(AND(AT288=1,AK288="E",AU288&gt;=0.75),HealthBY*P288,IF(AND(AT288=1,AK288="E",AU288&gt;=0.5,AW288=1),PTHealthBY,IF(AND(AT288=1,AK288="E",AU288&gt;=0.5),PTHealthBY*P288,0))))</f>
        <v>0</v>
      </c>
      <c r="BO288" s="462">
        <f>IF(AND(AT288=3,AK288="E",AV288&gt;=0.75,AW288=1),HealthBY,IF(AND(AT288=3,AK288="E",AV288&gt;=0.75),HealthBY*P288,IF(AND(AT288=3,AK288="E",AV288&gt;=0.5,AW288=1),PTHealthBY,IF(AND(AT288=3,AK288="E",AV288&gt;=0.5),PTHealthBY*P288,0))))</f>
        <v>0</v>
      </c>
      <c r="BP288" s="462">
        <f>IF(AND(AT288&lt;&gt;0,(AX288+BA288)&gt;=MAXSSDIBY),SSDIBY*MAXSSDIBY*P288,IF(AT288&lt;&gt;0,SSDIBY*W288,0))</f>
        <v>0</v>
      </c>
      <c r="BQ288" s="462">
        <f>IF(AT288&lt;&gt;0,SSHIBY*W288,0)</f>
        <v>0</v>
      </c>
      <c r="BR288" s="462">
        <f>IF(AND(AT288&lt;&gt;0,AN288&lt;&gt;"NE"),VLOOKUP(AN288,Retirement_Rates,4,FALSE)*W288,0)</f>
        <v>0</v>
      </c>
      <c r="BS288" s="462">
        <f>IF(AND(AT288&lt;&gt;0,AJ288&lt;&gt;"PF"),LifeBY*W288,0)</f>
        <v>0</v>
      </c>
      <c r="BT288" s="462">
        <f>IF(AND(AT288&lt;&gt;0,AM288="Y"),UIBY*W288,0)</f>
        <v>0</v>
      </c>
      <c r="BU288" s="462">
        <f>IF(AND(AT288&lt;&gt;0,N288&lt;&gt;"NR"),DHRBY*W288,0)</f>
        <v>0</v>
      </c>
      <c r="BV288" s="462">
        <f>IF(AT288&lt;&gt;0,WCBY*W288,0)</f>
        <v>0</v>
      </c>
      <c r="BW288" s="462">
        <f>IF(OR(AND(AT288&lt;&gt;0,AJ288&lt;&gt;"PF",AN288&lt;&gt;"NE",AG288&lt;&gt;"A"),AND(AL288="E",OR(AT288=1,AT288=3))),SickBY*W288,0)</f>
        <v>0</v>
      </c>
      <c r="BX288" s="462">
        <f t="shared" si="75"/>
        <v>0</v>
      </c>
      <c r="BY288" s="462">
        <f t="shared" si="76"/>
        <v>0</v>
      </c>
      <c r="BZ288" s="462">
        <f t="shared" si="77"/>
        <v>0</v>
      </c>
      <c r="CA288" s="462">
        <f t="shared" si="78"/>
        <v>0</v>
      </c>
      <c r="CB288" s="462">
        <f t="shared" si="79"/>
        <v>0</v>
      </c>
      <c r="CC288" s="462">
        <f>IF(AT288&lt;&gt;0,SSHICHG*Y288,0)</f>
        <v>0</v>
      </c>
      <c r="CD288" s="462">
        <f>IF(AND(AT288&lt;&gt;0,AN288&lt;&gt;"NE"),VLOOKUP(AN288,Retirement_Rates,5,FALSE)*Y288,0)</f>
        <v>0</v>
      </c>
      <c r="CE288" s="462">
        <f>IF(AND(AT288&lt;&gt;0,AJ288&lt;&gt;"PF"),LifeCHG*Y288,0)</f>
        <v>0</v>
      </c>
      <c r="CF288" s="462">
        <f>IF(AND(AT288&lt;&gt;0,AM288="Y"),UICHG*Y288,0)</f>
        <v>0</v>
      </c>
      <c r="CG288" s="462">
        <f>IF(AND(AT288&lt;&gt;0,N288&lt;&gt;"NR"),DHRCHG*Y288,0)</f>
        <v>0</v>
      </c>
      <c r="CH288" s="462">
        <f>IF(AT288&lt;&gt;0,WCCHG*Y288,0)</f>
        <v>0</v>
      </c>
      <c r="CI288" s="462">
        <f>IF(OR(AND(AT288&lt;&gt;0,AJ288&lt;&gt;"PF",AN288&lt;&gt;"NE",AG288&lt;&gt;"A"),AND(AL288="E",OR(AT288=1,AT288=3))),SickCHG*Y288,0)</f>
        <v>0</v>
      </c>
      <c r="CJ288" s="462">
        <f t="shared" si="80"/>
        <v>0</v>
      </c>
      <c r="CK288" s="462" t="str">
        <f t="shared" si="81"/>
        <v/>
      </c>
      <c r="CL288" s="462" t="str">
        <f t="shared" si="82"/>
        <v/>
      </c>
      <c r="CM288" s="462" t="str">
        <f t="shared" si="83"/>
        <v/>
      </c>
      <c r="CN288" s="462" t="str">
        <f t="shared" si="84"/>
        <v>0250-02</v>
      </c>
    </row>
    <row r="289" spans="1:92" ht="15" thickBot="1" x14ac:dyDescent="0.35">
      <c r="A289" s="376" t="s">
        <v>161</v>
      </c>
      <c r="B289" s="376" t="s">
        <v>162</v>
      </c>
      <c r="C289" s="376" t="s">
        <v>952</v>
      </c>
      <c r="D289" s="376" t="s">
        <v>438</v>
      </c>
      <c r="E289" s="376" t="s">
        <v>421</v>
      </c>
      <c r="F289" s="382" t="s">
        <v>384</v>
      </c>
      <c r="G289" s="376" t="s">
        <v>951</v>
      </c>
      <c r="H289" s="378"/>
      <c r="I289" s="378"/>
      <c r="J289" s="376" t="s">
        <v>168</v>
      </c>
      <c r="K289" s="376" t="s">
        <v>439</v>
      </c>
      <c r="L289" s="376" t="s">
        <v>231</v>
      </c>
      <c r="M289" s="376" t="s">
        <v>171</v>
      </c>
      <c r="N289" s="376" t="s">
        <v>172</v>
      </c>
      <c r="O289" s="379">
        <v>1</v>
      </c>
      <c r="P289" s="460">
        <v>0</v>
      </c>
      <c r="Q289" s="460">
        <v>0</v>
      </c>
      <c r="R289" s="380">
        <v>80</v>
      </c>
      <c r="S289" s="460">
        <v>0</v>
      </c>
      <c r="T289" s="380">
        <v>0</v>
      </c>
      <c r="U289" s="380">
        <v>0</v>
      </c>
      <c r="V289" s="380">
        <v>213.7</v>
      </c>
      <c r="W289" s="380">
        <v>0</v>
      </c>
      <c r="X289" s="380">
        <v>0</v>
      </c>
      <c r="Y289" s="380">
        <v>0</v>
      </c>
      <c r="Z289" s="380">
        <v>0</v>
      </c>
      <c r="AA289" s="376" t="s">
        <v>953</v>
      </c>
      <c r="AB289" s="376" t="s">
        <v>954</v>
      </c>
      <c r="AC289" s="376" t="s">
        <v>955</v>
      </c>
      <c r="AD289" s="376" t="s">
        <v>176</v>
      </c>
      <c r="AE289" s="376" t="s">
        <v>439</v>
      </c>
      <c r="AF289" s="376" t="s">
        <v>236</v>
      </c>
      <c r="AG289" s="376" t="s">
        <v>178</v>
      </c>
      <c r="AH289" s="381">
        <v>19.66</v>
      </c>
      <c r="AI289" s="381">
        <v>18228.8</v>
      </c>
      <c r="AJ289" s="376" t="s">
        <v>179</v>
      </c>
      <c r="AK289" s="376" t="s">
        <v>180</v>
      </c>
      <c r="AL289" s="376" t="s">
        <v>181</v>
      </c>
      <c r="AM289" s="376" t="s">
        <v>182</v>
      </c>
      <c r="AN289" s="376" t="s">
        <v>68</v>
      </c>
      <c r="AO289" s="379">
        <v>80</v>
      </c>
      <c r="AP289" s="460">
        <v>1</v>
      </c>
      <c r="AQ289" s="460">
        <v>0</v>
      </c>
      <c r="AR289" s="458" t="s">
        <v>183</v>
      </c>
      <c r="AS289" s="462">
        <f t="shared" si="68"/>
        <v>0</v>
      </c>
      <c r="AT289">
        <f t="shared" si="69"/>
        <v>0</v>
      </c>
      <c r="AU289" s="462" t="str">
        <f>IF(AT289=0,"",IF(AND(AT289=1,M289="F",SUMIF(C2:C391,C289,AS2:AS391)&lt;=1),SUMIF(C2:C391,C289,AS2:AS391),IF(AND(AT289=1,M289="F",SUMIF(C2:C391,C289,AS2:AS391)&gt;1),1,"")))</f>
        <v/>
      </c>
      <c r="AV289" s="462" t="str">
        <f>IF(AT289=0,"",IF(AND(AT289=3,M289="F",SUMIF(C2:C391,C289,AS2:AS391)&lt;=1),SUMIF(C2:C391,C289,AS2:AS391),IF(AND(AT289=3,M289="F",SUMIF(C2:C391,C289,AS2:AS391)&gt;1),1,"")))</f>
        <v/>
      </c>
      <c r="AW289" s="462">
        <f>SUMIF(C2:C391,C289,O2:O391)</f>
        <v>2</v>
      </c>
      <c r="AX289" s="462">
        <f>IF(AND(M289="F",AS289&lt;&gt;0),SUMIF(C2:C391,C289,W2:W391),0)</f>
        <v>0</v>
      </c>
      <c r="AY289" s="462" t="str">
        <f t="shared" si="70"/>
        <v/>
      </c>
      <c r="AZ289" s="462" t="str">
        <f t="shared" si="71"/>
        <v/>
      </c>
      <c r="BA289" s="462">
        <f t="shared" si="72"/>
        <v>0</v>
      </c>
      <c r="BB289" s="462">
        <f>IF(AND(AT289=1,AK289="E",AU289&gt;=0.75,AW289=1),Health,IF(AND(AT289=1,AK289="E",AU289&gt;=0.75),Health*P289,IF(AND(AT289=1,AK289="E",AU289&gt;=0.5,AW289=1),PTHealth,IF(AND(AT289=1,AK289="E",AU289&gt;=0.5),PTHealth*P289,0))))</f>
        <v>0</v>
      </c>
      <c r="BC289" s="462">
        <f>IF(AND(AT289=3,AK289="E",AV289&gt;=0.75,AW289=1),Health,IF(AND(AT289=3,AK289="E",AV289&gt;=0.75),Health*P289,IF(AND(AT289=3,AK289="E",AV289&gt;=0.5,AW289=1),PTHealth,IF(AND(AT289=3,AK289="E",AV289&gt;=0.5),PTHealth*P289,0))))</f>
        <v>0</v>
      </c>
      <c r="BD289" s="462">
        <f>IF(AND(AT289&lt;&gt;0,AX289&gt;=MAXSSDI),SSDI*MAXSSDI*P289,IF(AT289&lt;&gt;0,SSDI*W289,0))</f>
        <v>0</v>
      </c>
      <c r="BE289" s="462">
        <f>IF(AT289&lt;&gt;0,SSHI*W289,0)</f>
        <v>0</v>
      </c>
      <c r="BF289" s="462">
        <f>IF(AND(AT289&lt;&gt;0,AN289&lt;&gt;"NE"),VLOOKUP(AN289,Retirement_Rates,3,FALSE)*W289,0)</f>
        <v>0</v>
      </c>
      <c r="BG289" s="462">
        <f>IF(AND(AT289&lt;&gt;0,AJ289&lt;&gt;"PF"),Life*W289,0)</f>
        <v>0</v>
      </c>
      <c r="BH289" s="462">
        <f>IF(AND(AT289&lt;&gt;0,AM289="Y"),UI*W289,0)</f>
        <v>0</v>
      </c>
      <c r="BI289" s="462">
        <f>IF(AND(AT289&lt;&gt;0,N289&lt;&gt;"NR"),DHR*W289,0)</f>
        <v>0</v>
      </c>
      <c r="BJ289" s="462">
        <f>IF(AT289&lt;&gt;0,WC*W289,0)</f>
        <v>0</v>
      </c>
      <c r="BK289" s="462">
        <f>IF(OR(AND(AT289&lt;&gt;0,AJ289&lt;&gt;"PF",AN289&lt;&gt;"NE",AG289&lt;&gt;"A"),AND(AL289="E",OR(AT289=1,AT289=3))),Sick*W289,0)</f>
        <v>0</v>
      </c>
      <c r="BL289" s="462">
        <f t="shared" si="73"/>
        <v>0</v>
      </c>
      <c r="BM289" s="462">
        <f t="shared" si="74"/>
        <v>0</v>
      </c>
      <c r="BN289" s="462">
        <f>IF(AND(AT289=1,AK289="E",AU289&gt;=0.75,AW289=1),HealthBY,IF(AND(AT289=1,AK289="E",AU289&gt;=0.75),HealthBY*P289,IF(AND(AT289=1,AK289="E",AU289&gt;=0.5,AW289=1),PTHealthBY,IF(AND(AT289=1,AK289="E",AU289&gt;=0.5),PTHealthBY*P289,0))))</f>
        <v>0</v>
      </c>
      <c r="BO289" s="462">
        <f>IF(AND(AT289=3,AK289="E",AV289&gt;=0.75,AW289=1),HealthBY,IF(AND(AT289=3,AK289="E",AV289&gt;=0.75),HealthBY*P289,IF(AND(AT289=3,AK289="E",AV289&gt;=0.5,AW289=1),PTHealthBY,IF(AND(AT289=3,AK289="E",AV289&gt;=0.5),PTHealthBY*P289,0))))</f>
        <v>0</v>
      </c>
      <c r="BP289" s="462">
        <f>IF(AND(AT289&lt;&gt;0,(AX289+BA289)&gt;=MAXSSDIBY),SSDIBY*MAXSSDIBY*P289,IF(AT289&lt;&gt;0,SSDIBY*W289,0))</f>
        <v>0</v>
      </c>
      <c r="BQ289" s="462">
        <f>IF(AT289&lt;&gt;0,SSHIBY*W289,0)</f>
        <v>0</v>
      </c>
      <c r="BR289" s="462">
        <f>IF(AND(AT289&lt;&gt;0,AN289&lt;&gt;"NE"),VLOOKUP(AN289,Retirement_Rates,4,FALSE)*W289,0)</f>
        <v>0</v>
      </c>
      <c r="BS289" s="462">
        <f>IF(AND(AT289&lt;&gt;0,AJ289&lt;&gt;"PF"),LifeBY*W289,0)</f>
        <v>0</v>
      </c>
      <c r="BT289" s="462">
        <f>IF(AND(AT289&lt;&gt;0,AM289="Y"),UIBY*W289,0)</f>
        <v>0</v>
      </c>
      <c r="BU289" s="462">
        <f>IF(AND(AT289&lt;&gt;0,N289&lt;&gt;"NR"),DHRBY*W289,0)</f>
        <v>0</v>
      </c>
      <c r="BV289" s="462">
        <f>IF(AT289&lt;&gt;0,WCBY*W289,0)</f>
        <v>0</v>
      </c>
      <c r="BW289" s="462">
        <f>IF(OR(AND(AT289&lt;&gt;0,AJ289&lt;&gt;"PF",AN289&lt;&gt;"NE",AG289&lt;&gt;"A"),AND(AL289="E",OR(AT289=1,AT289=3))),SickBY*W289,0)</f>
        <v>0</v>
      </c>
      <c r="BX289" s="462">
        <f t="shared" si="75"/>
        <v>0</v>
      </c>
      <c r="BY289" s="462">
        <f t="shared" si="76"/>
        <v>0</v>
      </c>
      <c r="BZ289" s="462">
        <f t="shared" si="77"/>
        <v>0</v>
      </c>
      <c r="CA289" s="462">
        <f t="shared" si="78"/>
        <v>0</v>
      </c>
      <c r="CB289" s="462">
        <f t="shared" si="79"/>
        <v>0</v>
      </c>
      <c r="CC289" s="462">
        <f>IF(AT289&lt;&gt;0,SSHICHG*Y289,0)</f>
        <v>0</v>
      </c>
      <c r="CD289" s="462">
        <f>IF(AND(AT289&lt;&gt;0,AN289&lt;&gt;"NE"),VLOOKUP(AN289,Retirement_Rates,5,FALSE)*Y289,0)</f>
        <v>0</v>
      </c>
      <c r="CE289" s="462">
        <f>IF(AND(AT289&lt;&gt;0,AJ289&lt;&gt;"PF"),LifeCHG*Y289,0)</f>
        <v>0</v>
      </c>
      <c r="CF289" s="462">
        <f>IF(AND(AT289&lt;&gt;0,AM289="Y"),UICHG*Y289,0)</f>
        <v>0</v>
      </c>
      <c r="CG289" s="462">
        <f>IF(AND(AT289&lt;&gt;0,N289&lt;&gt;"NR"),DHRCHG*Y289,0)</f>
        <v>0</v>
      </c>
      <c r="CH289" s="462">
        <f>IF(AT289&lt;&gt;0,WCCHG*Y289,0)</f>
        <v>0</v>
      </c>
      <c r="CI289" s="462">
        <f>IF(OR(AND(AT289&lt;&gt;0,AJ289&lt;&gt;"PF",AN289&lt;&gt;"NE",AG289&lt;&gt;"A"),AND(AL289="E",OR(AT289=1,AT289=3))),SickCHG*Y289,0)</f>
        <v>0</v>
      </c>
      <c r="CJ289" s="462">
        <f t="shared" si="80"/>
        <v>0</v>
      </c>
      <c r="CK289" s="462" t="str">
        <f t="shared" si="81"/>
        <v/>
      </c>
      <c r="CL289" s="462" t="str">
        <f t="shared" si="82"/>
        <v/>
      </c>
      <c r="CM289" s="462" t="str">
        <f t="shared" si="83"/>
        <v/>
      </c>
      <c r="CN289" s="462" t="str">
        <f t="shared" si="84"/>
        <v>0250-02</v>
      </c>
    </row>
    <row r="290" spans="1:92" ht="15" thickBot="1" x14ac:dyDescent="0.35">
      <c r="A290" s="376" t="s">
        <v>161</v>
      </c>
      <c r="B290" s="376" t="s">
        <v>162</v>
      </c>
      <c r="C290" s="376" t="s">
        <v>956</v>
      </c>
      <c r="D290" s="376" t="s">
        <v>221</v>
      </c>
      <c r="E290" s="376" t="s">
        <v>421</v>
      </c>
      <c r="F290" s="382" t="s">
        <v>384</v>
      </c>
      <c r="G290" s="376" t="s">
        <v>951</v>
      </c>
      <c r="H290" s="378"/>
      <c r="I290" s="378"/>
      <c r="J290" s="376" t="s">
        <v>168</v>
      </c>
      <c r="K290" s="376" t="s">
        <v>222</v>
      </c>
      <c r="L290" s="376" t="s">
        <v>166</v>
      </c>
      <c r="M290" s="376" t="s">
        <v>171</v>
      </c>
      <c r="N290" s="376" t="s">
        <v>223</v>
      </c>
      <c r="O290" s="379">
        <v>0</v>
      </c>
      <c r="P290" s="460">
        <v>1</v>
      </c>
      <c r="Q290" s="460">
        <v>0</v>
      </c>
      <c r="R290" s="380">
        <v>0</v>
      </c>
      <c r="S290" s="460">
        <v>0</v>
      </c>
      <c r="T290" s="380">
        <v>7733.28</v>
      </c>
      <c r="U290" s="380">
        <v>0</v>
      </c>
      <c r="V290" s="380">
        <v>1018.12</v>
      </c>
      <c r="W290" s="380">
        <v>9485.5300000000007</v>
      </c>
      <c r="X290" s="380">
        <v>1398.12</v>
      </c>
      <c r="Y290" s="380">
        <v>9485.5300000000007</v>
      </c>
      <c r="Z290" s="380">
        <v>1398.12</v>
      </c>
      <c r="AA290" s="378"/>
      <c r="AB290" s="376" t="s">
        <v>45</v>
      </c>
      <c r="AC290" s="376" t="s">
        <v>45</v>
      </c>
      <c r="AD290" s="378"/>
      <c r="AE290" s="378"/>
      <c r="AF290" s="378"/>
      <c r="AG290" s="378"/>
      <c r="AH290" s="379">
        <v>0</v>
      </c>
      <c r="AI290" s="379">
        <v>0</v>
      </c>
      <c r="AJ290" s="378"/>
      <c r="AK290" s="378"/>
      <c r="AL290" s="376" t="s">
        <v>181</v>
      </c>
      <c r="AM290" s="378"/>
      <c r="AN290" s="378"/>
      <c r="AO290" s="379">
        <v>0</v>
      </c>
      <c r="AP290" s="460">
        <v>0</v>
      </c>
      <c r="AQ290" s="460">
        <v>0</v>
      </c>
      <c r="AR290" s="459"/>
      <c r="AS290" s="462">
        <f t="shared" si="68"/>
        <v>0</v>
      </c>
      <c r="AT290">
        <f t="shared" si="69"/>
        <v>0</v>
      </c>
      <c r="AU290" s="462" t="str">
        <f>IF(AT290=0,"",IF(AND(AT290=1,M290="F",SUMIF(C2:C391,C290,AS2:AS391)&lt;=1),SUMIF(C2:C391,C290,AS2:AS391),IF(AND(AT290=1,M290="F",SUMIF(C2:C391,C290,AS2:AS391)&gt;1),1,"")))</f>
        <v/>
      </c>
      <c r="AV290" s="462" t="str">
        <f>IF(AT290=0,"",IF(AND(AT290=3,M290="F",SUMIF(C2:C391,C290,AS2:AS391)&lt;=1),SUMIF(C2:C391,C290,AS2:AS391),IF(AND(AT290=3,M290="F",SUMIF(C2:C391,C290,AS2:AS391)&gt;1),1,"")))</f>
        <v/>
      </c>
      <c r="AW290" s="462">
        <f>SUMIF(C2:C391,C290,O2:O391)</f>
        <v>0</v>
      </c>
      <c r="AX290" s="462">
        <f>IF(AND(M290="F",AS290&lt;&gt;0),SUMIF(C2:C391,C290,W2:W391),0)</f>
        <v>0</v>
      </c>
      <c r="AY290" s="462" t="str">
        <f t="shared" si="70"/>
        <v/>
      </c>
      <c r="AZ290" s="462" t="str">
        <f t="shared" si="71"/>
        <v/>
      </c>
      <c r="BA290" s="462">
        <f t="shared" si="72"/>
        <v>0</v>
      </c>
      <c r="BB290" s="462">
        <f>IF(AND(AT290=1,AK290="E",AU290&gt;=0.75,AW290=1),Health,IF(AND(AT290=1,AK290="E",AU290&gt;=0.75),Health*P290,IF(AND(AT290=1,AK290="E",AU290&gt;=0.5,AW290=1),PTHealth,IF(AND(AT290=1,AK290="E",AU290&gt;=0.5),PTHealth*P290,0))))</f>
        <v>0</v>
      </c>
      <c r="BC290" s="462">
        <f>IF(AND(AT290=3,AK290="E",AV290&gt;=0.75,AW290=1),Health,IF(AND(AT290=3,AK290="E",AV290&gt;=0.75),Health*P290,IF(AND(AT290=3,AK290="E",AV290&gt;=0.5,AW290=1),PTHealth,IF(AND(AT290=3,AK290="E",AV290&gt;=0.5),PTHealth*P290,0))))</f>
        <v>0</v>
      </c>
      <c r="BD290" s="462">
        <f>IF(AND(AT290&lt;&gt;0,AX290&gt;=MAXSSDI),SSDI*MAXSSDI*P290,IF(AT290&lt;&gt;0,SSDI*W290,0))</f>
        <v>0</v>
      </c>
      <c r="BE290" s="462">
        <f>IF(AT290&lt;&gt;0,SSHI*W290,0)</f>
        <v>0</v>
      </c>
      <c r="BF290" s="462">
        <f>IF(AND(AT290&lt;&gt;0,AN290&lt;&gt;"NE"),VLOOKUP(AN290,Retirement_Rates,3,FALSE)*W290,0)</f>
        <v>0</v>
      </c>
      <c r="BG290" s="462">
        <f>IF(AND(AT290&lt;&gt;0,AJ290&lt;&gt;"PF"),Life*W290,0)</f>
        <v>0</v>
      </c>
      <c r="BH290" s="462">
        <f>IF(AND(AT290&lt;&gt;0,AM290="Y"),UI*W290,0)</f>
        <v>0</v>
      </c>
      <c r="BI290" s="462">
        <f>IF(AND(AT290&lt;&gt;0,N290&lt;&gt;"NR"),DHR*W290,0)</f>
        <v>0</v>
      </c>
      <c r="BJ290" s="462">
        <f>IF(AT290&lt;&gt;0,WC*W290,0)</f>
        <v>0</v>
      </c>
      <c r="BK290" s="462">
        <f>IF(OR(AND(AT290&lt;&gt;0,AJ290&lt;&gt;"PF",AN290&lt;&gt;"NE",AG290&lt;&gt;"A"),AND(AL290="E",OR(AT290=1,AT290=3))),Sick*W290,0)</f>
        <v>0</v>
      </c>
      <c r="BL290" s="462">
        <f t="shared" si="73"/>
        <v>0</v>
      </c>
      <c r="BM290" s="462">
        <f t="shared" si="74"/>
        <v>0</v>
      </c>
      <c r="BN290" s="462">
        <f>IF(AND(AT290=1,AK290="E",AU290&gt;=0.75,AW290=1),HealthBY,IF(AND(AT290=1,AK290="E",AU290&gt;=0.75),HealthBY*P290,IF(AND(AT290=1,AK290="E",AU290&gt;=0.5,AW290=1),PTHealthBY,IF(AND(AT290=1,AK290="E",AU290&gt;=0.5),PTHealthBY*P290,0))))</f>
        <v>0</v>
      </c>
      <c r="BO290" s="462">
        <f>IF(AND(AT290=3,AK290="E",AV290&gt;=0.75,AW290=1),HealthBY,IF(AND(AT290=3,AK290="E",AV290&gt;=0.75),HealthBY*P290,IF(AND(AT290=3,AK290="E",AV290&gt;=0.5,AW290=1),PTHealthBY,IF(AND(AT290=3,AK290="E",AV290&gt;=0.5),PTHealthBY*P290,0))))</f>
        <v>0</v>
      </c>
      <c r="BP290" s="462">
        <f>IF(AND(AT290&lt;&gt;0,(AX290+BA290)&gt;=MAXSSDIBY),SSDIBY*MAXSSDIBY*P290,IF(AT290&lt;&gt;0,SSDIBY*W290,0))</f>
        <v>0</v>
      </c>
      <c r="BQ290" s="462">
        <f>IF(AT290&lt;&gt;0,SSHIBY*W290,0)</f>
        <v>0</v>
      </c>
      <c r="BR290" s="462">
        <f>IF(AND(AT290&lt;&gt;0,AN290&lt;&gt;"NE"),VLOOKUP(AN290,Retirement_Rates,4,FALSE)*W290,0)</f>
        <v>0</v>
      </c>
      <c r="BS290" s="462">
        <f>IF(AND(AT290&lt;&gt;0,AJ290&lt;&gt;"PF"),LifeBY*W290,0)</f>
        <v>0</v>
      </c>
      <c r="BT290" s="462">
        <f>IF(AND(AT290&lt;&gt;0,AM290="Y"),UIBY*W290,0)</f>
        <v>0</v>
      </c>
      <c r="BU290" s="462">
        <f>IF(AND(AT290&lt;&gt;0,N290&lt;&gt;"NR"),DHRBY*W290,0)</f>
        <v>0</v>
      </c>
      <c r="BV290" s="462">
        <f>IF(AT290&lt;&gt;0,WCBY*W290,0)</f>
        <v>0</v>
      </c>
      <c r="BW290" s="462">
        <f>IF(OR(AND(AT290&lt;&gt;0,AJ290&lt;&gt;"PF",AN290&lt;&gt;"NE",AG290&lt;&gt;"A"),AND(AL290="E",OR(AT290=1,AT290=3))),SickBY*W290,0)</f>
        <v>0</v>
      </c>
      <c r="BX290" s="462">
        <f t="shared" si="75"/>
        <v>0</v>
      </c>
      <c r="BY290" s="462">
        <f t="shared" si="76"/>
        <v>0</v>
      </c>
      <c r="BZ290" s="462">
        <f t="shared" si="77"/>
        <v>0</v>
      </c>
      <c r="CA290" s="462">
        <f t="shared" si="78"/>
        <v>0</v>
      </c>
      <c r="CB290" s="462">
        <f t="shared" si="79"/>
        <v>0</v>
      </c>
      <c r="CC290" s="462">
        <f>IF(AT290&lt;&gt;0,SSHICHG*Y290,0)</f>
        <v>0</v>
      </c>
      <c r="CD290" s="462">
        <f>IF(AND(AT290&lt;&gt;0,AN290&lt;&gt;"NE"),VLOOKUP(AN290,Retirement_Rates,5,FALSE)*Y290,0)</f>
        <v>0</v>
      </c>
      <c r="CE290" s="462">
        <f>IF(AND(AT290&lt;&gt;0,AJ290&lt;&gt;"PF"),LifeCHG*Y290,0)</f>
        <v>0</v>
      </c>
      <c r="CF290" s="462">
        <f>IF(AND(AT290&lt;&gt;0,AM290="Y"),UICHG*Y290,0)</f>
        <v>0</v>
      </c>
      <c r="CG290" s="462">
        <f>IF(AND(AT290&lt;&gt;0,N290&lt;&gt;"NR"),DHRCHG*Y290,0)</f>
        <v>0</v>
      </c>
      <c r="CH290" s="462">
        <f>IF(AT290&lt;&gt;0,WCCHG*Y290,0)</f>
        <v>0</v>
      </c>
      <c r="CI290" s="462">
        <f>IF(OR(AND(AT290&lt;&gt;0,AJ290&lt;&gt;"PF",AN290&lt;&gt;"NE",AG290&lt;&gt;"A"),AND(AL290="E",OR(AT290=1,AT290=3))),SickCHG*Y290,0)</f>
        <v>0</v>
      </c>
      <c r="CJ290" s="462">
        <f t="shared" si="80"/>
        <v>0</v>
      </c>
      <c r="CK290" s="462" t="str">
        <f t="shared" si="81"/>
        <v/>
      </c>
      <c r="CL290" s="462">
        <f t="shared" si="82"/>
        <v>7733.28</v>
      </c>
      <c r="CM290" s="462">
        <f t="shared" si="83"/>
        <v>1018.12</v>
      </c>
      <c r="CN290" s="462" t="str">
        <f t="shared" si="84"/>
        <v>0250-02</v>
      </c>
    </row>
    <row r="291" spans="1:92" ht="15" thickBot="1" x14ac:dyDescent="0.35">
      <c r="A291" s="376" t="s">
        <v>161</v>
      </c>
      <c r="B291" s="376" t="s">
        <v>162</v>
      </c>
      <c r="C291" s="376" t="s">
        <v>957</v>
      </c>
      <c r="D291" s="376" t="s">
        <v>221</v>
      </c>
      <c r="E291" s="376" t="s">
        <v>421</v>
      </c>
      <c r="F291" s="382" t="s">
        <v>384</v>
      </c>
      <c r="G291" s="376" t="s">
        <v>951</v>
      </c>
      <c r="H291" s="378"/>
      <c r="I291" s="378"/>
      <c r="J291" s="376" t="s">
        <v>168</v>
      </c>
      <c r="K291" s="376" t="s">
        <v>222</v>
      </c>
      <c r="L291" s="376" t="s">
        <v>166</v>
      </c>
      <c r="M291" s="376" t="s">
        <v>225</v>
      </c>
      <c r="N291" s="376" t="s">
        <v>223</v>
      </c>
      <c r="O291" s="379">
        <v>0</v>
      </c>
      <c r="P291" s="460">
        <v>1</v>
      </c>
      <c r="Q291" s="460">
        <v>0</v>
      </c>
      <c r="R291" s="380">
        <v>0</v>
      </c>
      <c r="S291" s="460">
        <v>0</v>
      </c>
      <c r="T291" s="380">
        <v>0</v>
      </c>
      <c r="U291" s="380">
        <v>0</v>
      </c>
      <c r="V291" s="380">
        <v>0</v>
      </c>
      <c r="W291" s="380">
        <v>0</v>
      </c>
      <c r="X291" s="380">
        <v>0</v>
      </c>
      <c r="Y291" s="380">
        <v>0</v>
      </c>
      <c r="Z291" s="380">
        <v>0</v>
      </c>
      <c r="AA291" s="378"/>
      <c r="AB291" s="376" t="s">
        <v>45</v>
      </c>
      <c r="AC291" s="376" t="s">
        <v>45</v>
      </c>
      <c r="AD291" s="378"/>
      <c r="AE291" s="378"/>
      <c r="AF291" s="378"/>
      <c r="AG291" s="378"/>
      <c r="AH291" s="379">
        <v>0</v>
      </c>
      <c r="AI291" s="379">
        <v>0</v>
      </c>
      <c r="AJ291" s="378"/>
      <c r="AK291" s="378"/>
      <c r="AL291" s="376" t="s">
        <v>181</v>
      </c>
      <c r="AM291" s="378"/>
      <c r="AN291" s="378"/>
      <c r="AO291" s="379">
        <v>0</v>
      </c>
      <c r="AP291" s="460">
        <v>0</v>
      </c>
      <c r="AQ291" s="460">
        <v>0</v>
      </c>
      <c r="AR291" s="459"/>
      <c r="AS291" s="462">
        <f t="shared" si="68"/>
        <v>0</v>
      </c>
      <c r="AT291">
        <f t="shared" si="69"/>
        <v>0</v>
      </c>
      <c r="AU291" s="462" t="str">
        <f>IF(AT291=0,"",IF(AND(AT291=1,M291="F",SUMIF(C2:C391,C291,AS2:AS391)&lt;=1),SUMIF(C2:C391,C291,AS2:AS391),IF(AND(AT291=1,M291="F",SUMIF(C2:C391,C291,AS2:AS391)&gt;1),1,"")))</f>
        <v/>
      </c>
      <c r="AV291" s="462" t="str">
        <f>IF(AT291=0,"",IF(AND(AT291=3,M291="F",SUMIF(C2:C391,C291,AS2:AS391)&lt;=1),SUMIF(C2:C391,C291,AS2:AS391),IF(AND(AT291=3,M291="F",SUMIF(C2:C391,C291,AS2:AS391)&gt;1),1,"")))</f>
        <v/>
      </c>
      <c r="AW291" s="462">
        <f>SUMIF(C2:C391,C291,O2:O391)</f>
        <v>0</v>
      </c>
      <c r="AX291" s="462">
        <f>IF(AND(M291="F",AS291&lt;&gt;0),SUMIF(C2:C391,C291,W2:W391),0)</f>
        <v>0</v>
      </c>
      <c r="AY291" s="462" t="str">
        <f t="shared" si="70"/>
        <v/>
      </c>
      <c r="AZ291" s="462" t="str">
        <f t="shared" si="71"/>
        <v/>
      </c>
      <c r="BA291" s="462">
        <f t="shared" si="72"/>
        <v>0</v>
      </c>
      <c r="BB291" s="462">
        <f>IF(AND(AT291=1,AK291="E",AU291&gt;=0.75,AW291=1),Health,IF(AND(AT291=1,AK291="E",AU291&gt;=0.75),Health*P291,IF(AND(AT291=1,AK291="E",AU291&gt;=0.5,AW291=1),PTHealth,IF(AND(AT291=1,AK291="E",AU291&gt;=0.5),PTHealth*P291,0))))</f>
        <v>0</v>
      </c>
      <c r="BC291" s="462">
        <f>IF(AND(AT291=3,AK291="E",AV291&gt;=0.75,AW291=1),Health,IF(AND(AT291=3,AK291="E",AV291&gt;=0.75),Health*P291,IF(AND(AT291=3,AK291="E",AV291&gt;=0.5,AW291=1),PTHealth,IF(AND(AT291=3,AK291="E",AV291&gt;=0.5),PTHealth*P291,0))))</f>
        <v>0</v>
      </c>
      <c r="BD291" s="462">
        <f>IF(AND(AT291&lt;&gt;0,AX291&gt;=MAXSSDI),SSDI*MAXSSDI*P291,IF(AT291&lt;&gt;0,SSDI*W291,0))</f>
        <v>0</v>
      </c>
      <c r="BE291" s="462">
        <f>IF(AT291&lt;&gt;0,SSHI*W291,0)</f>
        <v>0</v>
      </c>
      <c r="BF291" s="462">
        <f>IF(AND(AT291&lt;&gt;0,AN291&lt;&gt;"NE"),VLOOKUP(AN291,Retirement_Rates,3,FALSE)*W291,0)</f>
        <v>0</v>
      </c>
      <c r="BG291" s="462">
        <f>IF(AND(AT291&lt;&gt;0,AJ291&lt;&gt;"PF"),Life*W291,0)</f>
        <v>0</v>
      </c>
      <c r="BH291" s="462">
        <f>IF(AND(AT291&lt;&gt;0,AM291="Y"),UI*W291,0)</f>
        <v>0</v>
      </c>
      <c r="BI291" s="462">
        <f>IF(AND(AT291&lt;&gt;0,N291&lt;&gt;"NR"),DHR*W291,0)</f>
        <v>0</v>
      </c>
      <c r="BJ291" s="462">
        <f>IF(AT291&lt;&gt;0,WC*W291,0)</f>
        <v>0</v>
      </c>
      <c r="BK291" s="462">
        <f>IF(OR(AND(AT291&lt;&gt;0,AJ291&lt;&gt;"PF",AN291&lt;&gt;"NE",AG291&lt;&gt;"A"),AND(AL291="E",OR(AT291=1,AT291=3))),Sick*W291,0)</f>
        <v>0</v>
      </c>
      <c r="BL291" s="462">
        <f t="shared" si="73"/>
        <v>0</v>
      </c>
      <c r="BM291" s="462">
        <f t="shared" si="74"/>
        <v>0</v>
      </c>
      <c r="BN291" s="462">
        <f>IF(AND(AT291=1,AK291="E",AU291&gt;=0.75,AW291=1),HealthBY,IF(AND(AT291=1,AK291="E",AU291&gt;=0.75),HealthBY*P291,IF(AND(AT291=1,AK291="E",AU291&gt;=0.5,AW291=1),PTHealthBY,IF(AND(AT291=1,AK291="E",AU291&gt;=0.5),PTHealthBY*P291,0))))</f>
        <v>0</v>
      </c>
      <c r="BO291" s="462">
        <f>IF(AND(AT291=3,AK291="E",AV291&gt;=0.75,AW291=1),HealthBY,IF(AND(AT291=3,AK291="E",AV291&gt;=0.75),HealthBY*P291,IF(AND(AT291=3,AK291="E",AV291&gt;=0.5,AW291=1),PTHealthBY,IF(AND(AT291=3,AK291="E",AV291&gt;=0.5),PTHealthBY*P291,0))))</f>
        <v>0</v>
      </c>
      <c r="BP291" s="462">
        <f>IF(AND(AT291&lt;&gt;0,(AX291+BA291)&gt;=MAXSSDIBY),SSDIBY*MAXSSDIBY*P291,IF(AT291&lt;&gt;0,SSDIBY*W291,0))</f>
        <v>0</v>
      </c>
      <c r="BQ291" s="462">
        <f>IF(AT291&lt;&gt;0,SSHIBY*W291,0)</f>
        <v>0</v>
      </c>
      <c r="BR291" s="462">
        <f>IF(AND(AT291&lt;&gt;0,AN291&lt;&gt;"NE"),VLOOKUP(AN291,Retirement_Rates,4,FALSE)*W291,0)</f>
        <v>0</v>
      </c>
      <c r="BS291" s="462">
        <f>IF(AND(AT291&lt;&gt;0,AJ291&lt;&gt;"PF"),LifeBY*W291,0)</f>
        <v>0</v>
      </c>
      <c r="BT291" s="462">
        <f>IF(AND(AT291&lt;&gt;0,AM291="Y"),UIBY*W291,0)</f>
        <v>0</v>
      </c>
      <c r="BU291" s="462">
        <f>IF(AND(AT291&lt;&gt;0,N291&lt;&gt;"NR"),DHRBY*W291,0)</f>
        <v>0</v>
      </c>
      <c r="BV291" s="462">
        <f>IF(AT291&lt;&gt;0,WCBY*W291,0)</f>
        <v>0</v>
      </c>
      <c r="BW291" s="462">
        <f>IF(OR(AND(AT291&lt;&gt;0,AJ291&lt;&gt;"PF",AN291&lt;&gt;"NE",AG291&lt;&gt;"A"),AND(AL291="E",OR(AT291=1,AT291=3))),SickBY*W291,0)</f>
        <v>0</v>
      </c>
      <c r="BX291" s="462">
        <f t="shared" si="75"/>
        <v>0</v>
      </c>
      <c r="BY291" s="462">
        <f t="shared" si="76"/>
        <v>0</v>
      </c>
      <c r="BZ291" s="462">
        <f t="shared" si="77"/>
        <v>0</v>
      </c>
      <c r="CA291" s="462">
        <f t="shared" si="78"/>
        <v>0</v>
      </c>
      <c r="CB291" s="462">
        <f t="shared" si="79"/>
        <v>0</v>
      </c>
      <c r="CC291" s="462">
        <f>IF(AT291&lt;&gt;0,SSHICHG*Y291,0)</f>
        <v>0</v>
      </c>
      <c r="CD291" s="462">
        <f>IF(AND(AT291&lt;&gt;0,AN291&lt;&gt;"NE"),VLOOKUP(AN291,Retirement_Rates,5,FALSE)*Y291,0)</f>
        <v>0</v>
      </c>
      <c r="CE291" s="462">
        <f>IF(AND(AT291&lt;&gt;0,AJ291&lt;&gt;"PF"),LifeCHG*Y291,0)</f>
        <v>0</v>
      </c>
      <c r="CF291" s="462">
        <f>IF(AND(AT291&lt;&gt;0,AM291="Y"),UICHG*Y291,0)</f>
        <v>0</v>
      </c>
      <c r="CG291" s="462">
        <f>IF(AND(AT291&lt;&gt;0,N291&lt;&gt;"NR"),DHRCHG*Y291,0)</f>
        <v>0</v>
      </c>
      <c r="CH291" s="462">
        <f>IF(AT291&lt;&gt;0,WCCHG*Y291,0)</f>
        <v>0</v>
      </c>
      <c r="CI291" s="462">
        <f>IF(OR(AND(AT291&lt;&gt;0,AJ291&lt;&gt;"PF",AN291&lt;&gt;"NE",AG291&lt;&gt;"A"),AND(AL291="E",OR(AT291=1,AT291=3))),SickCHG*Y291,0)</f>
        <v>0</v>
      </c>
      <c r="CJ291" s="462">
        <f t="shared" si="80"/>
        <v>0</v>
      </c>
      <c r="CK291" s="462" t="str">
        <f t="shared" si="81"/>
        <v/>
      </c>
      <c r="CL291" s="462">
        <f t="shared" si="82"/>
        <v>0</v>
      </c>
      <c r="CM291" s="462">
        <f t="shared" si="83"/>
        <v>0</v>
      </c>
      <c r="CN291" s="462" t="str">
        <f t="shared" si="84"/>
        <v>0250-02</v>
      </c>
    </row>
    <row r="292" spans="1:92" ht="15" thickBot="1" x14ac:dyDescent="0.35">
      <c r="A292" s="376" t="s">
        <v>161</v>
      </c>
      <c r="B292" s="376" t="s">
        <v>162</v>
      </c>
      <c r="C292" s="376" t="s">
        <v>958</v>
      </c>
      <c r="D292" s="376" t="s">
        <v>221</v>
      </c>
      <c r="E292" s="376" t="s">
        <v>421</v>
      </c>
      <c r="F292" s="382" t="s">
        <v>384</v>
      </c>
      <c r="G292" s="376" t="s">
        <v>951</v>
      </c>
      <c r="H292" s="378"/>
      <c r="I292" s="378"/>
      <c r="J292" s="376" t="s">
        <v>168</v>
      </c>
      <c r="K292" s="376" t="s">
        <v>222</v>
      </c>
      <c r="L292" s="376" t="s">
        <v>166</v>
      </c>
      <c r="M292" s="376" t="s">
        <v>225</v>
      </c>
      <c r="N292" s="376" t="s">
        <v>223</v>
      </c>
      <c r="O292" s="379">
        <v>0</v>
      </c>
      <c r="P292" s="460">
        <v>1</v>
      </c>
      <c r="Q292" s="460">
        <v>0</v>
      </c>
      <c r="R292" s="380">
        <v>0</v>
      </c>
      <c r="S292" s="460">
        <v>0</v>
      </c>
      <c r="T292" s="380">
        <v>0</v>
      </c>
      <c r="U292" s="380">
        <v>0</v>
      </c>
      <c r="V292" s="380">
        <v>0</v>
      </c>
      <c r="W292" s="380">
        <v>0</v>
      </c>
      <c r="X292" s="380">
        <v>0</v>
      </c>
      <c r="Y292" s="380">
        <v>0</v>
      </c>
      <c r="Z292" s="380">
        <v>0</v>
      </c>
      <c r="AA292" s="378"/>
      <c r="AB292" s="376" t="s">
        <v>45</v>
      </c>
      <c r="AC292" s="376" t="s">
        <v>45</v>
      </c>
      <c r="AD292" s="378"/>
      <c r="AE292" s="378"/>
      <c r="AF292" s="378"/>
      <c r="AG292" s="378"/>
      <c r="AH292" s="379">
        <v>0</v>
      </c>
      <c r="AI292" s="379">
        <v>0</v>
      </c>
      <c r="AJ292" s="378"/>
      <c r="AK292" s="378"/>
      <c r="AL292" s="376" t="s">
        <v>181</v>
      </c>
      <c r="AM292" s="378"/>
      <c r="AN292" s="378"/>
      <c r="AO292" s="379">
        <v>0</v>
      </c>
      <c r="AP292" s="460">
        <v>0</v>
      </c>
      <c r="AQ292" s="460">
        <v>0</v>
      </c>
      <c r="AR292" s="459"/>
      <c r="AS292" s="462">
        <f t="shared" si="68"/>
        <v>0</v>
      </c>
      <c r="AT292">
        <f t="shared" si="69"/>
        <v>0</v>
      </c>
      <c r="AU292" s="462" t="str">
        <f>IF(AT292=0,"",IF(AND(AT292=1,M292="F",SUMIF(C2:C391,C292,AS2:AS391)&lt;=1),SUMIF(C2:C391,C292,AS2:AS391),IF(AND(AT292=1,M292="F",SUMIF(C2:C391,C292,AS2:AS391)&gt;1),1,"")))</f>
        <v/>
      </c>
      <c r="AV292" s="462" t="str">
        <f>IF(AT292=0,"",IF(AND(AT292=3,M292="F",SUMIF(C2:C391,C292,AS2:AS391)&lt;=1),SUMIF(C2:C391,C292,AS2:AS391),IF(AND(AT292=3,M292="F",SUMIF(C2:C391,C292,AS2:AS391)&gt;1),1,"")))</f>
        <v/>
      </c>
      <c r="AW292" s="462">
        <f>SUMIF(C2:C391,C292,O2:O391)</f>
        <v>0</v>
      </c>
      <c r="AX292" s="462">
        <f>IF(AND(M292="F",AS292&lt;&gt;0),SUMIF(C2:C391,C292,W2:W391),0)</f>
        <v>0</v>
      </c>
      <c r="AY292" s="462" t="str">
        <f t="shared" si="70"/>
        <v/>
      </c>
      <c r="AZ292" s="462" t="str">
        <f t="shared" si="71"/>
        <v/>
      </c>
      <c r="BA292" s="462">
        <f t="shared" si="72"/>
        <v>0</v>
      </c>
      <c r="BB292" s="462">
        <f>IF(AND(AT292=1,AK292="E",AU292&gt;=0.75,AW292=1),Health,IF(AND(AT292=1,AK292="E",AU292&gt;=0.75),Health*P292,IF(AND(AT292=1,AK292="E",AU292&gt;=0.5,AW292=1),PTHealth,IF(AND(AT292=1,AK292="E",AU292&gt;=0.5),PTHealth*P292,0))))</f>
        <v>0</v>
      </c>
      <c r="BC292" s="462">
        <f>IF(AND(AT292=3,AK292="E",AV292&gt;=0.75,AW292=1),Health,IF(AND(AT292=3,AK292="E",AV292&gt;=0.75),Health*P292,IF(AND(AT292=3,AK292="E",AV292&gt;=0.5,AW292=1),PTHealth,IF(AND(AT292=3,AK292="E",AV292&gt;=0.5),PTHealth*P292,0))))</f>
        <v>0</v>
      </c>
      <c r="BD292" s="462">
        <f>IF(AND(AT292&lt;&gt;0,AX292&gt;=MAXSSDI),SSDI*MAXSSDI*P292,IF(AT292&lt;&gt;0,SSDI*W292,0))</f>
        <v>0</v>
      </c>
      <c r="BE292" s="462">
        <f>IF(AT292&lt;&gt;0,SSHI*W292,0)</f>
        <v>0</v>
      </c>
      <c r="BF292" s="462">
        <f>IF(AND(AT292&lt;&gt;0,AN292&lt;&gt;"NE"),VLOOKUP(AN292,Retirement_Rates,3,FALSE)*W292,0)</f>
        <v>0</v>
      </c>
      <c r="BG292" s="462">
        <f>IF(AND(AT292&lt;&gt;0,AJ292&lt;&gt;"PF"),Life*W292,0)</f>
        <v>0</v>
      </c>
      <c r="BH292" s="462">
        <f>IF(AND(AT292&lt;&gt;0,AM292="Y"),UI*W292,0)</f>
        <v>0</v>
      </c>
      <c r="BI292" s="462">
        <f>IF(AND(AT292&lt;&gt;0,N292&lt;&gt;"NR"),DHR*W292,0)</f>
        <v>0</v>
      </c>
      <c r="BJ292" s="462">
        <f>IF(AT292&lt;&gt;0,WC*W292,0)</f>
        <v>0</v>
      </c>
      <c r="BK292" s="462">
        <f>IF(OR(AND(AT292&lt;&gt;0,AJ292&lt;&gt;"PF",AN292&lt;&gt;"NE",AG292&lt;&gt;"A"),AND(AL292="E",OR(AT292=1,AT292=3))),Sick*W292,0)</f>
        <v>0</v>
      </c>
      <c r="BL292" s="462">
        <f t="shared" si="73"/>
        <v>0</v>
      </c>
      <c r="BM292" s="462">
        <f t="shared" si="74"/>
        <v>0</v>
      </c>
      <c r="BN292" s="462">
        <f>IF(AND(AT292=1,AK292="E",AU292&gt;=0.75,AW292=1),HealthBY,IF(AND(AT292=1,AK292="E",AU292&gt;=0.75),HealthBY*P292,IF(AND(AT292=1,AK292="E",AU292&gt;=0.5,AW292=1),PTHealthBY,IF(AND(AT292=1,AK292="E",AU292&gt;=0.5),PTHealthBY*P292,0))))</f>
        <v>0</v>
      </c>
      <c r="BO292" s="462">
        <f>IF(AND(AT292=3,AK292="E",AV292&gt;=0.75,AW292=1),HealthBY,IF(AND(AT292=3,AK292="E",AV292&gt;=0.75),HealthBY*P292,IF(AND(AT292=3,AK292="E",AV292&gt;=0.5,AW292=1),PTHealthBY,IF(AND(AT292=3,AK292="E",AV292&gt;=0.5),PTHealthBY*P292,0))))</f>
        <v>0</v>
      </c>
      <c r="BP292" s="462">
        <f>IF(AND(AT292&lt;&gt;0,(AX292+BA292)&gt;=MAXSSDIBY),SSDIBY*MAXSSDIBY*P292,IF(AT292&lt;&gt;0,SSDIBY*W292,0))</f>
        <v>0</v>
      </c>
      <c r="BQ292" s="462">
        <f>IF(AT292&lt;&gt;0,SSHIBY*W292,0)</f>
        <v>0</v>
      </c>
      <c r="BR292" s="462">
        <f>IF(AND(AT292&lt;&gt;0,AN292&lt;&gt;"NE"),VLOOKUP(AN292,Retirement_Rates,4,FALSE)*W292,0)</f>
        <v>0</v>
      </c>
      <c r="BS292" s="462">
        <f>IF(AND(AT292&lt;&gt;0,AJ292&lt;&gt;"PF"),LifeBY*W292,0)</f>
        <v>0</v>
      </c>
      <c r="BT292" s="462">
        <f>IF(AND(AT292&lt;&gt;0,AM292="Y"),UIBY*W292,0)</f>
        <v>0</v>
      </c>
      <c r="BU292" s="462">
        <f>IF(AND(AT292&lt;&gt;0,N292&lt;&gt;"NR"),DHRBY*W292,0)</f>
        <v>0</v>
      </c>
      <c r="BV292" s="462">
        <f>IF(AT292&lt;&gt;0,WCBY*W292,0)</f>
        <v>0</v>
      </c>
      <c r="BW292" s="462">
        <f>IF(OR(AND(AT292&lt;&gt;0,AJ292&lt;&gt;"PF",AN292&lt;&gt;"NE",AG292&lt;&gt;"A"),AND(AL292="E",OR(AT292=1,AT292=3))),SickBY*W292,0)</f>
        <v>0</v>
      </c>
      <c r="BX292" s="462">
        <f t="shared" si="75"/>
        <v>0</v>
      </c>
      <c r="BY292" s="462">
        <f t="shared" si="76"/>
        <v>0</v>
      </c>
      <c r="BZ292" s="462">
        <f t="shared" si="77"/>
        <v>0</v>
      </c>
      <c r="CA292" s="462">
        <f t="shared" si="78"/>
        <v>0</v>
      </c>
      <c r="CB292" s="462">
        <f t="shared" si="79"/>
        <v>0</v>
      </c>
      <c r="CC292" s="462">
        <f>IF(AT292&lt;&gt;0,SSHICHG*Y292,0)</f>
        <v>0</v>
      </c>
      <c r="CD292" s="462">
        <f>IF(AND(AT292&lt;&gt;0,AN292&lt;&gt;"NE"),VLOOKUP(AN292,Retirement_Rates,5,FALSE)*Y292,0)</f>
        <v>0</v>
      </c>
      <c r="CE292" s="462">
        <f>IF(AND(AT292&lt;&gt;0,AJ292&lt;&gt;"PF"),LifeCHG*Y292,0)</f>
        <v>0</v>
      </c>
      <c r="CF292" s="462">
        <f>IF(AND(AT292&lt;&gt;0,AM292="Y"),UICHG*Y292,0)</f>
        <v>0</v>
      </c>
      <c r="CG292" s="462">
        <f>IF(AND(AT292&lt;&gt;0,N292&lt;&gt;"NR"),DHRCHG*Y292,0)</f>
        <v>0</v>
      </c>
      <c r="CH292" s="462">
        <f>IF(AT292&lt;&gt;0,WCCHG*Y292,0)</f>
        <v>0</v>
      </c>
      <c r="CI292" s="462">
        <f>IF(OR(AND(AT292&lt;&gt;0,AJ292&lt;&gt;"PF",AN292&lt;&gt;"NE",AG292&lt;&gt;"A"),AND(AL292="E",OR(AT292=1,AT292=3))),SickCHG*Y292,0)</f>
        <v>0</v>
      </c>
      <c r="CJ292" s="462">
        <f t="shared" si="80"/>
        <v>0</v>
      </c>
      <c r="CK292" s="462" t="str">
        <f t="shared" si="81"/>
        <v/>
      </c>
      <c r="CL292" s="462">
        <f t="shared" si="82"/>
        <v>0</v>
      </c>
      <c r="CM292" s="462">
        <f t="shared" si="83"/>
        <v>0</v>
      </c>
      <c r="CN292" s="462" t="str">
        <f t="shared" si="84"/>
        <v>0250-02</v>
      </c>
    </row>
    <row r="293" spans="1:92" ht="15" thickBot="1" x14ac:dyDescent="0.35">
      <c r="A293" s="376" t="s">
        <v>161</v>
      </c>
      <c r="B293" s="376" t="s">
        <v>162</v>
      </c>
      <c r="C293" s="376" t="s">
        <v>719</v>
      </c>
      <c r="D293" s="376" t="s">
        <v>221</v>
      </c>
      <c r="E293" s="376" t="s">
        <v>421</v>
      </c>
      <c r="F293" s="382" t="s">
        <v>384</v>
      </c>
      <c r="G293" s="376" t="s">
        <v>951</v>
      </c>
      <c r="H293" s="378"/>
      <c r="I293" s="378"/>
      <c r="J293" s="376" t="s">
        <v>168</v>
      </c>
      <c r="K293" s="376" t="s">
        <v>222</v>
      </c>
      <c r="L293" s="376" t="s">
        <v>166</v>
      </c>
      <c r="M293" s="376" t="s">
        <v>171</v>
      </c>
      <c r="N293" s="376" t="s">
        <v>223</v>
      </c>
      <c r="O293" s="379">
        <v>0</v>
      </c>
      <c r="P293" s="460">
        <v>0</v>
      </c>
      <c r="Q293" s="460">
        <v>0</v>
      </c>
      <c r="R293" s="380">
        <v>0</v>
      </c>
      <c r="S293" s="460">
        <v>0</v>
      </c>
      <c r="T293" s="380">
        <v>4092</v>
      </c>
      <c r="U293" s="380">
        <v>264</v>
      </c>
      <c r="V293" s="380">
        <v>612.12</v>
      </c>
      <c r="W293" s="380">
        <v>0</v>
      </c>
      <c r="X293" s="380">
        <v>0</v>
      </c>
      <c r="Y293" s="380">
        <v>0</v>
      </c>
      <c r="Z293" s="380">
        <v>0</v>
      </c>
      <c r="AA293" s="378"/>
      <c r="AB293" s="376" t="s">
        <v>45</v>
      </c>
      <c r="AC293" s="376" t="s">
        <v>45</v>
      </c>
      <c r="AD293" s="378"/>
      <c r="AE293" s="378"/>
      <c r="AF293" s="378"/>
      <c r="AG293" s="378"/>
      <c r="AH293" s="379">
        <v>0</v>
      </c>
      <c r="AI293" s="379">
        <v>0</v>
      </c>
      <c r="AJ293" s="378"/>
      <c r="AK293" s="378"/>
      <c r="AL293" s="376" t="s">
        <v>181</v>
      </c>
      <c r="AM293" s="378"/>
      <c r="AN293" s="378"/>
      <c r="AO293" s="379">
        <v>0</v>
      </c>
      <c r="AP293" s="460">
        <v>0</v>
      </c>
      <c r="AQ293" s="460">
        <v>0</v>
      </c>
      <c r="AR293" s="459"/>
      <c r="AS293" s="462">
        <f t="shared" si="68"/>
        <v>0</v>
      </c>
      <c r="AT293">
        <f t="shared" si="69"/>
        <v>0</v>
      </c>
      <c r="AU293" s="462" t="str">
        <f>IF(AT293=0,"",IF(AND(AT293=1,M293="F",SUMIF(C2:C391,C293,AS2:AS391)&lt;=1),SUMIF(C2:C391,C293,AS2:AS391),IF(AND(AT293=1,M293="F",SUMIF(C2:C391,C293,AS2:AS391)&gt;1),1,"")))</f>
        <v/>
      </c>
      <c r="AV293" s="462" t="str">
        <f>IF(AT293=0,"",IF(AND(AT293=3,M293="F",SUMIF(C2:C391,C293,AS2:AS391)&lt;=1),SUMIF(C2:C391,C293,AS2:AS391),IF(AND(AT293=3,M293="F",SUMIF(C2:C391,C293,AS2:AS391)&gt;1),1,"")))</f>
        <v/>
      </c>
      <c r="AW293" s="462">
        <f>SUMIF(C2:C391,C293,O2:O391)</f>
        <v>0</v>
      </c>
      <c r="AX293" s="462">
        <f>IF(AND(M293="F",AS293&lt;&gt;0),SUMIF(C2:C391,C293,W2:W391),0)</f>
        <v>0</v>
      </c>
      <c r="AY293" s="462" t="str">
        <f t="shared" si="70"/>
        <v/>
      </c>
      <c r="AZ293" s="462" t="str">
        <f t="shared" si="71"/>
        <v/>
      </c>
      <c r="BA293" s="462">
        <f t="shared" si="72"/>
        <v>0</v>
      </c>
      <c r="BB293" s="462">
        <f>IF(AND(AT293=1,AK293="E",AU293&gt;=0.75,AW293=1),Health,IF(AND(AT293=1,AK293="E",AU293&gt;=0.75),Health*P293,IF(AND(AT293=1,AK293="E",AU293&gt;=0.5,AW293=1),PTHealth,IF(AND(AT293=1,AK293="E",AU293&gt;=0.5),PTHealth*P293,0))))</f>
        <v>0</v>
      </c>
      <c r="BC293" s="462">
        <f>IF(AND(AT293=3,AK293="E",AV293&gt;=0.75,AW293=1),Health,IF(AND(AT293=3,AK293="E",AV293&gt;=0.75),Health*P293,IF(AND(AT293=3,AK293="E",AV293&gt;=0.5,AW293=1),PTHealth,IF(AND(AT293=3,AK293="E",AV293&gt;=0.5),PTHealth*P293,0))))</f>
        <v>0</v>
      </c>
      <c r="BD293" s="462">
        <f>IF(AND(AT293&lt;&gt;0,AX293&gt;=MAXSSDI),SSDI*MAXSSDI*P293,IF(AT293&lt;&gt;0,SSDI*W293,0))</f>
        <v>0</v>
      </c>
      <c r="BE293" s="462">
        <f>IF(AT293&lt;&gt;0,SSHI*W293,0)</f>
        <v>0</v>
      </c>
      <c r="BF293" s="462">
        <f>IF(AND(AT293&lt;&gt;0,AN293&lt;&gt;"NE"),VLOOKUP(AN293,Retirement_Rates,3,FALSE)*W293,0)</f>
        <v>0</v>
      </c>
      <c r="BG293" s="462">
        <f>IF(AND(AT293&lt;&gt;0,AJ293&lt;&gt;"PF"),Life*W293,0)</f>
        <v>0</v>
      </c>
      <c r="BH293" s="462">
        <f>IF(AND(AT293&lt;&gt;0,AM293="Y"),UI*W293,0)</f>
        <v>0</v>
      </c>
      <c r="BI293" s="462">
        <f>IF(AND(AT293&lt;&gt;0,N293&lt;&gt;"NR"),DHR*W293,0)</f>
        <v>0</v>
      </c>
      <c r="BJ293" s="462">
        <f>IF(AT293&lt;&gt;0,WC*W293,0)</f>
        <v>0</v>
      </c>
      <c r="BK293" s="462">
        <f>IF(OR(AND(AT293&lt;&gt;0,AJ293&lt;&gt;"PF",AN293&lt;&gt;"NE",AG293&lt;&gt;"A"),AND(AL293="E",OR(AT293=1,AT293=3))),Sick*W293,0)</f>
        <v>0</v>
      </c>
      <c r="BL293" s="462">
        <f t="shared" si="73"/>
        <v>0</v>
      </c>
      <c r="BM293" s="462">
        <f t="shared" si="74"/>
        <v>0</v>
      </c>
      <c r="BN293" s="462">
        <f>IF(AND(AT293=1,AK293="E",AU293&gt;=0.75,AW293=1),HealthBY,IF(AND(AT293=1,AK293="E",AU293&gt;=0.75),HealthBY*P293,IF(AND(AT293=1,AK293="E",AU293&gt;=0.5,AW293=1),PTHealthBY,IF(AND(AT293=1,AK293="E",AU293&gt;=0.5),PTHealthBY*P293,0))))</f>
        <v>0</v>
      </c>
      <c r="BO293" s="462">
        <f>IF(AND(AT293=3,AK293="E",AV293&gt;=0.75,AW293=1),HealthBY,IF(AND(AT293=3,AK293="E",AV293&gt;=0.75),HealthBY*P293,IF(AND(AT293=3,AK293="E",AV293&gt;=0.5,AW293=1),PTHealthBY,IF(AND(AT293=3,AK293="E",AV293&gt;=0.5),PTHealthBY*P293,0))))</f>
        <v>0</v>
      </c>
      <c r="BP293" s="462">
        <f>IF(AND(AT293&lt;&gt;0,(AX293+BA293)&gt;=MAXSSDIBY),SSDIBY*MAXSSDIBY*P293,IF(AT293&lt;&gt;0,SSDIBY*W293,0))</f>
        <v>0</v>
      </c>
      <c r="BQ293" s="462">
        <f>IF(AT293&lt;&gt;0,SSHIBY*W293,0)</f>
        <v>0</v>
      </c>
      <c r="BR293" s="462">
        <f>IF(AND(AT293&lt;&gt;0,AN293&lt;&gt;"NE"),VLOOKUP(AN293,Retirement_Rates,4,FALSE)*W293,0)</f>
        <v>0</v>
      </c>
      <c r="BS293" s="462">
        <f>IF(AND(AT293&lt;&gt;0,AJ293&lt;&gt;"PF"),LifeBY*W293,0)</f>
        <v>0</v>
      </c>
      <c r="BT293" s="462">
        <f>IF(AND(AT293&lt;&gt;0,AM293="Y"),UIBY*W293,0)</f>
        <v>0</v>
      </c>
      <c r="BU293" s="462">
        <f>IF(AND(AT293&lt;&gt;0,N293&lt;&gt;"NR"),DHRBY*W293,0)</f>
        <v>0</v>
      </c>
      <c r="BV293" s="462">
        <f>IF(AT293&lt;&gt;0,WCBY*W293,0)</f>
        <v>0</v>
      </c>
      <c r="BW293" s="462">
        <f>IF(OR(AND(AT293&lt;&gt;0,AJ293&lt;&gt;"PF",AN293&lt;&gt;"NE",AG293&lt;&gt;"A"),AND(AL293="E",OR(AT293=1,AT293=3))),SickBY*W293,0)</f>
        <v>0</v>
      </c>
      <c r="BX293" s="462">
        <f t="shared" si="75"/>
        <v>0</v>
      </c>
      <c r="BY293" s="462">
        <f t="shared" si="76"/>
        <v>0</v>
      </c>
      <c r="BZ293" s="462">
        <f t="shared" si="77"/>
        <v>0</v>
      </c>
      <c r="CA293" s="462">
        <f t="shared" si="78"/>
        <v>0</v>
      </c>
      <c r="CB293" s="462">
        <f t="shared" si="79"/>
        <v>0</v>
      </c>
      <c r="CC293" s="462">
        <f>IF(AT293&lt;&gt;0,SSHICHG*Y293,0)</f>
        <v>0</v>
      </c>
      <c r="CD293" s="462">
        <f>IF(AND(AT293&lt;&gt;0,AN293&lt;&gt;"NE"),VLOOKUP(AN293,Retirement_Rates,5,FALSE)*Y293,0)</f>
        <v>0</v>
      </c>
      <c r="CE293" s="462">
        <f>IF(AND(AT293&lt;&gt;0,AJ293&lt;&gt;"PF"),LifeCHG*Y293,0)</f>
        <v>0</v>
      </c>
      <c r="CF293" s="462">
        <f>IF(AND(AT293&lt;&gt;0,AM293="Y"),UICHG*Y293,0)</f>
        <v>0</v>
      </c>
      <c r="CG293" s="462">
        <f>IF(AND(AT293&lt;&gt;0,N293&lt;&gt;"NR"),DHRCHG*Y293,0)</f>
        <v>0</v>
      </c>
      <c r="CH293" s="462">
        <f>IF(AT293&lt;&gt;0,WCCHG*Y293,0)</f>
        <v>0</v>
      </c>
      <c r="CI293" s="462">
        <f>IF(OR(AND(AT293&lt;&gt;0,AJ293&lt;&gt;"PF",AN293&lt;&gt;"NE",AG293&lt;&gt;"A"),AND(AL293="E",OR(AT293=1,AT293=3))),SickCHG*Y293,0)</f>
        <v>0</v>
      </c>
      <c r="CJ293" s="462">
        <f t="shared" si="80"/>
        <v>0</v>
      </c>
      <c r="CK293" s="462" t="str">
        <f t="shared" si="81"/>
        <v/>
      </c>
      <c r="CL293" s="462">
        <f t="shared" si="82"/>
        <v>4356</v>
      </c>
      <c r="CM293" s="462">
        <f t="shared" si="83"/>
        <v>612.12</v>
      </c>
      <c r="CN293" s="462" t="str">
        <f t="shared" si="84"/>
        <v>0250-02</v>
      </c>
    </row>
    <row r="294" spans="1:92" ht="15" thickBot="1" x14ac:dyDescent="0.35">
      <c r="A294" s="376" t="s">
        <v>161</v>
      </c>
      <c r="B294" s="376" t="s">
        <v>162</v>
      </c>
      <c r="C294" s="376" t="s">
        <v>959</v>
      </c>
      <c r="D294" s="376" t="s">
        <v>221</v>
      </c>
      <c r="E294" s="376" t="s">
        <v>421</v>
      </c>
      <c r="F294" s="382" t="s">
        <v>384</v>
      </c>
      <c r="G294" s="376" t="s">
        <v>951</v>
      </c>
      <c r="H294" s="378"/>
      <c r="I294" s="378"/>
      <c r="J294" s="376" t="s">
        <v>168</v>
      </c>
      <c r="K294" s="376" t="s">
        <v>222</v>
      </c>
      <c r="L294" s="376" t="s">
        <v>166</v>
      </c>
      <c r="M294" s="376" t="s">
        <v>225</v>
      </c>
      <c r="N294" s="376" t="s">
        <v>223</v>
      </c>
      <c r="O294" s="379">
        <v>0</v>
      </c>
      <c r="P294" s="460">
        <v>1</v>
      </c>
      <c r="Q294" s="460">
        <v>0</v>
      </c>
      <c r="R294" s="380">
        <v>0</v>
      </c>
      <c r="S294" s="460">
        <v>0</v>
      </c>
      <c r="T294" s="380">
        <v>0</v>
      </c>
      <c r="U294" s="380">
        <v>0</v>
      </c>
      <c r="V294" s="380">
        <v>0</v>
      </c>
      <c r="W294" s="380">
        <v>0</v>
      </c>
      <c r="X294" s="380">
        <v>0</v>
      </c>
      <c r="Y294" s="380">
        <v>0</v>
      </c>
      <c r="Z294" s="380">
        <v>0</v>
      </c>
      <c r="AA294" s="378"/>
      <c r="AB294" s="376" t="s">
        <v>45</v>
      </c>
      <c r="AC294" s="376" t="s">
        <v>45</v>
      </c>
      <c r="AD294" s="378"/>
      <c r="AE294" s="378"/>
      <c r="AF294" s="378"/>
      <c r="AG294" s="378"/>
      <c r="AH294" s="379">
        <v>0</v>
      </c>
      <c r="AI294" s="379">
        <v>0</v>
      </c>
      <c r="AJ294" s="378"/>
      <c r="AK294" s="378"/>
      <c r="AL294" s="376" t="s">
        <v>181</v>
      </c>
      <c r="AM294" s="378"/>
      <c r="AN294" s="378"/>
      <c r="AO294" s="379">
        <v>0</v>
      </c>
      <c r="AP294" s="460">
        <v>0</v>
      </c>
      <c r="AQ294" s="460">
        <v>0</v>
      </c>
      <c r="AR294" s="459"/>
      <c r="AS294" s="462">
        <f t="shared" si="68"/>
        <v>0</v>
      </c>
      <c r="AT294">
        <f t="shared" si="69"/>
        <v>0</v>
      </c>
      <c r="AU294" s="462" t="str">
        <f>IF(AT294=0,"",IF(AND(AT294=1,M294="F",SUMIF(C2:C391,C294,AS2:AS391)&lt;=1),SUMIF(C2:C391,C294,AS2:AS391),IF(AND(AT294=1,M294="F",SUMIF(C2:C391,C294,AS2:AS391)&gt;1),1,"")))</f>
        <v/>
      </c>
      <c r="AV294" s="462" t="str">
        <f>IF(AT294=0,"",IF(AND(AT294=3,M294="F",SUMIF(C2:C391,C294,AS2:AS391)&lt;=1),SUMIF(C2:C391,C294,AS2:AS391),IF(AND(AT294=3,M294="F",SUMIF(C2:C391,C294,AS2:AS391)&gt;1),1,"")))</f>
        <v/>
      </c>
      <c r="AW294" s="462">
        <f>SUMIF(C2:C391,C294,O2:O391)</f>
        <v>0</v>
      </c>
      <c r="AX294" s="462">
        <f>IF(AND(M294="F",AS294&lt;&gt;0),SUMIF(C2:C391,C294,W2:W391),0)</f>
        <v>0</v>
      </c>
      <c r="AY294" s="462" t="str">
        <f t="shared" si="70"/>
        <v/>
      </c>
      <c r="AZ294" s="462" t="str">
        <f t="shared" si="71"/>
        <v/>
      </c>
      <c r="BA294" s="462">
        <f t="shared" si="72"/>
        <v>0</v>
      </c>
      <c r="BB294" s="462">
        <f>IF(AND(AT294=1,AK294="E",AU294&gt;=0.75,AW294=1),Health,IF(AND(AT294=1,AK294="E",AU294&gt;=0.75),Health*P294,IF(AND(AT294=1,AK294="E",AU294&gt;=0.5,AW294=1),PTHealth,IF(AND(AT294=1,AK294="E",AU294&gt;=0.5),PTHealth*P294,0))))</f>
        <v>0</v>
      </c>
      <c r="BC294" s="462">
        <f>IF(AND(AT294=3,AK294="E",AV294&gt;=0.75,AW294=1),Health,IF(AND(AT294=3,AK294="E",AV294&gt;=0.75),Health*P294,IF(AND(AT294=3,AK294="E",AV294&gt;=0.5,AW294=1),PTHealth,IF(AND(AT294=3,AK294="E",AV294&gt;=0.5),PTHealth*P294,0))))</f>
        <v>0</v>
      </c>
      <c r="BD294" s="462">
        <f>IF(AND(AT294&lt;&gt;0,AX294&gt;=MAXSSDI),SSDI*MAXSSDI*P294,IF(AT294&lt;&gt;0,SSDI*W294,0))</f>
        <v>0</v>
      </c>
      <c r="BE294" s="462">
        <f>IF(AT294&lt;&gt;0,SSHI*W294,0)</f>
        <v>0</v>
      </c>
      <c r="BF294" s="462">
        <f>IF(AND(AT294&lt;&gt;0,AN294&lt;&gt;"NE"),VLOOKUP(AN294,Retirement_Rates,3,FALSE)*W294,0)</f>
        <v>0</v>
      </c>
      <c r="BG294" s="462">
        <f>IF(AND(AT294&lt;&gt;0,AJ294&lt;&gt;"PF"),Life*W294,0)</f>
        <v>0</v>
      </c>
      <c r="BH294" s="462">
        <f>IF(AND(AT294&lt;&gt;0,AM294="Y"),UI*W294,0)</f>
        <v>0</v>
      </c>
      <c r="BI294" s="462">
        <f>IF(AND(AT294&lt;&gt;0,N294&lt;&gt;"NR"),DHR*W294,0)</f>
        <v>0</v>
      </c>
      <c r="BJ294" s="462">
        <f>IF(AT294&lt;&gt;0,WC*W294,0)</f>
        <v>0</v>
      </c>
      <c r="BK294" s="462">
        <f>IF(OR(AND(AT294&lt;&gt;0,AJ294&lt;&gt;"PF",AN294&lt;&gt;"NE",AG294&lt;&gt;"A"),AND(AL294="E",OR(AT294=1,AT294=3))),Sick*W294,0)</f>
        <v>0</v>
      </c>
      <c r="BL294" s="462">
        <f t="shared" si="73"/>
        <v>0</v>
      </c>
      <c r="BM294" s="462">
        <f t="shared" si="74"/>
        <v>0</v>
      </c>
      <c r="BN294" s="462">
        <f>IF(AND(AT294=1,AK294="E",AU294&gt;=0.75,AW294=1),HealthBY,IF(AND(AT294=1,AK294="E",AU294&gt;=0.75),HealthBY*P294,IF(AND(AT294=1,AK294="E",AU294&gt;=0.5,AW294=1),PTHealthBY,IF(AND(AT294=1,AK294="E",AU294&gt;=0.5),PTHealthBY*P294,0))))</f>
        <v>0</v>
      </c>
      <c r="BO294" s="462">
        <f>IF(AND(AT294=3,AK294="E",AV294&gt;=0.75,AW294=1),HealthBY,IF(AND(AT294=3,AK294="E",AV294&gt;=0.75),HealthBY*P294,IF(AND(AT294=3,AK294="E",AV294&gt;=0.5,AW294=1),PTHealthBY,IF(AND(AT294=3,AK294="E",AV294&gt;=0.5),PTHealthBY*P294,0))))</f>
        <v>0</v>
      </c>
      <c r="BP294" s="462">
        <f>IF(AND(AT294&lt;&gt;0,(AX294+BA294)&gt;=MAXSSDIBY),SSDIBY*MAXSSDIBY*P294,IF(AT294&lt;&gt;0,SSDIBY*W294,0))</f>
        <v>0</v>
      </c>
      <c r="BQ294" s="462">
        <f>IF(AT294&lt;&gt;0,SSHIBY*W294,0)</f>
        <v>0</v>
      </c>
      <c r="BR294" s="462">
        <f>IF(AND(AT294&lt;&gt;0,AN294&lt;&gt;"NE"),VLOOKUP(AN294,Retirement_Rates,4,FALSE)*W294,0)</f>
        <v>0</v>
      </c>
      <c r="BS294" s="462">
        <f>IF(AND(AT294&lt;&gt;0,AJ294&lt;&gt;"PF"),LifeBY*W294,0)</f>
        <v>0</v>
      </c>
      <c r="BT294" s="462">
        <f>IF(AND(AT294&lt;&gt;0,AM294="Y"),UIBY*W294,0)</f>
        <v>0</v>
      </c>
      <c r="BU294" s="462">
        <f>IF(AND(AT294&lt;&gt;0,N294&lt;&gt;"NR"),DHRBY*W294,0)</f>
        <v>0</v>
      </c>
      <c r="BV294" s="462">
        <f>IF(AT294&lt;&gt;0,WCBY*W294,0)</f>
        <v>0</v>
      </c>
      <c r="BW294" s="462">
        <f>IF(OR(AND(AT294&lt;&gt;0,AJ294&lt;&gt;"PF",AN294&lt;&gt;"NE",AG294&lt;&gt;"A"),AND(AL294="E",OR(AT294=1,AT294=3))),SickBY*W294,0)</f>
        <v>0</v>
      </c>
      <c r="BX294" s="462">
        <f t="shared" si="75"/>
        <v>0</v>
      </c>
      <c r="BY294" s="462">
        <f t="shared" si="76"/>
        <v>0</v>
      </c>
      <c r="BZ294" s="462">
        <f t="shared" si="77"/>
        <v>0</v>
      </c>
      <c r="CA294" s="462">
        <f t="shared" si="78"/>
        <v>0</v>
      </c>
      <c r="CB294" s="462">
        <f t="shared" si="79"/>
        <v>0</v>
      </c>
      <c r="CC294" s="462">
        <f>IF(AT294&lt;&gt;0,SSHICHG*Y294,0)</f>
        <v>0</v>
      </c>
      <c r="CD294" s="462">
        <f>IF(AND(AT294&lt;&gt;0,AN294&lt;&gt;"NE"),VLOOKUP(AN294,Retirement_Rates,5,FALSE)*Y294,0)</f>
        <v>0</v>
      </c>
      <c r="CE294" s="462">
        <f>IF(AND(AT294&lt;&gt;0,AJ294&lt;&gt;"PF"),LifeCHG*Y294,0)</f>
        <v>0</v>
      </c>
      <c r="CF294" s="462">
        <f>IF(AND(AT294&lt;&gt;0,AM294="Y"),UICHG*Y294,0)</f>
        <v>0</v>
      </c>
      <c r="CG294" s="462">
        <f>IF(AND(AT294&lt;&gt;0,N294&lt;&gt;"NR"),DHRCHG*Y294,0)</f>
        <v>0</v>
      </c>
      <c r="CH294" s="462">
        <f>IF(AT294&lt;&gt;0,WCCHG*Y294,0)</f>
        <v>0</v>
      </c>
      <c r="CI294" s="462">
        <f>IF(OR(AND(AT294&lt;&gt;0,AJ294&lt;&gt;"PF",AN294&lt;&gt;"NE",AG294&lt;&gt;"A"),AND(AL294="E",OR(AT294=1,AT294=3))),SickCHG*Y294,0)</f>
        <v>0</v>
      </c>
      <c r="CJ294" s="462">
        <f t="shared" si="80"/>
        <v>0</v>
      </c>
      <c r="CK294" s="462" t="str">
        <f t="shared" si="81"/>
        <v/>
      </c>
      <c r="CL294" s="462">
        <f t="shared" si="82"/>
        <v>0</v>
      </c>
      <c r="CM294" s="462">
        <f t="shared" si="83"/>
        <v>0</v>
      </c>
      <c r="CN294" s="462" t="str">
        <f t="shared" si="84"/>
        <v>0250-02</v>
      </c>
    </row>
    <row r="295" spans="1:92" ht="15" thickBot="1" x14ac:dyDescent="0.35">
      <c r="A295" s="376" t="s">
        <v>161</v>
      </c>
      <c r="B295" s="376" t="s">
        <v>162</v>
      </c>
      <c r="C295" s="376" t="s">
        <v>960</v>
      </c>
      <c r="D295" s="376" t="s">
        <v>901</v>
      </c>
      <c r="E295" s="376" t="s">
        <v>421</v>
      </c>
      <c r="F295" s="382" t="s">
        <v>902</v>
      </c>
      <c r="G295" s="376" t="s">
        <v>951</v>
      </c>
      <c r="H295" s="378"/>
      <c r="I295" s="378"/>
      <c r="J295" s="376" t="s">
        <v>193</v>
      </c>
      <c r="K295" s="376" t="s">
        <v>903</v>
      </c>
      <c r="L295" s="376" t="s">
        <v>240</v>
      </c>
      <c r="M295" s="376" t="s">
        <v>171</v>
      </c>
      <c r="N295" s="376" t="s">
        <v>172</v>
      </c>
      <c r="O295" s="379">
        <v>1</v>
      </c>
      <c r="P295" s="460">
        <v>0.3</v>
      </c>
      <c r="Q295" s="460">
        <v>0.3</v>
      </c>
      <c r="R295" s="380">
        <v>80</v>
      </c>
      <c r="S295" s="460">
        <v>0.3</v>
      </c>
      <c r="T295" s="380">
        <v>13773.65</v>
      </c>
      <c r="U295" s="380">
        <v>0</v>
      </c>
      <c r="V295" s="380">
        <v>6575.68</v>
      </c>
      <c r="W295" s="380">
        <v>14152.32</v>
      </c>
      <c r="X295" s="380">
        <v>6862.81</v>
      </c>
      <c r="Y295" s="380">
        <v>14152.32</v>
      </c>
      <c r="Z295" s="380">
        <v>6903.86</v>
      </c>
      <c r="AA295" s="376" t="s">
        <v>961</v>
      </c>
      <c r="AB295" s="376" t="s">
        <v>962</v>
      </c>
      <c r="AC295" s="376" t="s">
        <v>963</v>
      </c>
      <c r="AD295" s="376" t="s">
        <v>176</v>
      </c>
      <c r="AE295" s="376" t="s">
        <v>903</v>
      </c>
      <c r="AF295" s="376" t="s">
        <v>244</v>
      </c>
      <c r="AG295" s="376" t="s">
        <v>178</v>
      </c>
      <c r="AH295" s="381">
        <v>22.68</v>
      </c>
      <c r="AI295" s="381">
        <v>9954.2000000000007</v>
      </c>
      <c r="AJ295" s="376" t="s">
        <v>179</v>
      </c>
      <c r="AK295" s="376" t="s">
        <v>180</v>
      </c>
      <c r="AL295" s="376" t="s">
        <v>181</v>
      </c>
      <c r="AM295" s="376" t="s">
        <v>182</v>
      </c>
      <c r="AN295" s="376" t="s">
        <v>68</v>
      </c>
      <c r="AO295" s="379">
        <v>80</v>
      </c>
      <c r="AP295" s="460">
        <v>1</v>
      </c>
      <c r="AQ295" s="460">
        <v>0.3</v>
      </c>
      <c r="AR295" s="458" t="s">
        <v>183</v>
      </c>
      <c r="AS295" s="462">
        <f t="shared" si="68"/>
        <v>0.3</v>
      </c>
      <c r="AT295">
        <f t="shared" si="69"/>
        <v>1</v>
      </c>
      <c r="AU295" s="462">
        <f>IF(AT295=0,"",IF(AND(AT295=1,M295="F",SUMIF(C2:C391,C295,AS2:AS391)&lt;=1),SUMIF(C2:C391,C295,AS2:AS391),IF(AND(AT295=1,M295="F",SUMIF(C2:C391,C295,AS2:AS391)&gt;1),1,"")))</f>
        <v>1</v>
      </c>
      <c r="AV295" s="462" t="str">
        <f>IF(AT295=0,"",IF(AND(AT295=3,M295="F",SUMIF(C2:C391,C295,AS2:AS391)&lt;=1),SUMIF(C2:C391,C295,AS2:AS391),IF(AND(AT295=3,M295="F",SUMIF(C2:C391,C295,AS2:AS391)&gt;1),1,"")))</f>
        <v/>
      </c>
      <c r="AW295" s="462">
        <f>SUMIF(C2:C391,C295,O2:O391)</f>
        <v>2</v>
      </c>
      <c r="AX295" s="462">
        <f>IF(AND(M295="F",AS295&lt;&gt;0),SUMIF(C2:C391,C295,W2:W391),0)</f>
        <v>47174.400000000001</v>
      </c>
      <c r="AY295" s="462">
        <f t="shared" si="70"/>
        <v>14152.32</v>
      </c>
      <c r="AZ295" s="462" t="str">
        <f t="shared" si="71"/>
        <v/>
      </c>
      <c r="BA295" s="462">
        <f t="shared" si="72"/>
        <v>0</v>
      </c>
      <c r="BB295" s="462">
        <f>IF(AND(AT295=1,AK295="E",AU295&gt;=0.75,AW295=1),Health,IF(AND(AT295=1,AK295="E",AU295&gt;=0.75),Health*P295,IF(AND(AT295=1,AK295="E",AU295&gt;=0.5,AW295=1),PTHealth,IF(AND(AT295=1,AK295="E",AU295&gt;=0.5),PTHealth*P295,0))))</f>
        <v>3495</v>
      </c>
      <c r="BC295" s="462">
        <f>IF(AND(AT295=3,AK295="E",AV295&gt;=0.75,AW295=1),Health,IF(AND(AT295=3,AK295="E",AV295&gt;=0.75),Health*P295,IF(AND(AT295=3,AK295="E",AV295&gt;=0.5,AW295=1),PTHealth,IF(AND(AT295=3,AK295="E",AV295&gt;=0.5),PTHealth*P295,0))))</f>
        <v>0</v>
      </c>
      <c r="BD295" s="462">
        <f>IF(AND(AT295&lt;&gt;0,AX295&gt;=MAXSSDI),SSDI*MAXSSDI*P295,IF(AT295&lt;&gt;0,SSDI*W295,0))</f>
        <v>877.44384000000002</v>
      </c>
      <c r="BE295" s="462">
        <f>IF(AT295&lt;&gt;0,SSHI*W295,0)</f>
        <v>205.20864</v>
      </c>
      <c r="BF295" s="462">
        <f>IF(AND(AT295&lt;&gt;0,AN295&lt;&gt;"NE"),VLOOKUP(AN295,Retirement_Rates,3,FALSE)*W295,0)</f>
        <v>1689.787008</v>
      </c>
      <c r="BG295" s="462">
        <f>IF(AND(AT295&lt;&gt;0,AJ295&lt;&gt;"PF"),Life*W295,0)</f>
        <v>102.03822720000001</v>
      </c>
      <c r="BH295" s="462">
        <f>IF(AND(AT295&lt;&gt;0,AM295="Y"),UI*W295,0)</f>
        <v>69.346367999999998</v>
      </c>
      <c r="BI295" s="462">
        <f>IF(AND(AT295&lt;&gt;0,N295&lt;&gt;"NR"),DHR*W295,0)</f>
        <v>43.306099199999998</v>
      </c>
      <c r="BJ295" s="462">
        <f>IF(AT295&lt;&gt;0,WC*W295,0)</f>
        <v>380.697408</v>
      </c>
      <c r="BK295" s="462">
        <f>IF(OR(AND(AT295&lt;&gt;0,AJ295&lt;&gt;"PF",AN295&lt;&gt;"NE",AG295&lt;&gt;"A"),AND(AL295="E",OR(AT295=1,AT295=3))),Sick*W295,0)</f>
        <v>0</v>
      </c>
      <c r="BL295" s="462">
        <f t="shared" si="73"/>
        <v>3367.8275904000002</v>
      </c>
      <c r="BM295" s="462">
        <f t="shared" si="74"/>
        <v>0</v>
      </c>
      <c r="BN295" s="462">
        <f>IF(AND(AT295=1,AK295="E",AU295&gt;=0.75,AW295=1),HealthBY,IF(AND(AT295=1,AK295="E",AU295&gt;=0.75),HealthBY*P295,IF(AND(AT295=1,AK295="E",AU295&gt;=0.5,AW295=1),PTHealthBY,IF(AND(AT295=1,AK295="E",AU295&gt;=0.5),PTHealthBY*P295,0))))</f>
        <v>3495</v>
      </c>
      <c r="BO295" s="462">
        <f>IF(AND(AT295=3,AK295="E",AV295&gt;=0.75,AW295=1),HealthBY,IF(AND(AT295=3,AK295="E",AV295&gt;=0.75),HealthBY*P295,IF(AND(AT295=3,AK295="E",AV295&gt;=0.5,AW295=1),PTHealthBY,IF(AND(AT295=3,AK295="E",AV295&gt;=0.5),PTHealthBY*P295,0))))</f>
        <v>0</v>
      </c>
      <c r="BP295" s="462">
        <f>IF(AND(AT295&lt;&gt;0,(AX295+BA295)&gt;=MAXSSDIBY),SSDIBY*MAXSSDIBY*P295,IF(AT295&lt;&gt;0,SSDIBY*W295,0))</f>
        <v>877.44384000000002</v>
      </c>
      <c r="BQ295" s="462">
        <f>IF(AT295&lt;&gt;0,SSHIBY*W295,0)</f>
        <v>205.20864</v>
      </c>
      <c r="BR295" s="462">
        <f>IF(AND(AT295&lt;&gt;0,AN295&lt;&gt;"NE"),VLOOKUP(AN295,Retirement_Rates,4,FALSE)*W295,0)</f>
        <v>1689.787008</v>
      </c>
      <c r="BS295" s="462">
        <f>IF(AND(AT295&lt;&gt;0,AJ295&lt;&gt;"PF"),LifeBY*W295,0)</f>
        <v>102.03822720000001</v>
      </c>
      <c r="BT295" s="462">
        <f>IF(AND(AT295&lt;&gt;0,AM295="Y"),UIBY*W295,0)</f>
        <v>0</v>
      </c>
      <c r="BU295" s="462">
        <f>IF(AND(AT295&lt;&gt;0,N295&lt;&gt;"NR"),DHRBY*W295,0)</f>
        <v>43.306099199999998</v>
      </c>
      <c r="BV295" s="462">
        <f>IF(AT295&lt;&gt;0,WCBY*W295,0)</f>
        <v>491.08550400000001</v>
      </c>
      <c r="BW295" s="462">
        <f>IF(OR(AND(AT295&lt;&gt;0,AJ295&lt;&gt;"PF",AN295&lt;&gt;"NE",AG295&lt;&gt;"A"),AND(AL295="E",OR(AT295=1,AT295=3))),SickBY*W295,0)</f>
        <v>0</v>
      </c>
      <c r="BX295" s="462">
        <f t="shared" si="75"/>
        <v>3408.8693184000003</v>
      </c>
      <c r="BY295" s="462">
        <f t="shared" si="76"/>
        <v>0</v>
      </c>
      <c r="BZ295" s="462">
        <f t="shared" si="77"/>
        <v>0</v>
      </c>
      <c r="CA295" s="462">
        <f t="shared" si="78"/>
        <v>0</v>
      </c>
      <c r="CB295" s="462">
        <f t="shared" si="79"/>
        <v>0</v>
      </c>
      <c r="CC295" s="462">
        <f>IF(AT295&lt;&gt;0,SSHICHG*Y295,0)</f>
        <v>0</v>
      </c>
      <c r="CD295" s="462">
        <f>IF(AND(AT295&lt;&gt;0,AN295&lt;&gt;"NE"),VLOOKUP(AN295,Retirement_Rates,5,FALSE)*Y295,0)</f>
        <v>0</v>
      </c>
      <c r="CE295" s="462">
        <f>IF(AND(AT295&lt;&gt;0,AJ295&lt;&gt;"PF"),LifeCHG*Y295,0)</f>
        <v>0</v>
      </c>
      <c r="CF295" s="462">
        <f>IF(AND(AT295&lt;&gt;0,AM295="Y"),UICHG*Y295,0)</f>
        <v>-69.346367999999998</v>
      </c>
      <c r="CG295" s="462">
        <f>IF(AND(AT295&lt;&gt;0,N295&lt;&gt;"NR"),DHRCHG*Y295,0)</f>
        <v>0</v>
      </c>
      <c r="CH295" s="462">
        <f>IF(AT295&lt;&gt;0,WCCHG*Y295,0)</f>
        <v>110.38809600000002</v>
      </c>
      <c r="CI295" s="462">
        <f>IF(OR(AND(AT295&lt;&gt;0,AJ295&lt;&gt;"PF",AN295&lt;&gt;"NE",AG295&lt;&gt;"A"),AND(AL295="E",OR(AT295=1,AT295=3))),SickCHG*Y295,0)</f>
        <v>0</v>
      </c>
      <c r="CJ295" s="462">
        <f t="shared" si="80"/>
        <v>41.04172800000002</v>
      </c>
      <c r="CK295" s="462" t="str">
        <f t="shared" si="81"/>
        <v/>
      </c>
      <c r="CL295" s="462" t="str">
        <f t="shared" si="82"/>
        <v/>
      </c>
      <c r="CM295" s="462" t="str">
        <f t="shared" si="83"/>
        <v/>
      </c>
      <c r="CN295" s="462" t="str">
        <f t="shared" si="84"/>
        <v>0250-03</v>
      </c>
    </row>
    <row r="296" spans="1:92" ht="15" thickBot="1" x14ac:dyDescent="0.35">
      <c r="A296" s="376" t="s">
        <v>161</v>
      </c>
      <c r="B296" s="376" t="s">
        <v>162</v>
      </c>
      <c r="C296" s="376" t="s">
        <v>964</v>
      </c>
      <c r="D296" s="376" t="s">
        <v>221</v>
      </c>
      <c r="E296" s="376" t="s">
        <v>421</v>
      </c>
      <c r="F296" s="382" t="s">
        <v>902</v>
      </c>
      <c r="G296" s="376" t="s">
        <v>951</v>
      </c>
      <c r="H296" s="378"/>
      <c r="I296" s="378"/>
      <c r="J296" s="376" t="s">
        <v>168</v>
      </c>
      <c r="K296" s="376" t="s">
        <v>222</v>
      </c>
      <c r="L296" s="376" t="s">
        <v>166</v>
      </c>
      <c r="M296" s="376" t="s">
        <v>225</v>
      </c>
      <c r="N296" s="376" t="s">
        <v>223</v>
      </c>
      <c r="O296" s="379">
        <v>0</v>
      </c>
      <c r="P296" s="460">
        <v>1</v>
      </c>
      <c r="Q296" s="460">
        <v>0</v>
      </c>
      <c r="R296" s="380">
        <v>0</v>
      </c>
      <c r="S296" s="460">
        <v>0</v>
      </c>
      <c r="T296" s="380">
        <v>0</v>
      </c>
      <c r="U296" s="380">
        <v>0</v>
      </c>
      <c r="V296" s="380">
        <v>0</v>
      </c>
      <c r="W296" s="380">
        <v>0</v>
      </c>
      <c r="X296" s="380">
        <v>0</v>
      </c>
      <c r="Y296" s="380">
        <v>0</v>
      </c>
      <c r="Z296" s="380">
        <v>0</v>
      </c>
      <c r="AA296" s="378"/>
      <c r="AB296" s="376" t="s">
        <v>45</v>
      </c>
      <c r="AC296" s="376" t="s">
        <v>45</v>
      </c>
      <c r="AD296" s="378"/>
      <c r="AE296" s="378"/>
      <c r="AF296" s="378"/>
      <c r="AG296" s="378"/>
      <c r="AH296" s="379">
        <v>0</v>
      </c>
      <c r="AI296" s="379">
        <v>0</v>
      </c>
      <c r="AJ296" s="378"/>
      <c r="AK296" s="378"/>
      <c r="AL296" s="376" t="s">
        <v>181</v>
      </c>
      <c r="AM296" s="378"/>
      <c r="AN296" s="378"/>
      <c r="AO296" s="379">
        <v>0</v>
      </c>
      <c r="AP296" s="460">
        <v>0</v>
      </c>
      <c r="AQ296" s="460">
        <v>0</v>
      </c>
      <c r="AR296" s="459"/>
      <c r="AS296" s="462">
        <f t="shared" si="68"/>
        <v>0</v>
      </c>
      <c r="AT296">
        <f t="shared" si="69"/>
        <v>0</v>
      </c>
      <c r="AU296" s="462" t="str">
        <f>IF(AT296=0,"",IF(AND(AT296=1,M296="F",SUMIF(C2:C391,C296,AS2:AS391)&lt;=1),SUMIF(C2:C391,C296,AS2:AS391),IF(AND(AT296=1,M296="F",SUMIF(C2:C391,C296,AS2:AS391)&gt;1),1,"")))</f>
        <v/>
      </c>
      <c r="AV296" s="462" t="str">
        <f>IF(AT296=0,"",IF(AND(AT296=3,M296="F",SUMIF(C2:C391,C296,AS2:AS391)&lt;=1),SUMIF(C2:C391,C296,AS2:AS391),IF(AND(AT296=3,M296="F",SUMIF(C2:C391,C296,AS2:AS391)&gt;1),1,"")))</f>
        <v/>
      </c>
      <c r="AW296" s="462">
        <f>SUMIF(C2:C391,C296,O2:O391)</f>
        <v>0</v>
      </c>
      <c r="AX296" s="462">
        <f>IF(AND(M296="F",AS296&lt;&gt;0),SUMIF(C2:C391,C296,W2:W391),0)</f>
        <v>0</v>
      </c>
      <c r="AY296" s="462" t="str">
        <f t="shared" si="70"/>
        <v/>
      </c>
      <c r="AZ296" s="462" t="str">
        <f t="shared" si="71"/>
        <v/>
      </c>
      <c r="BA296" s="462">
        <f t="shared" si="72"/>
        <v>0</v>
      </c>
      <c r="BB296" s="462">
        <f>IF(AND(AT296=1,AK296="E",AU296&gt;=0.75,AW296=1),Health,IF(AND(AT296=1,AK296="E",AU296&gt;=0.75),Health*P296,IF(AND(AT296=1,AK296="E",AU296&gt;=0.5,AW296=1),PTHealth,IF(AND(AT296=1,AK296="E",AU296&gt;=0.5),PTHealth*P296,0))))</f>
        <v>0</v>
      </c>
      <c r="BC296" s="462">
        <f>IF(AND(AT296=3,AK296="E",AV296&gt;=0.75,AW296=1),Health,IF(AND(AT296=3,AK296="E",AV296&gt;=0.75),Health*P296,IF(AND(AT296=3,AK296="E",AV296&gt;=0.5,AW296=1),PTHealth,IF(AND(AT296=3,AK296="E",AV296&gt;=0.5),PTHealth*P296,0))))</f>
        <v>0</v>
      </c>
      <c r="BD296" s="462">
        <f>IF(AND(AT296&lt;&gt;0,AX296&gt;=MAXSSDI),SSDI*MAXSSDI*P296,IF(AT296&lt;&gt;0,SSDI*W296,0))</f>
        <v>0</v>
      </c>
      <c r="BE296" s="462">
        <f>IF(AT296&lt;&gt;0,SSHI*W296,0)</f>
        <v>0</v>
      </c>
      <c r="BF296" s="462">
        <f>IF(AND(AT296&lt;&gt;0,AN296&lt;&gt;"NE"),VLOOKUP(AN296,Retirement_Rates,3,FALSE)*W296,0)</f>
        <v>0</v>
      </c>
      <c r="BG296" s="462">
        <f>IF(AND(AT296&lt;&gt;0,AJ296&lt;&gt;"PF"),Life*W296,0)</f>
        <v>0</v>
      </c>
      <c r="BH296" s="462">
        <f>IF(AND(AT296&lt;&gt;0,AM296="Y"),UI*W296,0)</f>
        <v>0</v>
      </c>
      <c r="BI296" s="462">
        <f>IF(AND(AT296&lt;&gt;0,N296&lt;&gt;"NR"),DHR*W296,0)</f>
        <v>0</v>
      </c>
      <c r="BJ296" s="462">
        <f>IF(AT296&lt;&gt;0,WC*W296,0)</f>
        <v>0</v>
      </c>
      <c r="BK296" s="462">
        <f>IF(OR(AND(AT296&lt;&gt;0,AJ296&lt;&gt;"PF",AN296&lt;&gt;"NE",AG296&lt;&gt;"A"),AND(AL296="E",OR(AT296=1,AT296=3))),Sick*W296,0)</f>
        <v>0</v>
      </c>
      <c r="BL296" s="462">
        <f t="shared" si="73"/>
        <v>0</v>
      </c>
      <c r="BM296" s="462">
        <f t="shared" si="74"/>
        <v>0</v>
      </c>
      <c r="BN296" s="462">
        <f>IF(AND(AT296=1,AK296="E",AU296&gt;=0.75,AW296=1),HealthBY,IF(AND(AT296=1,AK296="E",AU296&gt;=0.75),HealthBY*P296,IF(AND(AT296=1,AK296="E",AU296&gt;=0.5,AW296=1),PTHealthBY,IF(AND(AT296=1,AK296="E",AU296&gt;=0.5),PTHealthBY*P296,0))))</f>
        <v>0</v>
      </c>
      <c r="BO296" s="462">
        <f>IF(AND(AT296=3,AK296="E",AV296&gt;=0.75,AW296=1),HealthBY,IF(AND(AT296=3,AK296="E",AV296&gt;=0.75),HealthBY*P296,IF(AND(AT296=3,AK296="E",AV296&gt;=0.5,AW296=1),PTHealthBY,IF(AND(AT296=3,AK296="E",AV296&gt;=0.5),PTHealthBY*P296,0))))</f>
        <v>0</v>
      </c>
      <c r="BP296" s="462">
        <f>IF(AND(AT296&lt;&gt;0,(AX296+BA296)&gt;=MAXSSDIBY),SSDIBY*MAXSSDIBY*P296,IF(AT296&lt;&gt;0,SSDIBY*W296,0))</f>
        <v>0</v>
      </c>
      <c r="BQ296" s="462">
        <f>IF(AT296&lt;&gt;0,SSHIBY*W296,0)</f>
        <v>0</v>
      </c>
      <c r="BR296" s="462">
        <f>IF(AND(AT296&lt;&gt;0,AN296&lt;&gt;"NE"),VLOOKUP(AN296,Retirement_Rates,4,FALSE)*W296,0)</f>
        <v>0</v>
      </c>
      <c r="BS296" s="462">
        <f>IF(AND(AT296&lt;&gt;0,AJ296&lt;&gt;"PF"),LifeBY*W296,0)</f>
        <v>0</v>
      </c>
      <c r="BT296" s="462">
        <f>IF(AND(AT296&lt;&gt;0,AM296="Y"),UIBY*W296,0)</f>
        <v>0</v>
      </c>
      <c r="BU296" s="462">
        <f>IF(AND(AT296&lt;&gt;0,N296&lt;&gt;"NR"),DHRBY*W296,0)</f>
        <v>0</v>
      </c>
      <c r="BV296" s="462">
        <f>IF(AT296&lt;&gt;0,WCBY*W296,0)</f>
        <v>0</v>
      </c>
      <c r="BW296" s="462">
        <f>IF(OR(AND(AT296&lt;&gt;0,AJ296&lt;&gt;"PF",AN296&lt;&gt;"NE",AG296&lt;&gt;"A"),AND(AL296="E",OR(AT296=1,AT296=3))),SickBY*W296,0)</f>
        <v>0</v>
      </c>
      <c r="BX296" s="462">
        <f t="shared" si="75"/>
        <v>0</v>
      </c>
      <c r="BY296" s="462">
        <f t="shared" si="76"/>
        <v>0</v>
      </c>
      <c r="BZ296" s="462">
        <f t="shared" si="77"/>
        <v>0</v>
      </c>
      <c r="CA296" s="462">
        <f t="shared" si="78"/>
        <v>0</v>
      </c>
      <c r="CB296" s="462">
        <f t="shared" si="79"/>
        <v>0</v>
      </c>
      <c r="CC296" s="462">
        <f>IF(AT296&lt;&gt;0,SSHICHG*Y296,0)</f>
        <v>0</v>
      </c>
      <c r="CD296" s="462">
        <f>IF(AND(AT296&lt;&gt;0,AN296&lt;&gt;"NE"),VLOOKUP(AN296,Retirement_Rates,5,FALSE)*Y296,0)</f>
        <v>0</v>
      </c>
      <c r="CE296" s="462">
        <f>IF(AND(AT296&lt;&gt;0,AJ296&lt;&gt;"PF"),LifeCHG*Y296,0)</f>
        <v>0</v>
      </c>
      <c r="CF296" s="462">
        <f>IF(AND(AT296&lt;&gt;0,AM296="Y"),UICHG*Y296,0)</f>
        <v>0</v>
      </c>
      <c r="CG296" s="462">
        <f>IF(AND(AT296&lt;&gt;0,N296&lt;&gt;"NR"),DHRCHG*Y296,0)</f>
        <v>0</v>
      </c>
      <c r="CH296" s="462">
        <f>IF(AT296&lt;&gt;0,WCCHG*Y296,0)</f>
        <v>0</v>
      </c>
      <c r="CI296" s="462">
        <f>IF(OR(AND(AT296&lt;&gt;0,AJ296&lt;&gt;"PF",AN296&lt;&gt;"NE",AG296&lt;&gt;"A"),AND(AL296="E",OR(AT296=1,AT296=3))),SickCHG*Y296,0)</f>
        <v>0</v>
      </c>
      <c r="CJ296" s="462">
        <f t="shared" si="80"/>
        <v>0</v>
      </c>
      <c r="CK296" s="462" t="str">
        <f t="shared" si="81"/>
        <v/>
      </c>
      <c r="CL296" s="462">
        <f t="shared" si="82"/>
        <v>0</v>
      </c>
      <c r="CM296" s="462">
        <f t="shared" si="83"/>
        <v>0</v>
      </c>
      <c r="CN296" s="462" t="str">
        <f t="shared" si="84"/>
        <v>0250-03</v>
      </c>
    </row>
    <row r="297" spans="1:92" ht="15" thickBot="1" x14ac:dyDescent="0.35">
      <c r="A297" s="376" t="s">
        <v>161</v>
      </c>
      <c r="B297" s="376" t="s">
        <v>162</v>
      </c>
      <c r="C297" s="376" t="s">
        <v>965</v>
      </c>
      <c r="D297" s="376" t="s">
        <v>221</v>
      </c>
      <c r="E297" s="376" t="s">
        <v>421</v>
      </c>
      <c r="F297" s="382" t="s">
        <v>902</v>
      </c>
      <c r="G297" s="376" t="s">
        <v>951</v>
      </c>
      <c r="H297" s="378"/>
      <c r="I297" s="378"/>
      <c r="J297" s="376" t="s">
        <v>168</v>
      </c>
      <c r="K297" s="376" t="s">
        <v>222</v>
      </c>
      <c r="L297" s="376" t="s">
        <v>166</v>
      </c>
      <c r="M297" s="376" t="s">
        <v>225</v>
      </c>
      <c r="N297" s="376" t="s">
        <v>223</v>
      </c>
      <c r="O297" s="379">
        <v>0</v>
      </c>
      <c r="P297" s="460">
        <v>1</v>
      </c>
      <c r="Q297" s="460">
        <v>0</v>
      </c>
      <c r="R297" s="380">
        <v>0</v>
      </c>
      <c r="S297" s="460">
        <v>0</v>
      </c>
      <c r="T297" s="380">
        <v>0</v>
      </c>
      <c r="U297" s="380">
        <v>0</v>
      </c>
      <c r="V297" s="380">
        <v>0</v>
      </c>
      <c r="W297" s="380">
        <v>0</v>
      </c>
      <c r="X297" s="380">
        <v>0</v>
      </c>
      <c r="Y297" s="380">
        <v>0</v>
      </c>
      <c r="Z297" s="380">
        <v>0</v>
      </c>
      <c r="AA297" s="378"/>
      <c r="AB297" s="376" t="s">
        <v>45</v>
      </c>
      <c r="AC297" s="376" t="s">
        <v>45</v>
      </c>
      <c r="AD297" s="378"/>
      <c r="AE297" s="378"/>
      <c r="AF297" s="378"/>
      <c r="AG297" s="378"/>
      <c r="AH297" s="379">
        <v>0</v>
      </c>
      <c r="AI297" s="379">
        <v>0</v>
      </c>
      <c r="AJ297" s="378"/>
      <c r="AK297" s="378"/>
      <c r="AL297" s="376" t="s">
        <v>181</v>
      </c>
      <c r="AM297" s="378"/>
      <c r="AN297" s="378"/>
      <c r="AO297" s="379">
        <v>0</v>
      </c>
      <c r="AP297" s="460">
        <v>0</v>
      </c>
      <c r="AQ297" s="460">
        <v>0</v>
      </c>
      <c r="AR297" s="459"/>
      <c r="AS297" s="462">
        <f t="shared" si="68"/>
        <v>0</v>
      </c>
      <c r="AT297">
        <f t="shared" si="69"/>
        <v>0</v>
      </c>
      <c r="AU297" s="462" t="str">
        <f>IF(AT297=0,"",IF(AND(AT297=1,M297="F",SUMIF(C2:C391,C297,AS2:AS391)&lt;=1),SUMIF(C2:C391,C297,AS2:AS391),IF(AND(AT297=1,M297="F",SUMIF(C2:C391,C297,AS2:AS391)&gt;1),1,"")))</f>
        <v/>
      </c>
      <c r="AV297" s="462" t="str">
        <f>IF(AT297=0,"",IF(AND(AT297=3,M297="F",SUMIF(C2:C391,C297,AS2:AS391)&lt;=1),SUMIF(C2:C391,C297,AS2:AS391),IF(AND(AT297=3,M297="F",SUMIF(C2:C391,C297,AS2:AS391)&gt;1),1,"")))</f>
        <v/>
      </c>
      <c r="AW297" s="462">
        <f>SUMIF(C2:C391,C297,O2:O391)</f>
        <v>0</v>
      </c>
      <c r="AX297" s="462">
        <f>IF(AND(M297="F",AS297&lt;&gt;0),SUMIF(C2:C391,C297,W2:W391),0)</f>
        <v>0</v>
      </c>
      <c r="AY297" s="462" t="str">
        <f t="shared" si="70"/>
        <v/>
      </c>
      <c r="AZ297" s="462" t="str">
        <f t="shared" si="71"/>
        <v/>
      </c>
      <c r="BA297" s="462">
        <f t="shared" si="72"/>
        <v>0</v>
      </c>
      <c r="BB297" s="462">
        <f>IF(AND(AT297=1,AK297="E",AU297&gt;=0.75,AW297=1),Health,IF(AND(AT297=1,AK297="E",AU297&gt;=0.75),Health*P297,IF(AND(AT297=1,AK297="E",AU297&gt;=0.5,AW297=1),PTHealth,IF(AND(AT297=1,AK297="E",AU297&gt;=0.5),PTHealth*P297,0))))</f>
        <v>0</v>
      </c>
      <c r="BC297" s="462">
        <f>IF(AND(AT297=3,AK297="E",AV297&gt;=0.75,AW297=1),Health,IF(AND(AT297=3,AK297="E",AV297&gt;=0.75),Health*P297,IF(AND(AT297=3,AK297="E",AV297&gt;=0.5,AW297=1),PTHealth,IF(AND(AT297=3,AK297="E",AV297&gt;=0.5),PTHealth*P297,0))))</f>
        <v>0</v>
      </c>
      <c r="BD297" s="462">
        <f>IF(AND(AT297&lt;&gt;0,AX297&gt;=MAXSSDI),SSDI*MAXSSDI*P297,IF(AT297&lt;&gt;0,SSDI*W297,0))</f>
        <v>0</v>
      </c>
      <c r="BE297" s="462">
        <f>IF(AT297&lt;&gt;0,SSHI*W297,0)</f>
        <v>0</v>
      </c>
      <c r="BF297" s="462">
        <f>IF(AND(AT297&lt;&gt;0,AN297&lt;&gt;"NE"),VLOOKUP(AN297,Retirement_Rates,3,FALSE)*W297,0)</f>
        <v>0</v>
      </c>
      <c r="BG297" s="462">
        <f>IF(AND(AT297&lt;&gt;0,AJ297&lt;&gt;"PF"),Life*W297,0)</f>
        <v>0</v>
      </c>
      <c r="BH297" s="462">
        <f>IF(AND(AT297&lt;&gt;0,AM297="Y"),UI*W297,0)</f>
        <v>0</v>
      </c>
      <c r="BI297" s="462">
        <f>IF(AND(AT297&lt;&gt;0,N297&lt;&gt;"NR"),DHR*W297,0)</f>
        <v>0</v>
      </c>
      <c r="BJ297" s="462">
        <f>IF(AT297&lt;&gt;0,WC*W297,0)</f>
        <v>0</v>
      </c>
      <c r="BK297" s="462">
        <f>IF(OR(AND(AT297&lt;&gt;0,AJ297&lt;&gt;"PF",AN297&lt;&gt;"NE",AG297&lt;&gt;"A"),AND(AL297="E",OR(AT297=1,AT297=3))),Sick*W297,0)</f>
        <v>0</v>
      </c>
      <c r="BL297" s="462">
        <f t="shared" si="73"/>
        <v>0</v>
      </c>
      <c r="BM297" s="462">
        <f t="shared" si="74"/>
        <v>0</v>
      </c>
      <c r="BN297" s="462">
        <f>IF(AND(AT297=1,AK297="E",AU297&gt;=0.75,AW297=1),HealthBY,IF(AND(AT297=1,AK297="E",AU297&gt;=0.75),HealthBY*P297,IF(AND(AT297=1,AK297="E",AU297&gt;=0.5,AW297=1),PTHealthBY,IF(AND(AT297=1,AK297="E",AU297&gt;=0.5),PTHealthBY*P297,0))))</f>
        <v>0</v>
      </c>
      <c r="BO297" s="462">
        <f>IF(AND(AT297=3,AK297="E",AV297&gt;=0.75,AW297=1),HealthBY,IF(AND(AT297=3,AK297="E",AV297&gt;=0.75),HealthBY*P297,IF(AND(AT297=3,AK297="E",AV297&gt;=0.5,AW297=1),PTHealthBY,IF(AND(AT297=3,AK297="E",AV297&gt;=0.5),PTHealthBY*P297,0))))</f>
        <v>0</v>
      </c>
      <c r="BP297" s="462">
        <f>IF(AND(AT297&lt;&gt;0,(AX297+BA297)&gt;=MAXSSDIBY),SSDIBY*MAXSSDIBY*P297,IF(AT297&lt;&gt;0,SSDIBY*W297,0))</f>
        <v>0</v>
      </c>
      <c r="BQ297" s="462">
        <f>IF(AT297&lt;&gt;0,SSHIBY*W297,0)</f>
        <v>0</v>
      </c>
      <c r="BR297" s="462">
        <f>IF(AND(AT297&lt;&gt;0,AN297&lt;&gt;"NE"),VLOOKUP(AN297,Retirement_Rates,4,FALSE)*W297,0)</f>
        <v>0</v>
      </c>
      <c r="BS297" s="462">
        <f>IF(AND(AT297&lt;&gt;0,AJ297&lt;&gt;"PF"),LifeBY*W297,0)</f>
        <v>0</v>
      </c>
      <c r="BT297" s="462">
        <f>IF(AND(AT297&lt;&gt;0,AM297="Y"),UIBY*W297,0)</f>
        <v>0</v>
      </c>
      <c r="BU297" s="462">
        <f>IF(AND(AT297&lt;&gt;0,N297&lt;&gt;"NR"),DHRBY*W297,0)</f>
        <v>0</v>
      </c>
      <c r="BV297" s="462">
        <f>IF(AT297&lt;&gt;0,WCBY*W297,0)</f>
        <v>0</v>
      </c>
      <c r="BW297" s="462">
        <f>IF(OR(AND(AT297&lt;&gt;0,AJ297&lt;&gt;"PF",AN297&lt;&gt;"NE",AG297&lt;&gt;"A"),AND(AL297="E",OR(AT297=1,AT297=3))),SickBY*W297,0)</f>
        <v>0</v>
      </c>
      <c r="BX297" s="462">
        <f t="shared" si="75"/>
        <v>0</v>
      </c>
      <c r="BY297" s="462">
        <f t="shared" si="76"/>
        <v>0</v>
      </c>
      <c r="BZ297" s="462">
        <f t="shared" si="77"/>
        <v>0</v>
      </c>
      <c r="CA297" s="462">
        <f t="shared" si="78"/>
        <v>0</v>
      </c>
      <c r="CB297" s="462">
        <f t="shared" si="79"/>
        <v>0</v>
      </c>
      <c r="CC297" s="462">
        <f>IF(AT297&lt;&gt;0,SSHICHG*Y297,0)</f>
        <v>0</v>
      </c>
      <c r="CD297" s="462">
        <f>IF(AND(AT297&lt;&gt;0,AN297&lt;&gt;"NE"),VLOOKUP(AN297,Retirement_Rates,5,FALSE)*Y297,0)</f>
        <v>0</v>
      </c>
      <c r="CE297" s="462">
        <f>IF(AND(AT297&lt;&gt;0,AJ297&lt;&gt;"PF"),LifeCHG*Y297,0)</f>
        <v>0</v>
      </c>
      <c r="CF297" s="462">
        <f>IF(AND(AT297&lt;&gt;0,AM297="Y"),UICHG*Y297,0)</f>
        <v>0</v>
      </c>
      <c r="CG297" s="462">
        <f>IF(AND(AT297&lt;&gt;0,N297&lt;&gt;"NR"),DHRCHG*Y297,0)</f>
        <v>0</v>
      </c>
      <c r="CH297" s="462">
        <f>IF(AT297&lt;&gt;0,WCCHG*Y297,0)</f>
        <v>0</v>
      </c>
      <c r="CI297" s="462">
        <f>IF(OR(AND(AT297&lt;&gt;0,AJ297&lt;&gt;"PF",AN297&lt;&gt;"NE",AG297&lt;&gt;"A"),AND(AL297="E",OR(AT297=1,AT297=3))),SickCHG*Y297,0)</f>
        <v>0</v>
      </c>
      <c r="CJ297" s="462">
        <f t="shared" si="80"/>
        <v>0</v>
      </c>
      <c r="CK297" s="462" t="str">
        <f t="shared" si="81"/>
        <v/>
      </c>
      <c r="CL297" s="462">
        <f t="shared" si="82"/>
        <v>0</v>
      </c>
      <c r="CM297" s="462">
        <f t="shared" si="83"/>
        <v>0</v>
      </c>
      <c r="CN297" s="462" t="str">
        <f t="shared" si="84"/>
        <v>0250-03</v>
      </c>
    </row>
    <row r="298" spans="1:92" ht="15" thickBot="1" x14ac:dyDescent="0.35">
      <c r="A298" s="376" t="s">
        <v>161</v>
      </c>
      <c r="B298" s="376" t="s">
        <v>162</v>
      </c>
      <c r="C298" s="376" t="s">
        <v>900</v>
      </c>
      <c r="D298" s="376" t="s">
        <v>901</v>
      </c>
      <c r="E298" s="376" t="s">
        <v>421</v>
      </c>
      <c r="F298" s="382" t="s">
        <v>902</v>
      </c>
      <c r="G298" s="376" t="s">
        <v>951</v>
      </c>
      <c r="H298" s="378"/>
      <c r="I298" s="378"/>
      <c r="J298" s="376" t="s">
        <v>193</v>
      </c>
      <c r="K298" s="376" t="s">
        <v>903</v>
      </c>
      <c r="L298" s="376" t="s">
        <v>240</v>
      </c>
      <c r="M298" s="376" t="s">
        <v>225</v>
      </c>
      <c r="N298" s="376" t="s">
        <v>172</v>
      </c>
      <c r="O298" s="379">
        <v>0</v>
      </c>
      <c r="P298" s="460">
        <v>0.3</v>
      </c>
      <c r="Q298" s="460">
        <v>0.3</v>
      </c>
      <c r="R298" s="380">
        <v>80</v>
      </c>
      <c r="S298" s="460">
        <v>0.3</v>
      </c>
      <c r="T298" s="380">
        <v>14235.26</v>
      </c>
      <c r="U298" s="380">
        <v>0</v>
      </c>
      <c r="V298" s="380">
        <v>6729.48</v>
      </c>
      <c r="W298" s="380">
        <v>14220.96</v>
      </c>
      <c r="X298" s="380">
        <v>6228.78</v>
      </c>
      <c r="Y298" s="380">
        <v>14220.96</v>
      </c>
      <c r="Z298" s="380">
        <v>6157.67</v>
      </c>
      <c r="AA298" s="378"/>
      <c r="AB298" s="376" t="s">
        <v>45</v>
      </c>
      <c r="AC298" s="376" t="s">
        <v>45</v>
      </c>
      <c r="AD298" s="378"/>
      <c r="AE298" s="378"/>
      <c r="AF298" s="378"/>
      <c r="AG298" s="378"/>
      <c r="AH298" s="379">
        <v>0</v>
      </c>
      <c r="AI298" s="379">
        <v>0</v>
      </c>
      <c r="AJ298" s="378"/>
      <c r="AK298" s="378"/>
      <c r="AL298" s="376" t="s">
        <v>181</v>
      </c>
      <c r="AM298" s="378"/>
      <c r="AN298" s="378"/>
      <c r="AO298" s="379">
        <v>0</v>
      </c>
      <c r="AP298" s="460">
        <v>0</v>
      </c>
      <c r="AQ298" s="460">
        <v>0</v>
      </c>
      <c r="AR298" s="459"/>
      <c r="AS298" s="462">
        <f t="shared" si="68"/>
        <v>0</v>
      </c>
      <c r="AT298">
        <f t="shared" si="69"/>
        <v>0</v>
      </c>
      <c r="AU298" s="462" t="str">
        <f>IF(AT298=0,"",IF(AND(AT298=1,M298="F",SUMIF(C2:C391,C298,AS2:AS391)&lt;=1),SUMIF(C2:C391,C298,AS2:AS391),IF(AND(AT298=1,M298="F",SUMIF(C2:C391,C298,AS2:AS391)&gt;1),1,"")))</f>
        <v/>
      </c>
      <c r="AV298" s="462" t="str">
        <f>IF(AT298=0,"",IF(AND(AT298=3,M298="F",SUMIF(C2:C391,C298,AS2:AS391)&lt;=1),SUMIF(C2:C391,C298,AS2:AS391),IF(AND(AT298=3,M298="F",SUMIF(C2:C391,C298,AS2:AS391)&gt;1),1,"")))</f>
        <v/>
      </c>
      <c r="AW298" s="462">
        <f>SUMIF(C2:C391,C298,O2:O391)</f>
        <v>0</v>
      </c>
      <c r="AX298" s="462">
        <f>IF(AND(M298="F",AS298&lt;&gt;0),SUMIF(C2:C391,C298,W2:W391),0)</f>
        <v>0</v>
      </c>
      <c r="AY298" s="462" t="str">
        <f t="shared" si="70"/>
        <v/>
      </c>
      <c r="AZ298" s="462" t="str">
        <f t="shared" si="71"/>
        <v/>
      </c>
      <c r="BA298" s="462">
        <f t="shared" si="72"/>
        <v>0</v>
      </c>
      <c r="BB298" s="462">
        <f>IF(AND(AT298=1,AK298="E",AU298&gt;=0.75,AW298=1),Health,IF(AND(AT298=1,AK298="E",AU298&gt;=0.75),Health*P298,IF(AND(AT298=1,AK298="E",AU298&gt;=0.5,AW298=1),PTHealth,IF(AND(AT298=1,AK298="E",AU298&gt;=0.5),PTHealth*P298,0))))</f>
        <v>0</v>
      </c>
      <c r="BC298" s="462">
        <f>IF(AND(AT298=3,AK298="E",AV298&gt;=0.75,AW298=1),Health,IF(AND(AT298=3,AK298="E",AV298&gt;=0.75),Health*P298,IF(AND(AT298=3,AK298="E",AV298&gt;=0.5,AW298=1),PTHealth,IF(AND(AT298=3,AK298="E",AV298&gt;=0.5),PTHealth*P298,0))))</f>
        <v>0</v>
      </c>
      <c r="BD298" s="462">
        <f>IF(AND(AT298&lt;&gt;0,AX298&gt;=MAXSSDI),SSDI*MAXSSDI*P298,IF(AT298&lt;&gt;0,SSDI*W298,0))</f>
        <v>0</v>
      </c>
      <c r="BE298" s="462">
        <f>IF(AT298&lt;&gt;0,SSHI*W298,0)</f>
        <v>0</v>
      </c>
      <c r="BF298" s="462">
        <f>IF(AND(AT298&lt;&gt;0,AN298&lt;&gt;"NE"),VLOOKUP(AN298,Retirement_Rates,3,FALSE)*W298,0)</f>
        <v>0</v>
      </c>
      <c r="BG298" s="462">
        <f>IF(AND(AT298&lt;&gt;0,AJ298&lt;&gt;"PF"),Life*W298,0)</f>
        <v>0</v>
      </c>
      <c r="BH298" s="462">
        <f>IF(AND(AT298&lt;&gt;0,AM298="Y"),UI*W298,0)</f>
        <v>0</v>
      </c>
      <c r="BI298" s="462">
        <f>IF(AND(AT298&lt;&gt;0,N298&lt;&gt;"NR"),DHR*W298,0)</f>
        <v>0</v>
      </c>
      <c r="BJ298" s="462">
        <f>IF(AT298&lt;&gt;0,WC*W298,0)</f>
        <v>0</v>
      </c>
      <c r="BK298" s="462">
        <f>IF(OR(AND(AT298&lt;&gt;0,AJ298&lt;&gt;"PF",AN298&lt;&gt;"NE",AG298&lt;&gt;"A"),AND(AL298="E",OR(AT298=1,AT298=3))),Sick*W298,0)</f>
        <v>0</v>
      </c>
      <c r="BL298" s="462">
        <f t="shared" si="73"/>
        <v>0</v>
      </c>
      <c r="BM298" s="462">
        <f t="shared" si="74"/>
        <v>0</v>
      </c>
      <c r="BN298" s="462">
        <f>IF(AND(AT298=1,AK298="E",AU298&gt;=0.75,AW298=1),HealthBY,IF(AND(AT298=1,AK298="E",AU298&gt;=0.75),HealthBY*P298,IF(AND(AT298=1,AK298="E",AU298&gt;=0.5,AW298=1),PTHealthBY,IF(AND(AT298=1,AK298="E",AU298&gt;=0.5),PTHealthBY*P298,0))))</f>
        <v>0</v>
      </c>
      <c r="BO298" s="462">
        <f>IF(AND(AT298=3,AK298="E",AV298&gt;=0.75,AW298=1),HealthBY,IF(AND(AT298=3,AK298="E",AV298&gt;=0.75),HealthBY*P298,IF(AND(AT298=3,AK298="E",AV298&gt;=0.5,AW298=1),PTHealthBY,IF(AND(AT298=3,AK298="E",AV298&gt;=0.5),PTHealthBY*P298,0))))</f>
        <v>0</v>
      </c>
      <c r="BP298" s="462">
        <f>IF(AND(AT298&lt;&gt;0,(AX298+BA298)&gt;=MAXSSDIBY),SSDIBY*MAXSSDIBY*P298,IF(AT298&lt;&gt;0,SSDIBY*W298,0))</f>
        <v>0</v>
      </c>
      <c r="BQ298" s="462">
        <f>IF(AT298&lt;&gt;0,SSHIBY*W298,0)</f>
        <v>0</v>
      </c>
      <c r="BR298" s="462">
        <f>IF(AND(AT298&lt;&gt;0,AN298&lt;&gt;"NE"),VLOOKUP(AN298,Retirement_Rates,4,FALSE)*W298,0)</f>
        <v>0</v>
      </c>
      <c r="BS298" s="462">
        <f>IF(AND(AT298&lt;&gt;0,AJ298&lt;&gt;"PF"),LifeBY*W298,0)</f>
        <v>0</v>
      </c>
      <c r="BT298" s="462">
        <f>IF(AND(AT298&lt;&gt;0,AM298="Y"),UIBY*W298,0)</f>
        <v>0</v>
      </c>
      <c r="BU298" s="462">
        <f>IF(AND(AT298&lt;&gt;0,N298&lt;&gt;"NR"),DHRBY*W298,0)</f>
        <v>0</v>
      </c>
      <c r="BV298" s="462">
        <f>IF(AT298&lt;&gt;0,WCBY*W298,0)</f>
        <v>0</v>
      </c>
      <c r="BW298" s="462">
        <f>IF(OR(AND(AT298&lt;&gt;0,AJ298&lt;&gt;"PF",AN298&lt;&gt;"NE",AG298&lt;&gt;"A"),AND(AL298="E",OR(AT298=1,AT298=3))),SickBY*W298,0)</f>
        <v>0</v>
      </c>
      <c r="BX298" s="462">
        <f t="shared" si="75"/>
        <v>0</v>
      </c>
      <c r="BY298" s="462">
        <f t="shared" si="76"/>
        <v>0</v>
      </c>
      <c r="BZ298" s="462">
        <f t="shared" si="77"/>
        <v>0</v>
      </c>
      <c r="CA298" s="462">
        <f t="shared" si="78"/>
        <v>0</v>
      </c>
      <c r="CB298" s="462">
        <f t="shared" si="79"/>
        <v>0</v>
      </c>
      <c r="CC298" s="462">
        <f>IF(AT298&lt;&gt;0,SSHICHG*Y298,0)</f>
        <v>0</v>
      </c>
      <c r="CD298" s="462">
        <f>IF(AND(AT298&lt;&gt;0,AN298&lt;&gt;"NE"),VLOOKUP(AN298,Retirement_Rates,5,FALSE)*Y298,0)</f>
        <v>0</v>
      </c>
      <c r="CE298" s="462">
        <f>IF(AND(AT298&lt;&gt;0,AJ298&lt;&gt;"PF"),LifeCHG*Y298,0)</f>
        <v>0</v>
      </c>
      <c r="CF298" s="462">
        <f>IF(AND(AT298&lt;&gt;0,AM298="Y"),UICHG*Y298,0)</f>
        <v>0</v>
      </c>
      <c r="CG298" s="462">
        <f>IF(AND(AT298&lt;&gt;0,N298&lt;&gt;"NR"),DHRCHG*Y298,0)</f>
        <v>0</v>
      </c>
      <c r="CH298" s="462">
        <f>IF(AT298&lt;&gt;0,WCCHG*Y298,0)</f>
        <v>0</v>
      </c>
      <c r="CI298" s="462">
        <f>IF(OR(AND(AT298&lt;&gt;0,AJ298&lt;&gt;"PF",AN298&lt;&gt;"NE",AG298&lt;&gt;"A"),AND(AL298="E",OR(AT298=1,AT298=3))),SickCHG*Y298,0)</f>
        <v>0</v>
      </c>
      <c r="CJ298" s="462">
        <f t="shared" si="80"/>
        <v>0</v>
      </c>
      <c r="CK298" s="462" t="str">
        <f t="shared" si="81"/>
        <v/>
      </c>
      <c r="CL298" s="462" t="str">
        <f t="shared" si="82"/>
        <v/>
      </c>
      <c r="CM298" s="462" t="str">
        <f t="shared" si="83"/>
        <v/>
      </c>
      <c r="CN298" s="462" t="str">
        <f t="shared" si="84"/>
        <v>0250-03</v>
      </c>
    </row>
    <row r="299" spans="1:92" ht="15" thickBot="1" x14ac:dyDescent="0.35">
      <c r="A299" s="376" t="s">
        <v>161</v>
      </c>
      <c r="B299" s="376" t="s">
        <v>162</v>
      </c>
      <c r="C299" s="376" t="s">
        <v>909</v>
      </c>
      <c r="D299" s="376" t="s">
        <v>690</v>
      </c>
      <c r="E299" s="376" t="s">
        <v>421</v>
      </c>
      <c r="F299" s="382" t="s">
        <v>902</v>
      </c>
      <c r="G299" s="376" t="s">
        <v>951</v>
      </c>
      <c r="H299" s="378"/>
      <c r="I299" s="378"/>
      <c r="J299" s="376" t="s">
        <v>229</v>
      </c>
      <c r="K299" s="376" t="s">
        <v>691</v>
      </c>
      <c r="L299" s="376" t="s">
        <v>170</v>
      </c>
      <c r="M299" s="376" t="s">
        <v>171</v>
      </c>
      <c r="N299" s="376" t="s">
        <v>172</v>
      </c>
      <c r="O299" s="379">
        <v>1</v>
      </c>
      <c r="P299" s="460">
        <v>0.25</v>
      </c>
      <c r="Q299" s="460">
        <v>0.25</v>
      </c>
      <c r="R299" s="380">
        <v>80</v>
      </c>
      <c r="S299" s="460">
        <v>0.25</v>
      </c>
      <c r="T299" s="380">
        <v>9347.17</v>
      </c>
      <c r="U299" s="380">
        <v>0</v>
      </c>
      <c r="V299" s="380">
        <v>3863.19</v>
      </c>
      <c r="W299" s="380">
        <v>15022.8</v>
      </c>
      <c r="X299" s="380">
        <v>6487.46</v>
      </c>
      <c r="Y299" s="380">
        <v>15022.8</v>
      </c>
      <c r="Z299" s="380">
        <v>6531.03</v>
      </c>
      <c r="AA299" s="376" t="s">
        <v>910</v>
      </c>
      <c r="AB299" s="376" t="s">
        <v>911</v>
      </c>
      <c r="AC299" s="376" t="s">
        <v>912</v>
      </c>
      <c r="AD299" s="376" t="s">
        <v>574</v>
      </c>
      <c r="AE299" s="376" t="s">
        <v>691</v>
      </c>
      <c r="AF299" s="376" t="s">
        <v>177</v>
      </c>
      <c r="AG299" s="376" t="s">
        <v>178</v>
      </c>
      <c r="AH299" s="381">
        <v>28.89</v>
      </c>
      <c r="AI299" s="379">
        <v>37296</v>
      </c>
      <c r="AJ299" s="376" t="s">
        <v>179</v>
      </c>
      <c r="AK299" s="376" t="s">
        <v>180</v>
      </c>
      <c r="AL299" s="376" t="s">
        <v>181</v>
      </c>
      <c r="AM299" s="376" t="s">
        <v>182</v>
      </c>
      <c r="AN299" s="376" t="s">
        <v>68</v>
      </c>
      <c r="AO299" s="379">
        <v>80</v>
      </c>
      <c r="AP299" s="460">
        <v>1</v>
      </c>
      <c r="AQ299" s="460">
        <v>0.25</v>
      </c>
      <c r="AR299" s="458" t="s">
        <v>183</v>
      </c>
      <c r="AS299" s="462">
        <f t="shared" si="68"/>
        <v>0.25</v>
      </c>
      <c r="AT299">
        <f t="shared" si="69"/>
        <v>1</v>
      </c>
      <c r="AU299" s="462">
        <f>IF(AT299=0,"",IF(AND(AT299=1,M299="F",SUMIF(C2:C391,C299,AS2:AS391)&lt;=1),SUMIF(C2:C391,C299,AS2:AS391),IF(AND(AT299=1,M299="F",SUMIF(C2:C391,C299,AS2:AS391)&gt;1),1,"")))</f>
        <v>1</v>
      </c>
      <c r="AV299" s="462" t="str">
        <f>IF(AT299=0,"",IF(AND(AT299=3,M299="F",SUMIF(C2:C391,C299,AS2:AS391)&lt;=1),SUMIF(C2:C391,C299,AS2:AS391),IF(AND(AT299=3,M299="F",SUMIF(C2:C391,C299,AS2:AS391)&gt;1),1,"")))</f>
        <v/>
      </c>
      <c r="AW299" s="462">
        <f>SUMIF(C2:C391,C299,O2:O391)</f>
        <v>3</v>
      </c>
      <c r="AX299" s="462">
        <f>IF(AND(M299="F",AS299&lt;&gt;0),SUMIF(C2:C391,C299,W2:W391),0)</f>
        <v>60091.199999999997</v>
      </c>
      <c r="AY299" s="462">
        <f t="shared" si="70"/>
        <v>15022.8</v>
      </c>
      <c r="AZ299" s="462" t="str">
        <f t="shared" si="71"/>
        <v/>
      </c>
      <c r="BA299" s="462">
        <f t="shared" si="72"/>
        <v>0</v>
      </c>
      <c r="BB299" s="462">
        <f>IF(AND(AT299=1,AK299="E",AU299&gt;=0.75,AW299=1),Health,IF(AND(AT299=1,AK299="E",AU299&gt;=0.75),Health*P299,IF(AND(AT299=1,AK299="E",AU299&gt;=0.5,AW299=1),PTHealth,IF(AND(AT299=1,AK299="E",AU299&gt;=0.5),PTHealth*P299,0))))</f>
        <v>2912.5</v>
      </c>
      <c r="BC299" s="462">
        <f>IF(AND(AT299=3,AK299="E",AV299&gt;=0.75,AW299=1),Health,IF(AND(AT299=3,AK299="E",AV299&gt;=0.75),Health*P299,IF(AND(AT299=3,AK299="E",AV299&gt;=0.5,AW299=1),PTHealth,IF(AND(AT299=3,AK299="E",AV299&gt;=0.5),PTHealth*P299,0))))</f>
        <v>0</v>
      </c>
      <c r="BD299" s="462">
        <f>IF(AND(AT299&lt;&gt;0,AX299&gt;=MAXSSDI),SSDI*MAXSSDI*P299,IF(AT299&lt;&gt;0,SSDI*W299,0))</f>
        <v>931.41359999999997</v>
      </c>
      <c r="BE299" s="462">
        <f>IF(AT299&lt;&gt;0,SSHI*W299,0)</f>
        <v>217.8306</v>
      </c>
      <c r="BF299" s="462">
        <f>IF(AND(AT299&lt;&gt;0,AN299&lt;&gt;"NE"),VLOOKUP(AN299,Retirement_Rates,3,FALSE)*W299,0)</f>
        <v>1793.7223200000001</v>
      </c>
      <c r="BG299" s="462">
        <f>IF(AND(AT299&lt;&gt;0,AJ299&lt;&gt;"PF"),Life*W299,0)</f>
        <v>108.31438799999999</v>
      </c>
      <c r="BH299" s="462">
        <f>IF(AND(AT299&lt;&gt;0,AM299="Y"),UI*W299,0)</f>
        <v>73.611719999999991</v>
      </c>
      <c r="BI299" s="462">
        <f>IF(AND(AT299&lt;&gt;0,N299&lt;&gt;"NR"),DHR*W299,0)</f>
        <v>45.969767999999995</v>
      </c>
      <c r="BJ299" s="462">
        <f>IF(AT299&lt;&gt;0,WC*W299,0)</f>
        <v>404.11331999999999</v>
      </c>
      <c r="BK299" s="462">
        <f>IF(OR(AND(AT299&lt;&gt;0,AJ299&lt;&gt;"PF",AN299&lt;&gt;"NE",AG299&lt;&gt;"A"),AND(AL299="E",OR(AT299=1,AT299=3))),Sick*W299,0)</f>
        <v>0</v>
      </c>
      <c r="BL299" s="462">
        <f t="shared" si="73"/>
        <v>3574.9757159999995</v>
      </c>
      <c r="BM299" s="462">
        <f t="shared" si="74"/>
        <v>0</v>
      </c>
      <c r="BN299" s="462">
        <f>IF(AND(AT299=1,AK299="E",AU299&gt;=0.75,AW299=1),HealthBY,IF(AND(AT299=1,AK299="E",AU299&gt;=0.75),HealthBY*P299,IF(AND(AT299=1,AK299="E",AU299&gt;=0.5,AW299=1),PTHealthBY,IF(AND(AT299=1,AK299="E",AU299&gt;=0.5),PTHealthBY*P299,0))))</f>
        <v>2912.5</v>
      </c>
      <c r="BO299" s="462">
        <f>IF(AND(AT299=3,AK299="E",AV299&gt;=0.75,AW299=1),HealthBY,IF(AND(AT299=3,AK299="E",AV299&gt;=0.75),HealthBY*P299,IF(AND(AT299=3,AK299="E",AV299&gt;=0.5,AW299=1),PTHealthBY,IF(AND(AT299=3,AK299="E",AV299&gt;=0.5),PTHealthBY*P299,0))))</f>
        <v>0</v>
      </c>
      <c r="BP299" s="462">
        <f>IF(AND(AT299&lt;&gt;0,(AX299+BA299)&gt;=MAXSSDIBY),SSDIBY*MAXSSDIBY*P299,IF(AT299&lt;&gt;0,SSDIBY*W299,0))</f>
        <v>931.41359999999997</v>
      </c>
      <c r="BQ299" s="462">
        <f>IF(AT299&lt;&gt;0,SSHIBY*W299,0)</f>
        <v>217.8306</v>
      </c>
      <c r="BR299" s="462">
        <f>IF(AND(AT299&lt;&gt;0,AN299&lt;&gt;"NE"),VLOOKUP(AN299,Retirement_Rates,4,FALSE)*W299,0)</f>
        <v>1793.7223200000001</v>
      </c>
      <c r="BS299" s="462">
        <f>IF(AND(AT299&lt;&gt;0,AJ299&lt;&gt;"PF"),LifeBY*W299,0)</f>
        <v>108.31438799999999</v>
      </c>
      <c r="BT299" s="462">
        <f>IF(AND(AT299&lt;&gt;0,AM299="Y"),UIBY*W299,0)</f>
        <v>0</v>
      </c>
      <c r="BU299" s="462">
        <f>IF(AND(AT299&lt;&gt;0,N299&lt;&gt;"NR"),DHRBY*W299,0)</f>
        <v>45.969767999999995</v>
      </c>
      <c r="BV299" s="462">
        <f>IF(AT299&lt;&gt;0,WCBY*W299,0)</f>
        <v>521.29115999999999</v>
      </c>
      <c r="BW299" s="462">
        <f>IF(OR(AND(AT299&lt;&gt;0,AJ299&lt;&gt;"PF",AN299&lt;&gt;"NE",AG299&lt;&gt;"A"),AND(AL299="E",OR(AT299=1,AT299=3))),SickBY*W299,0)</f>
        <v>0</v>
      </c>
      <c r="BX299" s="462">
        <f t="shared" si="75"/>
        <v>3618.5418359999994</v>
      </c>
      <c r="BY299" s="462">
        <f t="shared" si="76"/>
        <v>0</v>
      </c>
      <c r="BZ299" s="462">
        <f t="shared" si="77"/>
        <v>0</v>
      </c>
      <c r="CA299" s="462">
        <f t="shared" si="78"/>
        <v>0</v>
      </c>
      <c r="CB299" s="462">
        <f t="shared" si="79"/>
        <v>0</v>
      </c>
      <c r="CC299" s="462">
        <f>IF(AT299&lt;&gt;0,SSHICHG*Y299,0)</f>
        <v>0</v>
      </c>
      <c r="CD299" s="462">
        <f>IF(AND(AT299&lt;&gt;0,AN299&lt;&gt;"NE"),VLOOKUP(AN299,Retirement_Rates,5,FALSE)*Y299,0)</f>
        <v>0</v>
      </c>
      <c r="CE299" s="462">
        <f>IF(AND(AT299&lt;&gt;0,AJ299&lt;&gt;"PF"),LifeCHG*Y299,0)</f>
        <v>0</v>
      </c>
      <c r="CF299" s="462">
        <f>IF(AND(AT299&lt;&gt;0,AM299="Y"),UICHG*Y299,0)</f>
        <v>-73.611719999999991</v>
      </c>
      <c r="CG299" s="462">
        <f>IF(AND(AT299&lt;&gt;0,N299&lt;&gt;"NR"),DHRCHG*Y299,0)</f>
        <v>0</v>
      </c>
      <c r="CH299" s="462">
        <f>IF(AT299&lt;&gt;0,WCCHG*Y299,0)</f>
        <v>117.17784000000002</v>
      </c>
      <c r="CI299" s="462">
        <f>IF(OR(AND(AT299&lt;&gt;0,AJ299&lt;&gt;"PF",AN299&lt;&gt;"NE",AG299&lt;&gt;"A"),AND(AL299="E",OR(AT299=1,AT299=3))),SickCHG*Y299,0)</f>
        <v>0</v>
      </c>
      <c r="CJ299" s="462">
        <f t="shared" si="80"/>
        <v>43.566120000000026</v>
      </c>
      <c r="CK299" s="462" t="str">
        <f t="shared" si="81"/>
        <v/>
      </c>
      <c r="CL299" s="462" t="str">
        <f t="shared" si="82"/>
        <v/>
      </c>
      <c r="CM299" s="462" t="str">
        <f t="shared" si="83"/>
        <v/>
      </c>
      <c r="CN299" s="462" t="str">
        <f t="shared" si="84"/>
        <v>0250-03</v>
      </c>
    </row>
    <row r="300" spans="1:92" ht="15" thickBot="1" x14ac:dyDescent="0.35">
      <c r="A300" s="376" t="s">
        <v>161</v>
      </c>
      <c r="B300" s="376" t="s">
        <v>162</v>
      </c>
      <c r="C300" s="376" t="s">
        <v>918</v>
      </c>
      <c r="D300" s="376" t="s">
        <v>919</v>
      </c>
      <c r="E300" s="376" t="s">
        <v>421</v>
      </c>
      <c r="F300" s="382" t="s">
        <v>902</v>
      </c>
      <c r="G300" s="376" t="s">
        <v>951</v>
      </c>
      <c r="H300" s="378"/>
      <c r="I300" s="378"/>
      <c r="J300" s="376" t="s">
        <v>229</v>
      </c>
      <c r="K300" s="376" t="s">
        <v>920</v>
      </c>
      <c r="L300" s="376" t="s">
        <v>170</v>
      </c>
      <c r="M300" s="376" t="s">
        <v>171</v>
      </c>
      <c r="N300" s="376" t="s">
        <v>172</v>
      </c>
      <c r="O300" s="379">
        <v>1</v>
      </c>
      <c r="P300" s="460">
        <v>0.25</v>
      </c>
      <c r="Q300" s="460">
        <v>0.25</v>
      </c>
      <c r="R300" s="380">
        <v>80</v>
      </c>
      <c r="S300" s="460">
        <v>0.25</v>
      </c>
      <c r="T300" s="380">
        <v>15549.94</v>
      </c>
      <c r="U300" s="380">
        <v>0</v>
      </c>
      <c r="V300" s="380">
        <v>6179.29</v>
      </c>
      <c r="W300" s="380">
        <v>15990</v>
      </c>
      <c r="X300" s="380">
        <v>6717.63</v>
      </c>
      <c r="Y300" s="380">
        <v>15990</v>
      </c>
      <c r="Z300" s="380">
        <v>6764</v>
      </c>
      <c r="AA300" s="376" t="s">
        <v>921</v>
      </c>
      <c r="AB300" s="376" t="s">
        <v>922</v>
      </c>
      <c r="AC300" s="376" t="s">
        <v>566</v>
      </c>
      <c r="AD300" s="376" t="s">
        <v>171</v>
      </c>
      <c r="AE300" s="376" t="s">
        <v>920</v>
      </c>
      <c r="AF300" s="376" t="s">
        <v>177</v>
      </c>
      <c r="AG300" s="376" t="s">
        <v>178</v>
      </c>
      <c r="AH300" s="381">
        <v>30.75</v>
      </c>
      <c r="AI300" s="381">
        <v>62562.6</v>
      </c>
      <c r="AJ300" s="376" t="s">
        <v>179</v>
      </c>
      <c r="AK300" s="376" t="s">
        <v>180</v>
      </c>
      <c r="AL300" s="376" t="s">
        <v>181</v>
      </c>
      <c r="AM300" s="376" t="s">
        <v>182</v>
      </c>
      <c r="AN300" s="376" t="s">
        <v>68</v>
      </c>
      <c r="AO300" s="379">
        <v>80</v>
      </c>
      <c r="AP300" s="460">
        <v>1</v>
      </c>
      <c r="AQ300" s="460">
        <v>0.25</v>
      </c>
      <c r="AR300" s="458" t="s">
        <v>183</v>
      </c>
      <c r="AS300" s="462">
        <f t="shared" si="68"/>
        <v>0.25</v>
      </c>
      <c r="AT300">
        <f t="shared" si="69"/>
        <v>1</v>
      </c>
      <c r="AU300" s="462">
        <f>IF(AT300=0,"",IF(AND(AT300=1,M300="F",SUMIF(C2:C391,C300,AS2:AS391)&lt;=1),SUMIF(C2:C391,C300,AS2:AS391),IF(AND(AT300=1,M300="F",SUMIF(C2:C391,C300,AS2:AS391)&gt;1),1,"")))</f>
        <v>1</v>
      </c>
      <c r="AV300" s="462" t="str">
        <f>IF(AT300=0,"",IF(AND(AT300=3,M300="F",SUMIF(C2:C391,C300,AS2:AS391)&lt;=1),SUMIF(C2:C391,C300,AS2:AS391),IF(AND(AT300=3,M300="F",SUMIF(C2:C391,C300,AS2:AS391)&gt;1),1,"")))</f>
        <v/>
      </c>
      <c r="AW300" s="462">
        <f>SUMIF(C2:C391,C300,O2:O391)</f>
        <v>3</v>
      </c>
      <c r="AX300" s="462">
        <f>IF(AND(M300="F",AS300&lt;&gt;0),SUMIF(C2:C391,C300,W2:W391),0)</f>
        <v>63960</v>
      </c>
      <c r="AY300" s="462">
        <f t="shared" si="70"/>
        <v>15990</v>
      </c>
      <c r="AZ300" s="462" t="str">
        <f t="shared" si="71"/>
        <v/>
      </c>
      <c r="BA300" s="462">
        <f t="shared" si="72"/>
        <v>0</v>
      </c>
      <c r="BB300" s="462">
        <f>IF(AND(AT300=1,AK300="E",AU300&gt;=0.75,AW300=1),Health,IF(AND(AT300=1,AK300="E",AU300&gt;=0.75),Health*P300,IF(AND(AT300=1,AK300="E",AU300&gt;=0.5,AW300=1),PTHealth,IF(AND(AT300=1,AK300="E",AU300&gt;=0.5),PTHealth*P300,0))))</f>
        <v>2912.5</v>
      </c>
      <c r="BC300" s="462">
        <f>IF(AND(AT300=3,AK300="E",AV300&gt;=0.75,AW300=1),Health,IF(AND(AT300=3,AK300="E",AV300&gt;=0.75),Health*P300,IF(AND(AT300=3,AK300="E",AV300&gt;=0.5,AW300=1),PTHealth,IF(AND(AT300=3,AK300="E",AV300&gt;=0.5),PTHealth*P300,0))))</f>
        <v>0</v>
      </c>
      <c r="BD300" s="462">
        <f>IF(AND(AT300&lt;&gt;0,AX300&gt;=MAXSSDI),SSDI*MAXSSDI*P300,IF(AT300&lt;&gt;0,SSDI*W300,0))</f>
        <v>991.38</v>
      </c>
      <c r="BE300" s="462">
        <f>IF(AT300&lt;&gt;0,SSHI*W300,0)</f>
        <v>231.85500000000002</v>
      </c>
      <c r="BF300" s="462">
        <f>IF(AND(AT300&lt;&gt;0,AN300&lt;&gt;"NE"),VLOOKUP(AN300,Retirement_Rates,3,FALSE)*W300,0)</f>
        <v>1909.2060000000001</v>
      </c>
      <c r="BG300" s="462">
        <f>IF(AND(AT300&lt;&gt;0,AJ300&lt;&gt;"PF"),Life*W300,0)</f>
        <v>115.28790000000001</v>
      </c>
      <c r="BH300" s="462">
        <f>IF(AND(AT300&lt;&gt;0,AM300="Y"),UI*W300,0)</f>
        <v>78.350999999999999</v>
      </c>
      <c r="BI300" s="462">
        <f>IF(AND(AT300&lt;&gt;0,N300&lt;&gt;"NR"),DHR*W300,0)</f>
        <v>48.929399999999994</v>
      </c>
      <c r="BJ300" s="462">
        <f>IF(AT300&lt;&gt;0,WC*W300,0)</f>
        <v>430.13100000000003</v>
      </c>
      <c r="BK300" s="462">
        <f>IF(OR(AND(AT300&lt;&gt;0,AJ300&lt;&gt;"PF",AN300&lt;&gt;"NE",AG300&lt;&gt;"A"),AND(AL300="E",OR(AT300=1,AT300=3))),Sick*W300,0)</f>
        <v>0</v>
      </c>
      <c r="BL300" s="462">
        <f t="shared" si="73"/>
        <v>3805.1403</v>
      </c>
      <c r="BM300" s="462">
        <f t="shared" si="74"/>
        <v>0</v>
      </c>
      <c r="BN300" s="462">
        <f>IF(AND(AT300=1,AK300="E",AU300&gt;=0.75,AW300=1),HealthBY,IF(AND(AT300=1,AK300="E",AU300&gt;=0.75),HealthBY*P300,IF(AND(AT300=1,AK300="E",AU300&gt;=0.5,AW300=1),PTHealthBY,IF(AND(AT300=1,AK300="E",AU300&gt;=0.5),PTHealthBY*P300,0))))</f>
        <v>2912.5</v>
      </c>
      <c r="BO300" s="462">
        <f>IF(AND(AT300=3,AK300="E",AV300&gt;=0.75,AW300=1),HealthBY,IF(AND(AT300=3,AK300="E",AV300&gt;=0.75),HealthBY*P300,IF(AND(AT300=3,AK300="E",AV300&gt;=0.5,AW300=1),PTHealthBY,IF(AND(AT300=3,AK300="E",AV300&gt;=0.5),PTHealthBY*P300,0))))</f>
        <v>0</v>
      </c>
      <c r="BP300" s="462">
        <f>IF(AND(AT300&lt;&gt;0,(AX300+BA300)&gt;=MAXSSDIBY),SSDIBY*MAXSSDIBY*P300,IF(AT300&lt;&gt;0,SSDIBY*W300,0))</f>
        <v>991.38</v>
      </c>
      <c r="BQ300" s="462">
        <f>IF(AT300&lt;&gt;0,SSHIBY*W300,0)</f>
        <v>231.85500000000002</v>
      </c>
      <c r="BR300" s="462">
        <f>IF(AND(AT300&lt;&gt;0,AN300&lt;&gt;"NE"),VLOOKUP(AN300,Retirement_Rates,4,FALSE)*W300,0)</f>
        <v>1909.2060000000001</v>
      </c>
      <c r="BS300" s="462">
        <f>IF(AND(AT300&lt;&gt;0,AJ300&lt;&gt;"PF"),LifeBY*W300,0)</f>
        <v>115.28790000000001</v>
      </c>
      <c r="BT300" s="462">
        <f>IF(AND(AT300&lt;&gt;0,AM300="Y"),UIBY*W300,0)</f>
        <v>0</v>
      </c>
      <c r="BU300" s="462">
        <f>IF(AND(AT300&lt;&gt;0,N300&lt;&gt;"NR"),DHRBY*W300,0)</f>
        <v>48.929399999999994</v>
      </c>
      <c r="BV300" s="462">
        <f>IF(AT300&lt;&gt;0,WCBY*W300,0)</f>
        <v>554.85300000000007</v>
      </c>
      <c r="BW300" s="462">
        <f>IF(OR(AND(AT300&lt;&gt;0,AJ300&lt;&gt;"PF",AN300&lt;&gt;"NE",AG300&lt;&gt;"A"),AND(AL300="E",OR(AT300=1,AT300=3))),SickBY*W300,0)</f>
        <v>0</v>
      </c>
      <c r="BX300" s="462">
        <f t="shared" si="75"/>
        <v>3851.5113000000001</v>
      </c>
      <c r="BY300" s="462">
        <f t="shared" si="76"/>
        <v>0</v>
      </c>
      <c r="BZ300" s="462">
        <f t="shared" si="77"/>
        <v>0</v>
      </c>
      <c r="CA300" s="462">
        <f t="shared" si="78"/>
        <v>0</v>
      </c>
      <c r="CB300" s="462">
        <f t="shared" si="79"/>
        <v>0</v>
      </c>
      <c r="CC300" s="462">
        <f>IF(AT300&lt;&gt;0,SSHICHG*Y300,0)</f>
        <v>0</v>
      </c>
      <c r="CD300" s="462">
        <f>IF(AND(AT300&lt;&gt;0,AN300&lt;&gt;"NE"),VLOOKUP(AN300,Retirement_Rates,5,FALSE)*Y300,0)</f>
        <v>0</v>
      </c>
      <c r="CE300" s="462">
        <f>IF(AND(AT300&lt;&gt;0,AJ300&lt;&gt;"PF"),LifeCHG*Y300,0)</f>
        <v>0</v>
      </c>
      <c r="CF300" s="462">
        <f>IF(AND(AT300&lt;&gt;0,AM300="Y"),UICHG*Y300,0)</f>
        <v>-78.350999999999999</v>
      </c>
      <c r="CG300" s="462">
        <f>IF(AND(AT300&lt;&gt;0,N300&lt;&gt;"NR"),DHRCHG*Y300,0)</f>
        <v>0</v>
      </c>
      <c r="CH300" s="462">
        <f>IF(AT300&lt;&gt;0,WCCHG*Y300,0)</f>
        <v>124.72200000000002</v>
      </c>
      <c r="CI300" s="462">
        <f>IF(OR(AND(AT300&lt;&gt;0,AJ300&lt;&gt;"PF",AN300&lt;&gt;"NE",AG300&lt;&gt;"A"),AND(AL300="E",OR(AT300=1,AT300=3))),SickCHG*Y300,0)</f>
        <v>0</v>
      </c>
      <c r="CJ300" s="462">
        <f t="shared" si="80"/>
        <v>46.371000000000024</v>
      </c>
      <c r="CK300" s="462" t="str">
        <f t="shared" si="81"/>
        <v/>
      </c>
      <c r="CL300" s="462" t="str">
        <f t="shared" si="82"/>
        <v/>
      </c>
      <c r="CM300" s="462" t="str">
        <f t="shared" si="83"/>
        <v/>
      </c>
      <c r="CN300" s="462" t="str">
        <f t="shared" si="84"/>
        <v>0250-03</v>
      </c>
    </row>
    <row r="301" spans="1:92" ht="15" thickBot="1" x14ac:dyDescent="0.35">
      <c r="A301" s="376" t="s">
        <v>161</v>
      </c>
      <c r="B301" s="376" t="s">
        <v>162</v>
      </c>
      <c r="C301" s="376" t="s">
        <v>966</v>
      </c>
      <c r="D301" s="376" t="s">
        <v>901</v>
      </c>
      <c r="E301" s="376" t="s">
        <v>421</v>
      </c>
      <c r="F301" s="382" t="s">
        <v>902</v>
      </c>
      <c r="G301" s="376" t="s">
        <v>951</v>
      </c>
      <c r="H301" s="378"/>
      <c r="I301" s="378"/>
      <c r="J301" s="376" t="s">
        <v>193</v>
      </c>
      <c r="K301" s="376" t="s">
        <v>903</v>
      </c>
      <c r="L301" s="376" t="s">
        <v>240</v>
      </c>
      <c r="M301" s="376" t="s">
        <v>171</v>
      </c>
      <c r="N301" s="376" t="s">
        <v>172</v>
      </c>
      <c r="O301" s="379">
        <v>1</v>
      </c>
      <c r="P301" s="460">
        <v>0.3</v>
      </c>
      <c r="Q301" s="460">
        <v>0.3</v>
      </c>
      <c r="R301" s="380">
        <v>80</v>
      </c>
      <c r="S301" s="460">
        <v>0.3</v>
      </c>
      <c r="T301" s="380">
        <v>13757.75</v>
      </c>
      <c r="U301" s="380">
        <v>0</v>
      </c>
      <c r="V301" s="380">
        <v>6613.09</v>
      </c>
      <c r="W301" s="380">
        <v>14146.08</v>
      </c>
      <c r="X301" s="380">
        <v>6861.33</v>
      </c>
      <c r="Y301" s="380">
        <v>14146.08</v>
      </c>
      <c r="Z301" s="380">
        <v>6902.35</v>
      </c>
      <c r="AA301" s="376" t="s">
        <v>967</v>
      </c>
      <c r="AB301" s="376" t="s">
        <v>968</v>
      </c>
      <c r="AC301" s="376" t="s">
        <v>675</v>
      </c>
      <c r="AD301" s="376" t="s">
        <v>176</v>
      </c>
      <c r="AE301" s="376" t="s">
        <v>903</v>
      </c>
      <c r="AF301" s="376" t="s">
        <v>244</v>
      </c>
      <c r="AG301" s="376" t="s">
        <v>178</v>
      </c>
      <c r="AH301" s="381">
        <v>22.67</v>
      </c>
      <c r="AI301" s="381">
        <v>18185.5</v>
      </c>
      <c r="AJ301" s="376" t="s">
        <v>179</v>
      </c>
      <c r="AK301" s="376" t="s">
        <v>180</v>
      </c>
      <c r="AL301" s="376" t="s">
        <v>181</v>
      </c>
      <c r="AM301" s="376" t="s">
        <v>182</v>
      </c>
      <c r="AN301" s="376" t="s">
        <v>68</v>
      </c>
      <c r="AO301" s="379">
        <v>80</v>
      </c>
      <c r="AP301" s="460">
        <v>1</v>
      </c>
      <c r="AQ301" s="460">
        <v>0.3</v>
      </c>
      <c r="AR301" s="458" t="s">
        <v>183</v>
      </c>
      <c r="AS301" s="462">
        <f t="shared" si="68"/>
        <v>0.3</v>
      </c>
      <c r="AT301">
        <f t="shared" si="69"/>
        <v>1</v>
      </c>
      <c r="AU301" s="462">
        <f>IF(AT301=0,"",IF(AND(AT301=1,M301="F",SUMIF(C2:C391,C301,AS2:AS391)&lt;=1),SUMIF(C2:C391,C301,AS2:AS391),IF(AND(AT301=1,M301="F",SUMIF(C2:C391,C301,AS2:AS391)&gt;1),1,"")))</f>
        <v>1</v>
      </c>
      <c r="AV301" s="462" t="str">
        <f>IF(AT301=0,"",IF(AND(AT301=3,M301="F",SUMIF(C2:C391,C301,AS2:AS391)&lt;=1),SUMIF(C2:C391,C301,AS2:AS391),IF(AND(AT301=3,M301="F",SUMIF(C2:C391,C301,AS2:AS391)&gt;1),1,"")))</f>
        <v/>
      </c>
      <c r="AW301" s="462">
        <f>SUMIF(C2:C391,C301,O2:O391)</f>
        <v>2</v>
      </c>
      <c r="AX301" s="462">
        <f>IF(AND(M301="F",AS301&lt;&gt;0),SUMIF(C2:C391,C301,W2:W391),0)</f>
        <v>47153.599999999999</v>
      </c>
      <c r="AY301" s="462">
        <f t="shared" si="70"/>
        <v>14146.08</v>
      </c>
      <c r="AZ301" s="462" t="str">
        <f t="shared" si="71"/>
        <v/>
      </c>
      <c r="BA301" s="462">
        <f t="shared" si="72"/>
        <v>0</v>
      </c>
      <c r="BB301" s="462">
        <f>IF(AND(AT301=1,AK301="E",AU301&gt;=0.75,AW301=1),Health,IF(AND(AT301=1,AK301="E",AU301&gt;=0.75),Health*P301,IF(AND(AT301=1,AK301="E",AU301&gt;=0.5,AW301=1),PTHealth,IF(AND(AT301=1,AK301="E",AU301&gt;=0.5),PTHealth*P301,0))))</f>
        <v>3495</v>
      </c>
      <c r="BC301" s="462">
        <f>IF(AND(AT301=3,AK301="E",AV301&gt;=0.75,AW301=1),Health,IF(AND(AT301=3,AK301="E",AV301&gt;=0.75),Health*P301,IF(AND(AT301=3,AK301="E",AV301&gt;=0.5,AW301=1),PTHealth,IF(AND(AT301=3,AK301="E",AV301&gt;=0.5),PTHealth*P301,0))))</f>
        <v>0</v>
      </c>
      <c r="BD301" s="462">
        <f>IF(AND(AT301&lt;&gt;0,AX301&gt;=MAXSSDI),SSDI*MAXSSDI*P301,IF(AT301&lt;&gt;0,SSDI*W301,0))</f>
        <v>877.05696</v>
      </c>
      <c r="BE301" s="462">
        <f>IF(AT301&lt;&gt;0,SSHI*W301,0)</f>
        <v>205.11816000000002</v>
      </c>
      <c r="BF301" s="462">
        <f>IF(AND(AT301&lt;&gt;0,AN301&lt;&gt;"NE"),VLOOKUP(AN301,Retirement_Rates,3,FALSE)*W301,0)</f>
        <v>1689.041952</v>
      </c>
      <c r="BG301" s="462">
        <f>IF(AND(AT301&lt;&gt;0,AJ301&lt;&gt;"PF"),Life*W301,0)</f>
        <v>101.99323680000001</v>
      </c>
      <c r="BH301" s="462">
        <f>IF(AND(AT301&lt;&gt;0,AM301="Y"),UI*W301,0)</f>
        <v>69.315792000000002</v>
      </c>
      <c r="BI301" s="462">
        <f>IF(AND(AT301&lt;&gt;0,N301&lt;&gt;"NR"),DHR*W301,0)</f>
        <v>43.287004799999998</v>
      </c>
      <c r="BJ301" s="462">
        <f>IF(AT301&lt;&gt;0,WC*W301,0)</f>
        <v>380.52955200000002</v>
      </c>
      <c r="BK301" s="462">
        <f>IF(OR(AND(AT301&lt;&gt;0,AJ301&lt;&gt;"PF",AN301&lt;&gt;"NE",AG301&lt;&gt;"A"),AND(AL301="E",OR(AT301=1,AT301=3))),Sick*W301,0)</f>
        <v>0</v>
      </c>
      <c r="BL301" s="462">
        <f t="shared" si="73"/>
        <v>3366.3426576000002</v>
      </c>
      <c r="BM301" s="462">
        <f t="shared" si="74"/>
        <v>0</v>
      </c>
      <c r="BN301" s="462">
        <f>IF(AND(AT301=1,AK301="E",AU301&gt;=0.75,AW301=1),HealthBY,IF(AND(AT301=1,AK301="E",AU301&gt;=0.75),HealthBY*P301,IF(AND(AT301=1,AK301="E",AU301&gt;=0.5,AW301=1),PTHealthBY,IF(AND(AT301=1,AK301="E",AU301&gt;=0.5),PTHealthBY*P301,0))))</f>
        <v>3495</v>
      </c>
      <c r="BO301" s="462">
        <f>IF(AND(AT301=3,AK301="E",AV301&gt;=0.75,AW301=1),HealthBY,IF(AND(AT301=3,AK301="E",AV301&gt;=0.75),HealthBY*P301,IF(AND(AT301=3,AK301="E",AV301&gt;=0.5,AW301=1),PTHealthBY,IF(AND(AT301=3,AK301="E",AV301&gt;=0.5),PTHealthBY*P301,0))))</f>
        <v>0</v>
      </c>
      <c r="BP301" s="462">
        <f>IF(AND(AT301&lt;&gt;0,(AX301+BA301)&gt;=MAXSSDIBY),SSDIBY*MAXSSDIBY*P301,IF(AT301&lt;&gt;0,SSDIBY*W301,0))</f>
        <v>877.05696</v>
      </c>
      <c r="BQ301" s="462">
        <f>IF(AT301&lt;&gt;0,SSHIBY*W301,0)</f>
        <v>205.11816000000002</v>
      </c>
      <c r="BR301" s="462">
        <f>IF(AND(AT301&lt;&gt;0,AN301&lt;&gt;"NE"),VLOOKUP(AN301,Retirement_Rates,4,FALSE)*W301,0)</f>
        <v>1689.041952</v>
      </c>
      <c r="BS301" s="462">
        <f>IF(AND(AT301&lt;&gt;0,AJ301&lt;&gt;"PF"),LifeBY*W301,0)</f>
        <v>101.99323680000001</v>
      </c>
      <c r="BT301" s="462">
        <f>IF(AND(AT301&lt;&gt;0,AM301="Y"),UIBY*W301,0)</f>
        <v>0</v>
      </c>
      <c r="BU301" s="462">
        <f>IF(AND(AT301&lt;&gt;0,N301&lt;&gt;"NR"),DHRBY*W301,0)</f>
        <v>43.287004799999998</v>
      </c>
      <c r="BV301" s="462">
        <f>IF(AT301&lt;&gt;0,WCBY*W301,0)</f>
        <v>490.86897600000003</v>
      </c>
      <c r="BW301" s="462">
        <f>IF(OR(AND(AT301&lt;&gt;0,AJ301&lt;&gt;"PF",AN301&lt;&gt;"NE",AG301&lt;&gt;"A"),AND(AL301="E",OR(AT301=1,AT301=3))),SickBY*W301,0)</f>
        <v>0</v>
      </c>
      <c r="BX301" s="462">
        <f t="shared" si="75"/>
        <v>3407.3662896000005</v>
      </c>
      <c r="BY301" s="462">
        <f t="shared" si="76"/>
        <v>0</v>
      </c>
      <c r="BZ301" s="462">
        <f t="shared" si="77"/>
        <v>0</v>
      </c>
      <c r="CA301" s="462">
        <f t="shared" si="78"/>
        <v>0</v>
      </c>
      <c r="CB301" s="462">
        <f t="shared" si="79"/>
        <v>0</v>
      </c>
      <c r="CC301" s="462">
        <f>IF(AT301&lt;&gt;0,SSHICHG*Y301,0)</f>
        <v>0</v>
      </c>
      <c r="CD301" s="462">
        <f>IF(AND(AT301&lt;&gt;0,AN301&lt;&gt;"NE"),VLOOKUP(AN301,Retirement_Rates,5,FALSE)*Y301,0)</f>
        <v>0</v>
      </c>
      <c r="CE301" s="462">
        <f>IF(AND(AT301&lt;&gt;0,AJ301&lt;&gt;"PF"),LifeCHG*Y301,0)</f>
        <v>0</v>
      </c>
      <c r="CF301" s="462">
        <f>IF(AND(AT301&lt;&gt;0,AM301="Y"),UICHG*Y301,0)</f>
        <v>-69.315792000000002</v>
      </c>
      <c r="CG301" s="462">
        <f>IF(AND(AT301&lt;&gt;0,N301&lt;&gt;"NR"),DHRCHG*Y301,0)</f>
        <v>0</v>
      </c>
      <c r="CH301" s="462">
        <f>IF(AT301&lt;&gt;0,WCCHG*Y301,0)</f>
        <v>110.33942400000002</v>
      </c>
      <c r="CI301" s="462">
        <f>IF(OR(AND(AT301&lt;&gt;0,AJ301&lt;&gt;"PF",AN301&lt;&gt;"NE",AG301&lt;&gt;"A"),AND(AL301="E",OR(AT301=1,AT301=3))),SickCHG*Y301,0)</f>
        <v>0</v>
      </c>
      <c r="CJ301" s="462">
        <f t="shared" si="80"/>
        <v>41.023632000000021</v>
      </c>
      <c r="CK301" s="462" t="str">
        <f t="shared" si="81"/>
        <v/>
      </c>
      <c r="CL301" s="462" t="str">
        <f t="shared" si="82"/>
        <v/>
      </c>
      <c r="CM301" s="462" t="str">
        <f t="shared" si="83"/>
        <v/>
      </c>
      <c r="CN301" s="462" t="str">
        <f t="shared" si="84"/>
        <v>0250-03</v>
      </c>
    </row>
    <row r="302" spans="1:92" ht="15" thickBot="1" x14ac:dyDescent="0.35">
      <c r="A302" s="376" t="s">
        <v>161</v>
      </c>
      <c r="B302" s="376" t="s">
        <v>162</v>
      </c>
      <c r="C302" s="376" t="s">
        <v>969</v>
      </c>
      <c r="D302" s="376" t="s">
        <v>221</v>
      </c>
      <c r="E302" s="376" t="s">
        <v>421</v>
      </c>
      <c r="F302" s="382" t="s">
        <v>422</v>
      </c>
      <c r="G302" s="376" t="s">
        <v>951</v>
      </c>
      <c r="H302" s="378"/>
      <c r="I302" s="378"/>
      <c r="J302" s="376" t="s">
        <v>168</v>
      </c>
      <c r="K302" s="376" t="s">
        <v>222</v>
      </c>
      <c r="L302" s="376" t="s">
        <v>166</v>
      </c>
      <c r="M302" s="376" t="s">
        <v>225</v>
      </c>
      <c r="N302" s="376" t="s">
        <v>223</v>
      </c>
      <c r="O302" s="379">
        <v>0</v>
      </c>
      <c r="P302" s="460">
        <v>1</v>
      </c>
      <c r="Q302" s="460">
        <v>0</v>
      </c>
      <c r="R302" s="380">
        <v>0</v>
      </c>
      <c r="S302" s="460">
        <v>0</v>
      </c>
      <c r="T302" s="380">
        <v>3585</v>
      </c>
      <c r="U302" s="380">
        <v>0</v>
      </c>
      <c r="V302" s="380">
        <v>405.45</v>
      </c>
      <c r="W302" s="380">
        <v>3585</v>
      </c>
      <c r="X302" s="380">
        <v>405.45</v>
      </c>
      <c r="Y302" s="380">
        <v>3585</v>
      </c>
      <c r="Z302" s="380">
        <v>405.45</v>
      </c>
      <c r="AA302" s="378"/>
      <c r="AB302" s="376" t="s">
        <v>45</v>
      </c>
      <c r="AC302" s="376" t="s">
        <v>45</v>
      </c>
      <c r="AD302" s="378"/>
      <c r="AE302" s="378"/>
      <c r="AF302" s="378"/>
      <c r="AG302" s="378"/>
      <c r="AH302" s="379">
        <v>0</v>
      </c>
      <c r="AI302" s="379">
        <v>0</v>
      </c>
      <c r="AJ302" s="378"/>
      <c r="AK302" s="378"/>
      <c r="AL302" s="376" t="s">
        <v>181</v>
      </c>
      <c r="AM302" s="378"/>
      <c r="AN302" s="378"/>
      <c r="AO302" s="379">
        <v>0</v>
      </c>
      <c r="AP302" s="460">
        <v>0</v>
      </c>
      <c r="AQ302" s="460">
        <v>0</v>
      </c>
      <c r="AR302" s="459"/>
      <c r="AS302" s="462">
        <f t="shared" si="68"/>
        <v>0</v>
      </c>
      <c r="AT302">
        <f t="shared" si="69"/>
        <v>0</v>
      </c>
      <c r="AU302" s="462" t="str">
        <f>IF(AT302=0,"",IF(AND(AT302=1,M302="F",SUMIF(C2:C391,C302,AS2:AS391)&lt;=1),SUMIF(C2:C391,C302,AS2:AS391),IF(AND(AT302=1,M302="F",SUMIF(C2:C391,C302,AS2:AS391)&gt;1),1,"")))</f>
        <v/>
      </c>
      <c r="AV302" s="462" t="str">
        <f>IF(AT302=0,"",IF(AND(AT302=3,M302="F",SUMIF(C2:C391,C302,AS2:AS391)&lt;=1),SUMIF(C2:C391,C302,AS2:AS391),IF(AND(AT302=3,M302="F",SUMIF(C2:C391,C302,AS2:AS391)&gt;1),1,"")))</f>
        <v/>
      </c>
      <c r="AW302" s="462">
        <f>SUMIF(C2:C391,C302,O2:O391)</f>
        <v>0</v>
      </c>
      <c r="AX302" s="462">
        <f>IF(AND(M302="F",AS302&lt;&gt;0),SUMIF(C2:C391,C302,W2:W391),0)</f>
        <v>0</v>
      </c>
      <c r="AY302" s="462" t="str">
        <f t="shared" si="70"/>
        <v/>
      </c>
      <c r="AZ302" s="462" t="str">
        <f t="shared" si="71"/>
        <v/>
      </c>
      <c r="BA302" s="462">
        <f t="shared" si="72"/>
        <v>0</v>
      </c>
      <c r="BB302" s="462">
        <f>IF(AND(AT302=1,AK302="E",AU302&gt;=0.75,AW302=1),Health,IF(AND(AT302=1,AK302="E",AU302&gt;=0.75),Health*P302,IF(AND(AT302=1,AK302="E",AU302&gt;=0.5,AW302=1),PTHealth,IF(AND(AT302=1,AK302="E",AU302&gt;=0.5),PTHealth*P302,0))))</f>
        <v>0</v>
      </c>
      <c r="BC302" s="462">
        <f>IF(AND(AT302=3,AK302="E",AV302&gt;=0.75,AW302=1),Health,IF(AND(AT302=3,AK302="E",AV302&gt;=0.75),Health*P302,IF(AND(AT302=3,AK302="E",AV302&gt;=0.5,AW302=1),PTHealth,IF(AND(AT302=3,AK302="E",AV302&gt;=0.5),PTHealth*P302,0))))</f>
        <v>0</v>
      </c>
      <c r="BD302" s="462">
        <f>IF(AND(AT302&lt;&gt;0,AX302&gt;=MAXSSDI),SSDI*MAXSSDI*P302,IF(AT302&lt;&gt;0,SSDI*W302,0))</f>
        <v>0</v>
      </c>
      <c r="BE302" s="462">
        <f>IF(AT302&lt;&gt;0,SSHI*W302,0)</f>
        <v>0</v>
      </c>
      <c r="BF302" s="462">
        <f>IF(AND(AT302&lt;&gt;0,AN302&lt;&gt;"NE"),VLOOKUP(AN302,Retirement_Rates,3,FALSE)*W302,0)</f>
        <v>0</v>
      </c>
      <c r="BG302" s="462">
        <f>IF(AND(AT302&lt;&gt;0,AJ302&lt;&gt;"PF"),Life*W302,0)</f>
        <v>0</v>
      </c>
      <c r="BH302" s="462">
        <f>IF(AND(AT302&lt;&gt;0,AM302="Y"),UI*W302,0)</f>
        <v>0</v>
      </c>
      <c r="BI302" s="462">
        <f>IF(AND(AT302&lt;&gt;0,N302&lt;&gt;"NR"),DHR*W302,0)</f>
        <v>0</v>
      </c>
      <c r="BJ302" s="462">
        <f>IF(AT302&lt;&gt;0,WC*W302,0)</f>
        <v>0</v>
      </c>
      <c r="BK302" s="462">
        <f>IF(OR(AND(AT302&lt;&gt;0,AJ302&lt;&gt;"PF",AN302&lt;&gt;"NE",AG302&lt;&gt;"A"),AND(AL302="E",OR(AT302=1,AT302=3))),Sick*W302,0)</f>
        <v>0</v>
      </c>
      <c r="BL302" s="462">
        <f t="shared" si="73"/>
        <v>0</v>
      </c>
      <c r="BM302" s="462">
        <f t="shared" si="74"/>
        <v>0</v>
      </c>
      <c r="BN302" s="462">
        <f>IF(AND(AT302=1,AK302="E",AU302&gt;=0.75,AW302=1),HealthBY,IF(AND(AT302=1,AK302="E",AU302&gt;=0.75),HealthBY*P302,IF(AND(AT302=1,AK302="E",AU302&gt;=0.5,AW302=1),PTHealthBY,IF(AND(AT302=1,AK302="E",AU302&gt;=0.5),PTHealthBY*P302,0))))</f>
        <v>0</v>
      </c>
      <c r="BO302" s="462">
        <f>IF(AND(AT302=3,AK302="E",AV302&gt;=0.75,AW302=1),HealthBY,IF(AND(AT302=3,AK302="E",AV302&gt;=0.75),HealthBY*P302,IF(AND(AT302=3,AK302="E",AV302&gt;=0.5,AW302=1),PTHealthBY,IF(AND(AT302=3,AK302="E",AV302&gt;=0.5),PTHealthBY*P302,0))))</f>
        <v>0</v>
      </c>
      <c r="BP302" s="462">
        <f>IF(AND(AT302&lt;&gt;0,(AX302+BA302)&gt;=MAXSSDIBY),SSDIBY*MAXSSDIBY*P302,IF(AT302&lt;&gt;0,SSDIBY*W302,0))</f>
        <v>0</v>
      </c>
      <c r="BQ302" s="462">
        <f>IF(AT302&lt;&gt;0,SSHIBY*W302,0)</f>
        <v>0</v>
      </c>
      <c r="BR302" s="462">
        <f>IF(AND(AT302&lt;&gt;0,AN302&lt;&gt;"NE"),VLOOKUP(AN302,Retirement_Rates,4,FALSE)*W302,0)</f>
        <v>0</v>
      </c>
      <c r="BS302" s="462">
        <f>IF(AND(AT302&lt;&gt;0,AJ302&lt;&gt;"PF"),LifeBY*W302,0)</f>
        <v>0</v>
      </c>
      <c r="BT302" s="462">
        <f>IF(AND(AT302&lt;&gt;0,AM302="Y"),UIBY*W302,0)</f>
        <v>0</v>
      </c>
      <c r="BU302" s="462">
        <f>IF(AND(AT302&lt;&gt;0,N302&lt;&gt;"NR"),DHRBY*W302,0)</f>
        <v>0</v>
      </c>
      <c r="BV302" s="462">
        <f>IF(AT302&lt;&gt;0,WCBY*W302,0)</f>
        <v>0</v>
      </c>
      <c r="BW302" s="462">
        <f>IF(OR(AND(AT302&lt;&gt;0,AJ302&lt;&gt;"PF",AN302&lt;&gt;"NE",AG302&lt;&gt;"A"),AND(AL302="E",OR(AT302=1,AT302=3))),SickBY*W302,0)</f>
        <v>0</v>
      </c>
      <c r="BX302" s="462">
        <f t="shared" si="75"/>
        <v>0</v>
      </c>
      <c r="BY302" s="462">
        <f t="shared" si="76"/>
        <v>0</v>
      </c>
      <c r="BZ302" s="462">
        <f t="shared" si="77"/>
        <v>0</v>
      </c>
      <c r="CA302" s="462">
        <f t="shared" si="78"/>
        <v>0</v>
      </c>
      <c r="CB302" s="462">
        <f t="shared" si="79"/>
        <v>0</v>
      </c>
      <c r="CC302" s="462">
        <f>IF(AT302&lt;&gt;0,SSHICHG*Y302,0)</f>
        <v>0</v>
      </c>
      <c r="CD302" s="462">
        <f>IF(AND(AT302&lt;&gt;0,AN302&lt;&gt;"NE"),VLOOKUP(AN302,Retirement_Rates,5,FALSE)*Y302,0)</f>
        <v>0</v>
      </c>
      <c r="CE302" s="462">
        <f>IF(AND(AT302&lt;&gt;0,AJ302&lt;&gt;"PF"),LifeCHG*Y302,0)</f>
        <v>0</v>
      </c>
      <c r="CF302" s="462">
        <f>IF(AND(AT302&lt;&gt;0,AM302="Y"),UICHG*Y302,0)</f>
        <v>0</v>
      </c>
      <c r="CG302" s="462">
        <f>IF(AND(AT302&lt;&gt;0,N302&lt;&gt;"NR"),DHRCHG*Y302,0)</f>
        <v>0</v>
      </c>
      <c r="CH302" s="462">
        <f>IF(AT302&lt;&gt;0,WCCHG*Y302,0)</f>
        <v>0</v>
      </c>
      <c r="CI302" s="462">
        <f>IF(OR(AND(AT302&lt;&gt;0,AJ302&lt;&gt;"PF",AN302&lt;&gt;"NE",AG302&lt;&gt;"A"),AND(AL302="E",OR(AT302=1,AT302=3))),SickCHG*Y302,0)</f>
        <v>0</v>
      </c>
      <c r="CJ302" s="462">
        <f t="shared" si="80"/>
        <v>0</v>
      </c>
      <c r="CK302" s="462" t="str">
        <f t="shared" si="81"/>
        <v/>
      </c>
      <c r="CL302" s="462">
        <f t="shared" si="82"/>
        <v>3585</v>
      </c>
      <c r="CM302" s="462">
        <f t="shared" si="83"/>
        <v>405.45</v>
      </c>
      <c r="CN302" s="462" t="str">
        <f t="shared" si="84"/>
        <v>0250-04</v>
      </c>
    </row>
    <row r="303" spans="1:92" ht="15" thickBot="1" x14ac:dyDescent="0.35">
      <c r="A303" s="376" t="s">
        <v>161</v>
      </c>
      <c r="B303" s="376" t="s">
        <v>162</v>
      </c>
      <c r="C303" s="376" t="s">
        <v>906</v>
      </c>
      <c r="D303" s="376" t="s">
        <v>907</v>
      </c>
      <c r="E303" s="376" t="s">
        <v>421</v>
      </c>
      <c r="F303" s="382" t="s">
        <v>422</v>
      </c>
      <c r="G303" s="376" t="s">
        <v>951</v>
      </c>
      <c r="H303" s="378"/>
      <c r="I303" s="378"/>
      <c r="J303" s="376" t="s">
        <v>193</v>
      </c>
      <c r="K303" s="376" t="s">
        <v>908</v>
      </c>
      <c r="L303" s="376" t="s">
        <v>178</v>
      </c>
      <c r="M303" s="376" t="s">
        <v>225</v>
      </c>
      <c r="N303" s="376" t="s">
        <v>172</v>
      </c>
      <c r="O303" s="379">
        <v>0</v>
      </c>
      <c r="P303" s="460">
        <v>0.6</v>
      </c>
      <c r="Q303" s="460">
        <v>0.6</v>
      </c>
      <c r="R303" s="380">
        <v>80</v>
      </c>
      <c r="S303" s="460">
        <v>0.6</v>
      </c>
      <c r="T303" s="380">
        <v>0</v>
      </c>
      <c r="U303" s="380">
        <v>0</v>
      </c>
      <c r="V303" s="380">
        <v>0</v>
      </c>
      <c r="W303" s="380">
        <v>19256.64</v>
      </c>
      <c r="X303" s="380">
        <v>8434.4</v>
      </c>
      <c r="Y303" s="380">
        <v>19256.64</v>
      </c>
      <c r="Z303" s="380">
        <v>8338.1200000000008</v>
      </c>
      <c r="AA303" s="378"/>
      <c r="AB303" s="376" t="s">
        <v>45</v>
      </c>
      <c r="AC303" s="376" t="s">
        <v>45</v>
      </c>
      <c r="AD303" s="378"/>
      <c r="AE303" s="378"/>
      <c r="AF303" s="378"/>
      <c r="AG303" s="378"/>
      <c r="AH303" s="379">
        <v>0</v>
      </c>
      <c r="AI303" s="379">
        <v>0</v>
      </c>
      <c r="AJ303" s="378"/>
      <c r="AK303" s="378"/>
      <c r="AL303" s="376" t="s">
        <v>181</v>
      </c>
      <c r="AM303" s="378"/>
      <c r="AN303" s="378"/>
      <c r="AO303" s="379">
        <v>0</v>
      </c>
      <c r="AP303" s="460">
        <v>0</v>
      </c>
      <c r="AQ303" s="460">
        <v>0</v>
      </c>
      <c r="AR303" s="459"/>
      <c r="AS303" s="462">
        <f t="shared" si="68"/>
        <v>0</v>
      </c>
      <c r="AT303">
        <f t="shared" si="69"/>
        <v>0</v>
      </c>
      <c r="AU303" s="462" t="str">
        <f>IF(AT303=0,"",IF(AND(AT303=1,M303="F",SUMIF(C2:C391,C303,AS2:AS391)&lt;=1),SUMIF(C2:C391,C303,AS2:AS391),IF(AND(AT303=1,M303="F",SUMIF(C2:C391,C303,AS2:AS391)&gt;1),1,"")))</f>
        <v/>
      </c>
      <c r="AV303" s="462" t="str">
        <f>IF(AT303=0,"",IF(AND(AT303=3,M303="F",SUMIF(C2:C391,C303,AS2:AS391)&lt;=1),SUMIF(C2:C391,C303,AS2:AS391),IF(AND(AT303=3,M303="F",SUMIF(C2:C391,C303,AS2:AS391)&gt;1),1,"")))</f>
        <v/>
      </c>
      <c r="AW303" s="462">
        <f>SUMIF(C2:C391,C303,O2:O391)</f>
        <v>0</v>
      </c>
      <c r="AX303" s="462">
        <f>IF(AND(M303="F",AS303&lt;&gt;0),SUMIF(C2:C391,C303,W2:W391),0)</f>
        <v>0</v>
      </c>
      <c r="AY303" s="462" t="str">
        <f t="shared" si="70"/>
        <v/>
      </c>
      <c r="AZ303" s="462" t="str">
        <f t="shared" si="71"/>
        <v/>
      </c>
      <c r="BA303" s="462">
        <f t="shared" si="72"/>
        <v>0</v>
      </c>
      <c r="BB303" s="462">
        <f>IF(AND(AT303=1,AK303="E",AU303&gt;=0.75,AW303=1),Health,IF(AND(AT303=1,AK303="E",AU303&gt;=0.75),Health*P303,IF(AND(AT303=1,AK303="E",AU303&gt;=0.5,AW303=1),PTHealth,IF(AND(AT303=1,AK303="E",AU303&gt;=0.5),PTHealth*P303,0))))</f>
        <v>0</v>
      </c>
      <c r="BC303" s="462">
        <f>IF(AND(AT303=3,AK303="E",AV303&gt;=0.75,AW303=1),Health,IF(AND(AT303=3,AK303="E",AV303&gt;=0.75),Health*P303,IF(AND(AT303=3,AK303="E",AV303&gt;=0.5,AW303=1),PTHealth,IF(AND(AT303=3,AK303="E",AV303&gt;=0.5),PTHealth*P303,0))))</f>
        <v>0</v>
      </c>
      <c r="BD303" s="462">
        <f>IF(AND(AT303&lt;&gt;0,AX303&gt;=MAXSSDI),SSDI*MAXSSDI*P303,IF(AT303&lt;&gt;0,SSDI*W303,0))</f>
        <v>0</v>
      </c>
      <c r="BE303" s="462">
        <f>IF(AT303&lt;&gt;0,SSHI*W303,0)</f>
        <v>0</v>
      </c>
      <c r="BF303" s="462">
        <f>IF(AND(AT303&lt;&gt;0,AN303&lt;&gt;"NE"),VLOOKUP(AN303,Retirement_Rates,3,FALSE)*W303,0)</f>
        <v>0</v>
      </c>
      <c r="BG303" s="462">
        <f>IF(AND(AT303&lt;&gt;0,AJ303&lt;&gt;"PF"),Life*W303,0)</f>
        <v>0</v>
      </c>
      <c r="BH303" s="462">
        <f>IF(AND(AT303&lt;&gt;0,AM303="Y"),UI*W303,0)</f>
        <v>0</v>
      </c>
      <c r="BI303" s="462">
        <f>IF(AND(AT303&lt;&gt;0,N303&lt;&gt;"NR"),DHR*W303,0)</f>
        <v>0</v>
      </c>
      <c r="BJ303" s="462">
        <f>IF(AT303&lt;&gt;0,WC*W303,0)</f>
        <v>0</v>
      </c>
      <c r="BK303" s="462">
        <f>IF(OR(AND(AT303&lt;&gt;0,AJ303&lt;&gt;"PF",AN303&lt;&gt;"NE",AG303&lt;&gt;"A"),AND(AL303="E",OR(AT303=1,AT303=3))),Sick*W303,0)</f>
        <v>0</v>
      </c>
      <c r="BL303" s="462">
        <f t="shared" si="73"/>
        <v>0</v>
      </c>
      <c r="BM303" s="462">
        <f t="shared" si="74"/>
        <v>0</v>
      </c>
      <c r="BN303" s="462">
        <f>IF(AND(AT303=1,AK303="E",AU303&gt;=0.75,AW303=1),HealthBY,IF(AND(AT303=1,AK303="E",AU303&gt;=0.75),HealthBY*P303,IF(AND(AT303=1,AK303="E",AU303&gt;=0.5,AW303=1),PTHealthBY,IF(AND(AT303=1,AK303="E",AU303&gt;=0.5),PTHealthBY*P303,0))))</f>
        <v>0</v>
      </c>
      <c r="BO303" s="462">
        <f>IF(AND(AT303=3,AK303="E",AV303&gt;=0.75,AW303=1),HealthBY,IF(AND(AT303=3,AK303="E",AV303&gt;=0.75),HealthBY*P303,IF(AND(AT303=3,AK303="E",AV303&gt;=0.5,AW303=1),PTHealthBY,IF(AND(AT303=3,AK303="E",AV303&gt;=0.5),PTHealthBY*P303,0))))</f>
        <v>0</v>
      </c>
      <c r="BP303" s="462">
        <f>IF(AND(AT303&lt;&gt;0,(AX303+BA303)&gt;=MAXSSDIBY),SSDIBY*MAXSSDIBY*P303,IF(AT303&lt;&gt;0,SSDIBY*W303,0))</f>
        <v>0</v>
      </c>
      <c r="BQ303" s="462">
        <f>IF(AT303&lt;&gt;0,SSHIBY*W303,0)</f>
        <v>0</v>
      </c>
      <c r="BR303" s="462">
        <f>IF(AND(AT303&lt;&gt;0,AN303&lt;&gt;"NE"),VLOOKUP(AN303,Retirement_Rates,4,FALSE)*W303,0)</f>
        <v>0</v>
      </c>
      <c r="BS303" s="462">
        <f>IF(AND(AT303&lt;&gt;0,AJ303&lt;&gt;"PF"),LifeBY*W303,0)</f>
        <v>0</v>
      </c>
      <c r="BT303" s="462">
        <f>IF(AND(AT303&lt;&gt;0,AM303="Y"),UIBY*W303,0)</f>
        <v>0</v>
      </c>
      <c r="BU303" s="462">
        <f>IF(AND(AT303&lt;&gt;0,N303&lt;&gt;"NR"),DHRBY*W303,0)</f>
        <v>0</v>
      </c>
      <c r="BV303" s="462">
        <f>IF(AT303&lt;&gt;0,WCBY*W303,0)</f>
        <v>0</v>
      </c>
      <c r="BW303" s="462">
        <f>IF(OR(AND(AT303&lt;&gt;0,AJ303&lt;&gt;"PF",AN303&lt;&gt;"NE",AG303&lt;&gt;"A"),AND(AL303="E",OR(AT303=1,AT303=3))),SickBY*W303,0)</f>
        <v>0</v>
      </c>
      <c r="BX303" s="462">
        <f t="shared" si="75"/>
        <v>0</v>
      </c>
      <c r="BY303" s="462">
        <f t="shared" si="76"/>
        <v>0</v>
      </c>
      <c r="BZ303" s="462">
        <f t="shared" si="77"/>
        <v>0</v>
      </c>
      <c r="CA303" s="462">
        <f t="shared" si="78"/>
        <v>0</v>
      </c>
      <c r="CB303" s="462">
        <f t="shared" si="79"/>
        <v>0</v>
      </c>
      <c r="CC303" s="462">
        <f>IF(AT303&lt;&gt;0,SSHICHG*Y303,0)</f>
        <v>0</v>
      </c>
      <c r="CD303" s="462">
        <f>IF(AND(AT303&lt;&gt;0,AN303&lt;&gt;"NE"),VLOOKUP(AN303,Retirement_Rates,5,FALSE)*Y303,0)</f>
        <v>0</v>
      </c>
      <c r="CE303" s="462">
        <f>IF(AND(AT303&lt;&gt;0,AJ303&lt;&gt;"PF"),LifeCHG*Y303,0)</f>
        <v>0</v>
      </c>
      <c r="CF303" s="462">
        <f>IF(AND(AT303&lt;&gt;0,AM303="Y"),UICHG*Y303,0)</f>
        <v>0</v>
      </c>
      <c r="CG303" s="462">
        <f>IF(AND(AT303&lt;&gt;0,N303&lt;&gt;"NR"),DHRCHG*Y303,0)</f>
        <v>0</v>
      </c>
      <c r="CH303" s="462">
        <f>IF(AT303&lt;&gt;0,WCCHG*Y303,0)</f>
        <v>0</v>
      </c>
      <c r="CI303" s="462">
        <f>IF(OR(AND(AT303&lt;&gt;0,AJ303&lt;&gt;"PF",AN303&lt;&gt;"NE",AG303&lt;&gt;"A"),AND(AL303="E",OR(AT303=1,AT303=3))),SickCHG*Y303,0)</f>
        <v>0</v>
      </c>
      <c r="CJ303" s="462">
        <f t="shared" si="80"/>
        <v>0</v>
      </c>
      <c r="CK303" s="462" t="str">
        <f t="shared" si="81"/>
        <v/>
      </c>
      <c r="CL303" s="462" t="str">
        <f t="shared" si="82"/>
        <v/>
      </c>
      <c r="CM303" s="462" t="str">
        <f t="shared" si="83"/>
        <v/>
      </c>
      <c r="CN303" s="462" t="str">
        <f t="shared" si="84"/>
        <v>0250-04</v>
      </c>
    </row>
    <row r="304" spans="1:92" ht="15" thickBot="1" x14ac:dyDescent="0.35">
      <c r="A304" s="376" t="s">
        <v>161</v>
      </c>
      <c r="B304" s="376" t="s">
        <v>162</v>
      </c>
      <c r="C304" s="376" t="s">
        <v>970</v>
      </c>
      <c r="D304" s="376" t="s">
        <v>221</v>
      </c>
      <c r="E304" s="376" t="s">
        <v>421</v>
      </c>
      <c r="F304" s="382" t="s">
        <v>422</v>
      </c>
      <c r="G304" s="376" t="s">
        <v>951</v>
      </c>
      <c r="H304" s="378"/>
      <c r="I304" s="378"/>
      <c r="J304" s="376" t="s">
        <v>168</v>
      </c>
      <c r="K304" s="376" t="s">
        <v>222</v>
      </c>
      <c r="L304" s="376" t="s">
        <v>166</v>
      </c>
      <c r="M304" s="376" t="s">
        <v>171</v>
      </c>
      <c r="N304" s="376" t="s">
        <v>223</v>
      </c>
      <c r="O304" s="379">
        <v>0</v>
      </c>
      <c r="P304" s="460">
        <v>1</v>
      </c>
      <c r="Q304" s="460">
        <v>0</v>
      </c>
      <c r="R304" s="380">
        <v>0</v>
      </c>
      <c r="S304" s="460">
        <v>0</v>
      </c>
      <c r="T304" s="380">
        <v>87738.9</v>
      </c>
      <c r="U304" s="380">
        <v>922.5</v>
      </c>
      <c r="V304" s="380">
        <v>26065.47</v>
      </c>
      <c r="W304" s="380">
        <v>88661.4</v>
      </c>
      <c r="X304" s="380">
        <v>26065.47</v>
      </c>
      <c r="Y304" s="380">
        <v>88661.4</v>
      </c>
      <c r="Z304" s="380">
        <v>26065.47</v>
      </c>
      <c r="AA304" s="378"/>
      <c r="AB304" s="376" t="s">
        <v>45</v>
      </c>
      <c r="AC304" s="376" t="s">
        <v>45</v>
      </c>
      <c r="AD304" s="378"/>
      <c r="AE304" s="378"/>
      <c r="AF304" s="378"/>
      <c r="AG304" s="378"/>
      <c r="AH304" s="379">
        <v>0</v>
      </c>
      <c r="AI304" s="379">
        <v>0</v>
      </c>
      <c r="AJ304" s="378"/>
      <c r="AK304" s="378"/>
      <c r="AL304" s="376" t="s">
        <v>181</v>
      </c>
      <c r="AM304" s="378"/>
      <c r="AN304" s="378"/>
      <c r="AO304" s="379">
        <v>0</v>
      </c>
      <c r="AP304" s="460">
        <v>0</v>
      </c>
      <c r="AQ304" s="460">
        <v>0</v>
      </c>
      <c r="AR304" s="459"/>
      <c r="AS304" s="462">
        <f t="shared" si="68"/>
        <v>0</v>
      </c>
      <c r="AT304">
        <f t="shared" si="69"/>
        <v>0</v>
      </c>
      <c r="AU304" s="462" t="str">
        <f>IF(AT304=0,"",IF(AND(AT304=1,M304="F",SUMIF(C2:C391,C304,AS2:AS391)&lt;=1),SUMIF(C2:C391,C304,AS2:AS391),IF(AND(AT304=1,M304="F",SUMIF(C2:C391,C304,AS2:AS391)&gt;1),1,"")))</f>
        <v/>
      </c>
      <c r="AV304" s="462" t="str">
        <f>IF(AT304=0,"",IF(AND(AT304=3,M304="F",SUMIF(C2:C391,C304,AS2:AS391)&lt;=1),SUMIF(C2:C391,C304,AS2:AS391),IF(AND(AT304=3,M304="F",SUMIF(C2:C391,C304,AS2:AS391)&gt;1),1,"")))</f>
        <v/>
      </c>
      <c r="AW304" s="462">
        <f>SUMIF(C2:C391,C304,O2:O391)</f>
        <v>0</v>
      </c>
      <c r="AX304" s="462">
        <f>IF(AND(M304="F",AS304&lt;&gt;0),SUMIF(C2:C391,C304,W2:W391),0)</f>
        <v>0</v>
      </c>
      <c r="AY304" s="462" t="str">
        <f t="shared" si="70"/>
        <v/>
      </c>
      <c r="AZ304" s="462" t="str">
        <f t="shared" si="71"/>
        <v/>
      </c>
      <c r="BA304" s="462">
        <f t="shared" si="72"/>
        <v>0</v>
      </c>
      <c r="BB304" s="462">
        <f>IF(AND(AT304=1,AK304="E",AU304&gt;=0.75,AW304=1),Health,IF(AND(AT304=1,AK304="E",AU304&gt;=0.75),Health*P304,IF(AND(AT304=1,AK304="E",AU304&gt;=0.5,AW304=1),PTHealth,IF(AND(AT304=1,AK304="E",AU304&gt;=0.5),PTHealth*P304,0))))</f>
        <v>0</v>
      </c>
      <c r="BC304" s="462">
        <f>IF(AND(AT304=3,AK304="E",AV304&gt;=0.75,AW304=1),Health,IF(AND(AT304=3,AK304="E",AV304&gt;=0.75),Health*P304,IF(AND(AT304=3,AK304="E",AV304&gt;=0.5,AW304=1),PTHealth,IF(AND(AT304=3,AK304="E",AV304&gt;=0.5),PTHealth*P304,0))))</f>
        <v>0</v>
      </c>
      <c r="BD304" s="462">
        <f>IF(AND(AT304&lt;&gt;0,AX304&gt;=MAXSSDI),SSDI*MAXSSDI*P304,IF(AT304&lt;&gt;0,SSDI*W304,0))</f>
        <v>0</v>
      </c>
      <c r="BE304" s="462">
        <f>IF(AT304&lt;&gt;0,SSHI*W304,0)</f>
        <v>0</v>
      </c>
      <c r="BF304" s="462">
        <f>IF(AND(AT304&lt;&gt;0,AN304&lt;&gt;"NE"),VLOOKUP(AN304,Retirement_Rates,3,FALSE)*W304,0)</f>
        <v>0</v>
      </c>
      <c r="BG304" s="462">
        <f>IF(AND(AT304&lt;&gt;0,AJ304&lt;&gt;"PF"),Life*W304,0)</f>
        <v>0</v>
      </c>
      <c r="BH304" s="462">
        <f>IF(AND(AT304&lt;&gt;0,AM304="Y"),UI*W304,0)</f>
        <v>0</v>
      </c>
      <c r="BI304" s="462">
        <f>IF(AND(AT304&lt;&gt;0,N304&lt;&gt;"NR"),DHR*W304,0)</f>
        <v>0</v>
      </c>
      <c r="BJ304" s="462">
        <f>IF(AT304&lt;&gt;0,WC*W304,0)</f>
        <v>0</v>
      </c>
      <c r="BK304" s="462">
        <f>IF(OR(AND(AT304&lt;&gt;0,AJ304&lt;&gt;"PF",AN304&lt;&gt;"NE",AG304&lt;&gt;"A"),AND(AL304="E",OR(AT304=1,AT304=3))),Sick*W304,0)</f>
        <v>0</v>
      </c>
      <c r="BL304" s="462">
        <f t="shared" si="73"/>
        <v>0</v>
      </c>
      <c r="BM304" s="462">
        <f t="shared" si="74"/>
        <v>0</v>
      </c>
      <c r="BN304" s="462">
        <f>IF(AND(AT304=1,AK304="E",AU304&gt;=0.75,AW304=1),HealthBY,IF(AND(AT304=1,AK304="E",AU304&gt;=0.75),HealthBY*P304,IF(AND(AT304=1,AK304="E",AU304&gt;=0.5,AW304=1),PTHealthBY,IF(AND(AT304=1,AK304="E",AU304&gt;=0.5),PTHealthBY*P304,0))))</f>
        <v>0</v>
      </c>
      <c r="BO304" s="462">
        <f>IF(AND(AT304=3,AK304="E",AV304&gt;=0.75,AW304=1),HealthBY,IF(AND(AT304=3,AK304="E",AV304&gt;=0.75),HealthBY*P304,IF(AND(AT304=3,AK304="E",AV304&gt;=0.5,AW304=1),PTHealthBY,IF(AND(AT304=3,AK304="E",AV304&gt;=0.5),PTHealthBY*P304,0))))</f>
        <v>0</v>
      </c>
      <c r="BP304" s="462">
        <f>IF(AND(AT304&lt;&gt;0,(AX304+BA304)&gt;=MAXSSDIBY),SSDIBY*MAXSSDIBY*P304,IF(AT304&lt;&gt;0,SSDIBY*W304,0))</f>
        <v>0</v>
      </c>
      <c r="BQ304" s="462">
        <f>IF(AT304&lt;&gt;0,SSHIBY*W304,0)</f>
        <v>0</v>
      </c>
      <c r="BR304" s="462">
        <f>IF(AND(AT304&lt;&gt;0,AN304&lt;&gt;"NE"),VLOOKUP(AN304,Retirement_Rates,4,FALSE)*W304,0)</f>
        <v>0</v>
      </c>
      <c r="BS304" s="462">
        <f>IF(AND(AT304&lt;&gt;0,AJ304&lt;&gt;"PF"),LifeBY*W304,0)</f>
        <v>0</v>
      </c>
      <c r="BT304" s="462">
        <f>IF(AND(AT304&lt;&gt;0,AM304="Y"),UIBY*W304,0)</f>
        <v>0</v>
      </c>
      <c r="BU304" s="462">
        <f>IF(AND(AT304&lt;&gt;0,N304&lt;&gt;"NR"),DHRBY*W304,0)</f>
        <v>0</v>
      </c>
      <c r="BV304" s="462">
        <f>IF(AT304&lt;&gt;0,WCBY*W304,0)</f>
        <v>0</v>
      </c>
      <c r="BW304" s="462">
        <f>IF(OR(AND(AT304&lt;&gt;0,AJ304&lt;&gt;"PF",AN304&lt;&gt;"NE",AG304&lt;&gt;"A"),AND(AL304="E",OR(AT304=1,AT304=3))),SickBY*W304,0)</f>
        <v>0</v>
      </c>
      <c r="BX304" s="462">
        <f t="shared" si="75"/>
        <v>0</v>
      </c>
      <c r="BY304" s="462">
        <f t="shared" si="76"/>
        <v>0</v>
      </c>
      <c r="BZ304" s="462">
        <f t="shared" si="77"/>
        <v>0</v>
      </c>
      <c r="CA304" s="462">
        <f t="shared" si="78"/>
        <v>0</v>
      </c>
      <c r="CB304" s="462">
        <f t="shared" si="79"/>
        <v>0</v>
      </c>
      <c r="CC304" s="462">
        <f>IF(AT304&lt;&gt;0,SSHICHG*Y304,0)</f>
        <v>0</v>
      </c>
      <c r="CD304" s="462">
        <f>IF(AND(AT304&lt;&gt;0,AN304&lt;&gt;"NE"),VLOOKUP(AN304,Retirement_Rates,5,FALSE)*Y304,0)</f>
        <v>0</v>
      </c>
      <c r="CE304" s="462">
        <f>IF(AND(AT304&lt;&gt;0,AJ304&lt;&gt;"PF"),LifeCHG*Y304,0)</f>
        <v>0</v>
      </c>
      <c r="CF304" s="462">
        <f>IF(AND(AT304&lt;&gt;0,AM304="Y"),UICHG*Y304,0)</f>
        <v>0</v>
      </c>
      <c r="CG304" s="462">
        <f>IF(AND(AT304&lt;&gt;0,N304&lt;&gt;"NR"),DHRCHG*Y304,0)</f>
        <v>0</v>
      </c>
      <c r="CH304" s="462">
        <f>IF(AT304&lt;&gt;0,WCCHG*Y304,0)</f>
        <v>0</v>
      </c>
      <c r="CI304" s="462">
        <f>IF(OR(AND(AT304&lt;&gt;0,AJ304&lt;&gt;"PF",AN304&lt;&gt;"NE",AG304&lt;&gt;"A"),AND(AL304="E",OR(AT304=1,AT304=3))),SickCHG*Y304,0)</f>
        <v>0</v>
      </c>
      <c r="CJ304" s="462">
        <f t="shared" si="80"/>
        <v>0</v>
      </c>
      <c r="CK304" s="462" t="str">
        <f t="shared" si="81"/>
        <v/>
      </c>
      <c r="CL304" s="462">
        <f t="shared" si="82"/>
        <v>88661.4</v>
      </c>
      <c r="CM304" s="462">
        <f t="shared" si="83"/>
        <v>26065.47</v>
      </c>
      <c r="CN304" s="462" t="str">
        <f t="shared" si="84"/>
        <v>0250-04</v>
      </c>
    </row>
    <row r="305" spans="1:92" ht="15" thickBot="1" x14ac:dyDescent="0.35">
      <c r="A305" s="376" t="s">
        <v>161</v>
      </c>
      <c r="B305" s="376" t="s">
        <v>162</v>
      </c>
      <c r="C305" s="376" t="s">
        <v>971</v>
      </c>
      <c r="D305" s="376" t="s">
        <v>221</v>
      </c>
      <c r="E305" s="376" t="s">
        <v>421</v>
      </c>
      <c r="F305" s="382" t="s">
        <v>422</v>
      </c>
      <c r="G305" s="376" t="s">
        <v>951</v>
      </c>
      <c r="H305" s="378"/>
      <c r="I305" s="378"/>
      <c r="J305" s="376" t="s">
        <v>168</v>
      </c>
      <c r="K305" s="376" t="s">
        <v>222</v>
      </c>
      <c r="L305" s="376" t="s">
        <v>166</v>
      </c>
      <c r="M305" s="376" t="s">
        <v>225</v>
      </c>
      <c r="N305" s="376" t="s">
        <v>223</v>
      </c>
      <c r="O305" s="379">
        <v>0</v>
      </c>
      <c r="P305" s="460">
        <v>1</v>
      </c>
      <c r="Q305" s="460">
        <v>0</v>
      </c>
      <c r="R305" s="380">
        <v>0</v>
      </c>
      <c r="S305" s="460">
        <v>0</v>
      </c>
      <c r="T305" s="380">
        <v>0</v>
      </c>
      <c r="U305" s="380">
        <v>0</v>
      </c>
      <c r="V305" s="380">
        <v>0</v>
      </c>
      <c r="W305" s="380">
        <v>0</v>
      </c>
      <c r="X305" s="380">
        <v>0</v>
      </c>
      <c r="Y305" s="380">
        <v>0</v>
      </c>
      <c r="Z305" s="380">
        <v>0</v>
      </c>
      <c r="AA305" s="378"/>
      <c r="AB305" s="376" t="s">
        <v>45</v>
      </c>
      <c r="AC305" s="376" t="s">
        <v>45</v>
      </c>
      <c r="AD305" s="378"/>
      <c r="AE305" s="378"/>
      <c r="AF305" s="378"/>
      <c r="AG305" s="378"/>
      <c r="AH305" s="379">
        <v>0</v>
      </c>
      <c r="AI305" s="379">
        <v>0</v>
      </c>
      <c r="AJ305" s="378"/>
      <c r="AK305" s="378"/>
      <c r="AL305" s="376" t="s">
        <v>181</v>
      </c>
      <c r="AM305" s="378"/>
      <c r="AN305" s="378"/>
      <c r="AO305" s="379">
        <v>0</v>
      </c>
      <c r="AP305" s="460">
        <v>0</v>
      </c>
      <c r="AQ305" s="460">
        <v>0</v>
      </c>
      <c r="AR305" s="459"/>
      <c r="AS305" s="462">
        <f t="shared" si="68"/>
        <v>0</v>
      </c>
      <c r="AT305">
        <f t="shared" si="69"/>
        <v>0</v>
      </c>
      <c r="AU305" s="462" t="str">
        <f>IF(AT305=0,"",IF(AND(AT305=1,M305="F",SUMIF(C2:C391,C305,AS2:AS391)&lt;=1),SUMIF(C2:C391,C305,AS2:AS391),IF(AND(AT305=1,M305="F",SUMIF(C2:C391,C305,AS2:AS391)&gt;1),1,"")))</f>
        <v/>
      </c>
      <c r="AV305" s="462" t="str">
        <f>IF(AT305=0,"",IF(AND(AT305=3,M305="F",SUMIF(C2:C391,C305,AS2:AS391)&lt;=1),SUMIF(C2:C391,C305,AS2:AS391),IF(AND(AT305=3,M305="F",SUMIF(C2:C391,C305,AS2:AS391)&gt;1),1,"")))</f>
        <v/>
      </c>
      <c r="AW305" s="462">
        <f>SUMIF(C2:C391,C305,O2:O391)</f>
        <v>0</v>
      </c>
      <c r="AX305" s="462">
        <f>IF(AND(M305="F",AS305&lt;&gt;0),SUMIF(C2:C391,C305,W2:W391),0)</f>
        <v>0</v>
      </c>
      <c r="AY305" s="462" t="str">
        <f t="shared" si="70"/>
        <v/>
      </c>
      <c r="AZ305" s="462" t="str">
        <f t="shared" si="71"/>
        <v/>
      </c>
      <c r="BA305" s="462">
        <f t="shared" si="72"/>
        <v>0</v>
      </c>
      <c r="BB305" s="462">
        <f>IF(AND(AT305=1,AK305="E",AU305&gt;=0.75,AW305=1),Health,IF(AND(AT305=1,AK305="E",AU305&gt;=0.75),Health*P305,IF(AND(AT305=1,AK305="E",AU305&gt;=0.5,AW305=1),PTHealth,IF(AND(AT305=1,AK305="E",AU305&gt;=0.5),PTHealth*P305,0))))</f>
        <v>0</v>
      </c>
      <c r="BC305" s="462">
        <f>IF(AND(AT305=3,AK305="E",AV305&gt;=0.75,AW305=1),Health,IF(AND(AT305=3,AK305="E",AV305&gt;=0.75),Health*P305,IF(AND(AT305=3,AK305="E",AV305&gt;=0.5,AW305=1),PTHealth,IF(AND(AT305=3,AK305="E",AV305&gt;=0.5),PTHealth*P305,0))))</f>
        <v>0</v>
      </c>
      <c r="BD305" s="462">
        <f>IF(AND(AT305&lt;&gt;0,AX305&gt;=MAXSSDI),SSDI*MAXSSDI*P305,IF(AT305&lt;&gt;0,SSDI*W305,0))</f>
        <v>0</v>
      </c>
      <c r="BE305" s="462">
        <f>IF(AT305&lt;&gt;0,SSHI*W305,0)</f>
        <v>0</v>
      </c>
      <c r="BF305" s="462">
        <f>IF(AND(AT305&lt;&gt;0,AN305&lt;&gt;"NE"),VLOOKUP(AN305,Retirement_Rates,3,FALSE)*W305,0)</f>
        <v>0</v>
      </c>
      <c r="BG305" s="462">
        <f>IF(AND(AT305&lt;&gt;0,AJ305&lt;&gt;"PF"),Life*W305,0)</f>
        <v>0</v>
      </c>
      <c r="BH305" s="462">
        <f>IF(AND(AT305&lt;&gt;0,AM305="Y"),UI*W305,0)</f>
        <v>0</v>
      </c>
      <c r="BI305" s="462">
        <f>IF(AND(AT305&lt;&gt;0,N305&lt;&gt;"NR"),DHR*W305,0)</f>
        <v>0</v>
      </c>
      <c r="BJ305" s="462">
        <f>IF(AT305&lt;&gt;0,WC*W305,0)</f>
        <v>0</v>
      </c>
      <c r="BK305" s="462">
        <f>IF(OR(AND(AT305&lt;&gt;0,AJ305&lt;&gt;"PF",AN305&lt;&gt;"NE",AG305&lt;&gt;"A"),AND(AL305="E",OR(AT305=1,AT305=3))),Sick*W305,0)</f>
        <v>0</v>
      </c>
      <c r="BL305" s="462">
        <f t="shared" si="73"/>
        <v>0</v>
      </c>
      <c r="BM305" s="462">
        <f t="shared" si="74"/>
        <v>0</v>
      </c>
      <c r="BN305" s="462">
        <f>IF(AND(AT305=1,AK305="E",AU305&gt;=0.75,AW305=1),HealthBY,IF(AND(AT305=1,AK305="E",AU305&gt;=0.75),HealthBY*P305,IF(AND(AT305=1,AK305="E",AU305&gt;=0.5,AW305=1),PTHealthBY,IF(AND(AT305=1,AK305="E",AU305&gt;=0.5),PTHealthBY*P305,0))))</f>
        <v>0</v>
      </c>
      <c r="BO305" s="462">
        <f>IF(AND(AT305=3,AK305="E",AV305&gt;=0.75,AW305=1),HealthBY,IF(AND(AT305=3,AK305="E",AV305&gt;=0.75),HealthBY*P305,IF(AND(AT305=3,AK305="E",AV305&gt;=0.5,AW305=1),PTHealthBY,IF(AND(AT305=3,AK305="E",AV305&gt;=0.5),PTHealthBY*P305,0))))</f>
        <v>0</v>
      </c>
      <c r="BP305" s="462">
        <f>IF(AND(AT305&lt;&gt;0,(AX305+BA305)&gt;=MAXSSDIBY),SSDIBY*MAXSSDIBY*P305,IF(AT305&lt;&gt;0,SSDIBY*W305,0))</f>
        <v>0</v>
      </c>
      <c r="BQ305" s="462">
        <f>IF(AT305&lt;&gt;0,SSHIBY*W305,0)</f>
        <v>0</v>
      </c>
      <c r="BR305" s="462">
        <f>IF(AND(AT305&lt;&gt;0,AN305&lt;&gt;"NE"),VLOOKUP(AN305,Retirement_Rates,4,FALSE)*W305,0)</f>
        <v>0</v>
      </c>
      <c r="BS305" s="462">
        <f>IF(AND(AT305&lt;&gt;0,AJ305&lt;&gt;"PF"),LifeBY*W305,0)</f>
        <v>0</v>
      </c>
      <c r="BT305" s="462">
        <f>IF(AND(AT305&lt;&gt;0,AM305="Y"),UIBY*W305,0)</f>
        <v>0</v>
      </c>
      <c r="BU305" s="462">
        <f>IF(AND(AT305&lt;&gt;0,N305&lt;&gt;"NR"),DHRBY*W305,0)</f>
        <v>0</v>
      </c>
      <c r="BV305" s="462">
        <f>IF(AT305&lt;&gt;0,WCBY*W305,0)</f>
        <v>0</v>
      </c>
      <c r="BW305" s="462">
        <f>IF(OR(AND(AT305&lt;&gt;0,AJ305&lt;&gt;"PF",AN305&lt;&gt;"NE",AG305&lt;&gt;"A"),AND(AL305="E",OR(AT305=1,AT305=3))),SickBY*W305,0)</f>
        <v>0</v>
      </c>
      <c r="BX305" s="462">
        <f t="shared" si="75"/>
        <v>0</v>
      </c>
      <c r="BY305" s="462">
        <f t="shared" si="76"/>
        <v>0</v>
      </c>
      <c r="BZ305" s="462">
        <f t="shared" si="77"/>
        <v>0</v>
      </c>
      <c r="CA305" s="462">
        <f t="shared" si="78"/>
        <v>0</v>
      </c>
      <c r="CB305" s="462">
        <f t="shared" si="79"/>
        <v>0</v>
      </c>
      <c r="CC305" s="462">
        <f>IF(AT305&lt;&gt;0,SSHICHG*Y305,0)</f>
        <v>0</v>
      </c>
      <c r="CD305" s="462">
        <f>IF(AND(AT305&lt;&gt;0,AN305&lt;&gt;"NE"),VLOOKUP(AN305,Retirement_Rates,5,FALSE)*Y305,0)</f>
        <v>0</v>
      </c>
      <c r="CE305" s="462">
        <f>IF(AND(AT305&lt;&gt;0,AJ305&lt;&gt;"PF"),LifeCHG*Y305,0)</f>
        <v>0</v>
      </c>
      <c r="CF305" s="462">
        <f>IF(AND(AT305&lt;&gt;0,AM305="Y"),UICHG*Y305,0)</f>
        <v>0</v>
      </c>
      <c r="CG305" s="462">
        <f>IF(AND(AT305&lt;&gt;0,N305&lt;&gt;"NR"),DHRCHG*Y305,0)</f>
        <v>0</v>
      </c>
      <c r="CH305" s="462">
        <f>IF(AT305&lt;&gt;0,WCCHG*Y305,0)</f>
        <v>0</v>
      </c>
      <c r="CI305" s="462">
        <f>IF(OR(AND(AT305&lt;&gt;0,AJ305&lt;&gt;"PF",AN305&lt;&gt;"NE",AG305&lt;&gt;"A"),AND(AL305="E",OR(AT305=1,AT305=3))),SickCHG*Y305,0)</f>
        <v>0</v>
      </c>
      <c r="CJ305" s="462">
        <f t="shared" si="80"/>
        <v>0</v>
      </c>
      <c r="CK305" s="462" t="str">
        <f t="shared" si="81"/>
        <v/>
      </c>
      <c r="CL305" s="462">
        <f t="shared" si="82"/>
        <v>0</v>
      </c>
      <c r="CM305" s="462">
        <f t="shared" si="83"/>
        <v>0</v>
      </c>
      <c r="CN305" s="462" t="str">
        <f t="shared" si="84"/>
        <v>0250-04</v>
      </c>
    </row>
    <row r="306" spans="1:92" ht="15" thickBot="1" x14ac:dyDescent="0.35">
      <c r="A306" s="376" t="s">
        <v>161</v>
      </c>
      <c r="B306" s="376" t="s">
        <v>162</v>
      </c>
      <c r="C306" s="376" t="s">
        <v>972</v>
      </c>
      <c r="D306" s="376" t="s">
        <v>221</v>
      </c>
      <c r="E306" s="376" t="s">
        <v>421</v>
      </c>
      <c r="F306" s="382" t="s">
        <v>422</v>
      </c>
      <c r="G306" s="376" t="s">
        <v>951</v>
      </c>
      <c r="H306" s="378"/>
      <c r="I306" s="378"/>
      <c r="J306" s="376" t="s">
        <v>193</v>
      </c>
      <c r="K306" s="376" t="s">
        <v>222</v>
      </c>
      <c r="L306" s="376" t="s">
        <v>166</v>
      </c>
      <c r="M306" s="376" t="s">
        <v>225</v>
      </c>
      <c r="N306" s="376" t="s">
        <v>223</v>
      </c>
      <c r="O306" s="379">
        <v>0</v>
      </c>
      <c r="P306" s="460">
        <v>0.65</v>
      </c>
      <c r="Q306" s="460">
        <v>0</v>
      </c>
      <c r="R306" s="380">
        <v>0</v>
      </c>
      <c r="S306" s="460">
        <v>0</v>
      </c>
      <c r="T306" s="380">
        <v>0</v>
      </c>
      <c r="U306" s="380">
        <v>0</v>
      </c>
      <c r="V306" s="380">
        <v>0</v>
      </c>
      <c r="W306" s="380">
        <v>0</v>
      </c>
      <c r="X306" s="380">
        <v>0</v>
      </c>
      <c r="Y306" s="380">
        <v>0</v>
      </c>
      <c r="Z306" s="380">
        <v>0</v>
      </c>
      <c r="AA306" s="378"/>
      <c r="AB306" s="376" t="s">
        <v>45</v>
      </c>
      <c r="AC306" s="376" t="s">
        <v>45</v>
      </c>
      <c r="AD306" s="378"/>
      <c r="AE306" s="378"/>
      <c r="AF306" s="378"/>
      <c r="AG306" s="378"/>
      <c r="AH306" s="379">
        <v>0</v>
      </c>
      <c r="AI306" s="379">
        <v>0</v>
      </c>
      <c r="AJ306" s="378"/>
      <c r="AK306" s="378"/>
      <c r="AL306" s="376" t="s">
        <v>181</v>
      </c>
      <c r="AM306" s="378"/>
      <c r="AN306" s="378"/>
      <c r="AO306" s="379">
        <v>0</v>
      </c>
      <c r="AP306" s="460">
        <v>0</v>
      </c>
      <c r="AQ306" s="460">
        <v>0</v>
      </c>
      <c r="AR306" s="459"/>
      <c r="AS306" s="462">
        <f t="shared" si="68"/>
        <v>0</v>
      </c>
      <c r="AT306">
        <f t="shared" si="69"/>
        <v>0</v>
      </c>
      <c r="AU306" s="462" t="str">
        <f>IF(AT306=0,"",IF(AND(AT306=1,M306="F",SUMIF(C2:C391,C306,AS2:AS391)&lt;=1),SUMIF(C2:C391,C306,AS2:AS391),IF(AND(AT306=1,M306="F",SUMIF(C2:C391,C306,AS2:AS391)&gt;1),1,"")))</f>
        <v/>
      </c>
      <c r="AV306" s="462" t="str">
        <f>IF(AT306=0,"",IF(AND(AT306=3,M306="F",SUMIF(C2:C391,C306,AS2:AS391)&lt;=1),SUMIF(C2:C391,C306,AS2:AS391),IF(AND(AT306=3,M306="F",SUMIF(C2:C391,C306,AS2:AS391)&gt;1),1,"")))</f>
        <v/>
      </c>
      <c r="AW306" s="462">
        <f>SUMIF(C2:C391,C306,O2:O391)</f>
        <v>0</v>
      </c>
      <c r="AX306" s="462">
        <f>IF(AND(M306="F",AS306&lt;&gt;0),SUMIF(C2:C391,C306,W2:W391),0)</f>
        <v>0</v>
      </c>
      <c r="AY306" s="462" t="str">
        <f t="shared" si="70"/>
        <v/>
      </c>
      <c r="AZ306" s="462" t="str">
        <f t="shared" si="71"/>
        <v/>
      </c>
      <c r="BA306" s="462">
        <f t="shared" si="72"/>
        <v>0</v>
      </c>
      <c r="BB306" s="462">
        <f>IF(AND(AT306=1,AK306="E",AU306&gt;=0.75,AW306=1),Health,IF(AND(AT306=1,AK306="E",AU306&gt;=0.75),Health*P306,IF(AND(AT306=1,AK306="E",AU306&gt;=0.5,AW306=1),PTHealth,IF(AND(AT306=1,AK306="E",AU306&gt;=0.5),PTHealth*P306,0))))</f>
        <v>0</v>
      </c>
      <c r="BC306" s="462">
        <f>IF(AND(AT306=3,AK306="E",AV306&gt;=0.75,AW306=1),Health,IF(AND(AT306=3,AK306="E",AV306&gt;=0.75),Health*P306,IF(AND(AT306=3,AK306="E",AV306&gt;=0.5,AW306=1),PTHealth,IF(AND(AT306=3,AK306="E",AV306&gt;=0.5),PTHealth*P306,0))))</f>
        <v>0</v>
      </c>
      <c r="BD306" s="462">
        <f>IF(AND(AT306&lt;&gt;0,AX306&gt;=MAXSSDI),SSDI*MAXSSDI*P306,IF(AT306&lt;&gt;0,SSDI*W306,0))</f>
        <v>0</v>
      </c>
      <c r="BE306" s="462">
        <f>IF(AT306&lt;&gt;0,SSHI*W306,0)</f>
        <v>0</v>
      </c>
      <c r="BF306" s="462">
        <f>IF(AND(AT306&lt;&gt;0,AN306&lt;&gt;"NE"),VLOOKUP(AN306,Retirement_Rates,3,FALSE)*W306,0)</f>
        <v>0</v>
      </c>
      <c r="BG306" s="462">
        <f>IF(AND(AT306&lt;&gt;0,AJ306&lt;&gt;"PF"),Life*W306,0)</f>
        <v>0</v>
      </c>
      <c r="BH306" s="462">
        <f>IF(AND(AT306&lt;&gt;0,AM306="Y"),UI*W306,0)</f>
        <v>0</v>
      </c>
      <c r="BI306" s="462">
        <f>IF(AND(AT306&lt;&gt;0,N306&lt;&gt;"NR"),DHR*W306,0)</f>
        <v>0</v>
      </c>
      <c r="BJ306" s="462">
        <f>IF(AT306&lt;&gt;0,WC*W306,0)</f>
        <v>0</v>
      </c>
      <c r="BK306" s="462">
        <f>IF(OR(AND(AT306&lt;&gt;0,AJ306&lt;&gt;"PF",AN306&lt;&gt;"NE",AG306&lt;&gt;"A"),AND(AL306="E",OR(AT306=1,AT306=3))),Sick*W306,0)</f>
        <v>0</v>
      </c>
      <c r="BL306" s="462">
        <f t="shared" si="73"/>
        <v>0</v>
      </c>
      <c r="BM306" s="462">
        <f t="shared" si="74"/>
        <v>0</v>
      </c>
      <c r="BN306" s="462">
        <f>IF(AND(AT306=1,AK306="E",AU306&gt;=0.75,AW306=1),HealthBY,IF(AND(AT306=1,AK306="E",AU306&gt;=0.75),HealthBY*P306,IF(AND(AT306=1,AK306="E",AU306&gt;=0.5,AW306=1),PTHealthBY,IF(AND(AT306=1,AK306="E",AU306&gt;=0.5),PTHealthBY*P306,0))))</f>
        <v>0</v>
      </c>
      <c r="BO306" s="462">
        <f>IF(AND(AT306=3,AK306="E",AV306&gt;=0.75,AW306=1),HealthBY,IF(AND(AT306=3,AK306="E",AV306&gt;=0.75),HealthBY*P306,IF(AND(AT306=3,AK306="E",AV306&gt;=0.5,AW306=1),PTHealthBY,IF(AND(AT306=3,AK306="E",AV306&gt;=0.5),PTHealthBY*P306,0))))</f>
        <v>0</v>
      </c>
      <c r="BP306" s="462">
        <f>IF(AND(AT306&lt;&gt;0,(AX306+BA306)&gt;=MAXSSDIBY),SSDIBY*MAXSSDIBY*P306,IF(AT306&lt;&gt;0,SSDIBY*W306,0))</f>
        <v>0</v>
      </c>
      <c r="BQ306" s="462">
        <f>IF(AT306&lt;&gt;0,SSHIBY*W306,0)</f>
        <v>0</v>
      </c>
      <c r="BR306" s="462">
        <f>IF(AND(AT306&lt;&gt;0,AN306&lt;&gt;"NE"),VLOOKUP(AN306,Retirement_Rates,4,FALSE)*W306,0)</f>
        <v>0</v>
      </c>
      <c r="BS306" s="462">
        <f>IF(AND(AT306&lt;&gt;0,AJ306&lt;&gt;"PF"),LifeBY*W306,0)</f>
        <v>0</v>
      </c>
      <c r="BT306" s="462">
        <f>IF(AND(AT306&lt;&gt;0,AM306="Y"),UIBY*W306,0)</f>
        <v>0</v>
      </c>
      <c r="BU306" s="462">
        <f>IF(AND(AT306&lt;&gt;0,N306&lt;&gt;"NR"),DHRBY*W306,0)</f>
        <v>0</v>
      </c>
      <c r="BV306" s="462">
        <f>IF(AT306&lt;&gt;0,WCBY*W306,0)</f>
        <v>0</v>
      </c>
      <c r="BW306" s="462">
        <f>IF(OR(AND(AT306&lt;&gt;0,AJ306&lt;&gt;"PF",AN306&lt;&gt;"NE",AG306&lt;&gt;"A"),AND(AL306="E",OR(AT306=1,AT306=3))),SickBY*W306,0)</f>
        <v>0</v>
      </c>
      <c r="BX306" s="462">
        <f t="shared" si="75"/>
        <v>0</v>
      </c>
      <c r="BY306" s="462">
        <f t="shared" si="76"/>
        <v>0</v>
      </c>
      <c r="BZ306" s="462">
        <f t="shared" si="77"/>
        <v>0</v>
      </c>
      <c r="CA306" s="462">
        <f t="shared" si="78"/>
        <v>0</v>
      </c>
      <c r="CB306" s="462">
        <f t="shared" si="79"/>
        <v>0</v>
      </c>
      <c r="CC306" s="462">
        <f>IF(AT306&lt;&gt;0,SSHICHG*Y306,0)</f>
        <v>0</v>
      </c>
      <c r="CD306" s="462">
        <f>IF(AND(AT306&lt;&gt;0,AN306&lt;&gt;"NE"),VLOOKUP(AN306,Retirement_Rates,5,FALSE)*Y306,0)</f>
        <v>0</v>
      </c>
      <c r="CE306" s="462">
        <f>IF(AND(AT306&lt;&gt;0,AJ306&lt;&gt;"PF"),LifeCHG*Y306,0)</f>
        <v>0</v>
      </c>
      <c r="CF306" s="462">
        <f>IF(AND(AT306&lt;&gt;0,AM306="Y"),UICHG*Y306,0)</f>
        <v>0</v>
      </c>
      <c r="CG306" s="462">
        <f>IF(AND(AT306&lt;&gt;0,N306&lt;&gt;"NR"),DHRCHG*Y306,0)</f>
        <v>0</v>
      </c>
      <c r="CH306" s="462">
        <f>IF(AT306&lt;&gt;0,WCCHG*Y306,0)</f>
        <v>0</v>
      </c>
      <c r="CI306" s="462">
        <f>IF(OR(AND(AT306&lt;&gt;0,AJ306&lt;&gt;"PF",AN306&lt;&gt;"NE",AG306&lt;&gt;"A"),AND(AL306="E",OR(AT306=1,AT306=3))),SickCHG*Y306,0)</f>
        <v>0</v>
      </c>
      <c r="CJ306" s="462">
        <f t="shared" si="80"/>
        <v>0</v>
      </c>
      <c r="CK306" s="462" t="str">
        <f t="shared" si="81"/>
        <v/>
      </c>
      <c r="CL306" s="462">
        <f t="shared" si="82"/>
        <v>0</v>
      </c>
      <c r="CM306" s="462">
        <f t="shared" si="83"/>
        <v>0</v>
      </c>
      <c r="CN306" s="462" t="str">
        <f t="shared" si="84"/>
        <v>0250-04</v>
      </c>
    </row>
    <row r="307" spans="1:92" ht="15" thickBot="1" x14ac:dyDescent="0.35">
      <c r="A307" s="376" t="s">
        <v>161</v>
      </c>
      <c r="B307" s="376" t="s">
        <v>162</v>
      </c>
      <c r="C307" s="376" t="s">
        <v>973</v>
      </c>
      <c r="D307" s="376" t="s">
        <v>907</v>
      </c>
      <c r="E307" s="376" t="s">
        <v>421</v>
      </c>
      <c r="F307" s="382" t="s">
        <v>422</v>
      </c>
      <c r="G307" s="376" t="s">
        <v>951</v>
      </c>
      <c r="H307" s="378"/>
      <c r="I307" s="378"/>
      <c r="J307" s="376" t="s">
        <v>193</v>
      </c>
      <c r="K307" s="376" t="s">
        <v>908</v>
      </c>
      <c r="L307" s="376" t="s">
        <v>178</v>
      </c>
      <c r="M307" s="376" t="s">
        <v>171</v>
      </c>
      <c r="N307" s="376" t="s">
        <v>172</v>
      </c>
      <c r="O307" s="379">
        <v>2</v>
      </c>
      <c r="P307" s="460">
        <v>0.65</v>
      </c>
      <c r="Q307" s="460">
        <v>0.65</v>
      </c>
      <c r="R307" s="380">
        <v>80</v>
      </c>
      <c r="S307" s="460">
        <v>0.65</v>
      </c>
      <c r="T307" s="380">
        <v>26308.67</v>
      </c>
      <c r="U307" s="380">
        <v>0</v>
      </c>
      <c r="V307" s="380">
        <v>14251.43</v>
      </c>
      <c r="W307" s="380">
        <v>24106.16</v>
      </c>
      <c r="X307" s="380">
        <v>13309.02</v>
      </c>
      <c r="Y307" s="380">
        <v>24106.16</v>
      </c>
      <c r="Z307" s="380">
        <v>13378.93</v>
      </c>
      <c r="AA307" s="376" t="s">
        <v>974</v>
      </c>
      <c r="AB307" s="376" t="s">
        <v>975</v>
      </c>
      <c r="AC307" s="376" t="s">
        <v>976</v>
      </c>
      <c r="AD307" s="376" t="s">
        <v>176</v>
      </c>
      <c r="AE307" s="376" t="s">
        <v>908</v>
      </c>
      <c r="AF307" s="376" t="s">
        <v>190</v>
      </c>
      <c r="AG307" s="376" t="s">
        <v>178</v>
      </c>
      <c r="AH307" s="381">
        <v>17.829999999999998</v>
      </c>
      <c r="AI307" s="381">
        <v>5875.2</v>
      </c>
      <c r="AJ307" s="376" t="s">
        <v>179</v>
      </c>
      <c r="AK307" s="376" t="s">
        <v>180</v>
      </c>
      <c r="AL307" s="376" t="s">
        <v>181</v>
      </c>
      <c r="AM307" s="376" t="s">
        <v>182</v>
      </c>
      <c r="AN307" s="376" t="s">
        <v>68</v>
      </c>
      <c r="AO307" s="379">
        <v>80</v>
      </c>
      <c r="AP307" s="460">
        <v>1</v>
      </c>
      <c r="AQ307" s="460">
        <v>0.65</v>
      </c>
      <c r="AR307" s="458" t="s">
        <v>183</v>
      </c>
      <c r="AS307" s="462">
        <f t="shared" si="68"/>
        <v>0.65</v>
      </c>
      <c r="AT307">
        <f t="shared" si="69"/>
        <v>1</v>
      </c>
      <c r="AU307" s="462">
        <f>IF(AT307=0,"",IF(AND(AT307=1,M307="F",SUMIF(C2:C391,C307,AS2:AS391)&lt;=1),SUMIF(C2:C391,C307,AS2:AS391),IF(AND(AT307=1,M307="F",SUMIF(C2:C391,C307,AS2:AS391)&gt;1),1,"")))</f>
        <v>1</v>
      </c>
      <c r="AV307" s="462" t="str">
        <f>IF(AT307=0,"",IF(AND(AT307=3,M307="F",SUMIF(C2:C391,C307,AS2:AS391)&lt;=1),SUMIF(C2:C391,C307,AS2:AS391),IF(AND(AT307=3,M307="F",SUMIF(C2:C391,C307,AS2:AS391)&gt;1),1,"")))</f>
        <v/>
      </c>
      <c r="AW307" s="462">
        <f>SUMIF(C2:C391,C307,O2:O391)</f>
        <v>8</v>
      </c>
      <c r="AX307" s="462">
        <f>IF(AND(M307="F",AS307&lt;&gt;0),SUMIF(C2:C391,C307,W2:W391),0)</f>
        <v>74172.800000000003</v>
      </c>
      <c r="AY307" s="462">
        <f t="shared" si="70"/>
        <v>24106.16</v>
      </c>
      <c r="AZ307" s="462" t="str">
        <f t="shared" si="71"/>
        <v/>
      </c>
      <c r="BA307" s="462">
        <f t="shared" si="72"/>
        <v>0</v>
      </c>
      <c r="BB307" s="462">
        <f>IF(AND(AT307=1,AK307="E",AU307&gt;=0.75,AW307=1),Health,IF(AND(AT307=1,AK307="E",AU307&gt;=0.75),Health*P307,IF(AND(AT307=1,AK307="E",AU307&gt;=0.5,AW307=1),PTHealth,IF(AND(AT307=1,AK307="E",AU307&gt;=0.5),PTHealth*P307,0))))</f>
        <v>7572.5</v>
      </c>
      <c r="BC307" s="462">
        <f>IF(AND(AT307=3,AK307="E",AV307&gt;=0.75,AW307=1),Health,IF(AND(AT307=3,AK307="E",AV307&gt;=0.75),Health*P307,IF(AND(AT307=3,AK307="E",AV307&gt;=0.5,AW307=1),PTHealth,IF(AND(AT307=3,AK307="E",AV307&gt;=0.5),PTHealth*P307,0))))</f>
        <v>0</v>
      </c>
      <c r="BD307" s="462">
        <f>IF(AND(AT307&lt;&gt;0,AX307&gt;=MAXSSDI),SSDI*MAXSSDI*P307,IF(AT307&lt;&gt;0,SSDI*W307,0))</f>
        <v>1494.5819200000001</v>
      </c>
      <c r="BE307" s="462">
        <f>IF(AT307&lt;&gt;0,SSHI*W307,0)</f>
        <v>349.53932000000003</v>
      </c>
      <c r="BF307" s="462">
        <f>IF(AND(AT307&lt;&gt;0,AN307&lt;&gt;"NE"),VLOOKUP(AN307,Retirement_Rates,3,FALSE)*W307,0)</f>
        <v>2878.2755040000002</v>
      </c>
      <c r="BG307" s="462">
        <f>IF(AND(AT307&lt;&gt;0,AJ307&lt;&gt;"PF"),Life*W307,0)</f>
        <v>173.80541360000001</v>
      </c>
      <c r="BH307" s="462">
        <f>IF(AND(AT307&lt;&gt;0,AM307="Y"),UI*W307,0)</f>
        <v>118.12018399999999</v>
      </c>
      <c r="BI307" s="462">
        <f>IF(AND(AT307&lt;&gt;0,N307&lt;&gt;"NR"),DHR*W307,0)</f>
        <v>73.764849599999991</v>
      </c>
      <c r="BJ307" s="462">
        <f>IF(AT307&lt;&gt;0,WC*W307,0)</f>
        <v>648.45570399999997</v>
      </c>
      <c r="BK307" s="462">
        <f>IF(OR(AND(AT307&lt;&gt;0,AJ307&lt;&gt;"PF",AN307&lt;&gt;"NE",AG307&lt;&gt;"A"),AND(AL307="E",OR(AT307=1,AT307=3))),Sick*W307,0)</f>
        <v>0</v>
      </c>
      <c r="BL307" s="462">
        <f t="shared" si="73"/>
        <v>5736.5428952000011</v>
      </c>
      <c r="BM307" s="462">
        <f t="shared" si="74"/>
        <v>0</v>
      </c>
      <c r="BN307" s="462">
        <f>IF(AND(AT307=1,AK307="E",AU307&gt;=0.75,AW307=1),HealthBY,IF(AND(AT307=1,AK307="E",AU307&gt;=0.75),HealthBY*P307,IF(AND(AT307=1,AK307="E",AU307&gt;=0.5,AW307=1),PTHealthBY,IF(AND(AT307=1,AK307="E",AU307&gt;=0.5),PTHealthBY*P307,0))))</f>
        <v>7572.5</v>
      </c>
      <c r="BO307" s="462">
        <f>IF(AND(AT307=3,AK307="E",AV307&gt;=0.75,AW307=1),HealthBY,IF(AND(AT307=3,AK307="E",AV307&gt;=0.75),HealthBY*P307,IF(AND(AT307=3,AK307="E",AV307&gt;=0.5,AW307=1),PTHealthBY,IF(AND(AT307=3,AK307="E",AV307&gt;=0.5),PTHealthBY*P307,0))))</f>
        <v>0</v>
      </c>
      <c r="BP307" s="462">
        <f>IF(AND(AT307&lt;&gt;0,(AX307+BA307)&gt;=MAXSSDIBY),SSDIBY*MAXSSDIBY*P307,IF(AT307&lt;&gt;0,SSDIBY*W307,0))</f>
        <v>1494.5819200000001</v>
      </c>
      <c r="BQ307" s="462">
        <f>IF(AT307&lt;&gt;0,SSHIBY*W307,0)</f>
        <v>349.53932000000003</v>
      </c>
      <c r="BR307" s="462">
        <f>IF(AND(AT307&lt;&gt;0,AN307&lt;&gt;"NE"),VLOOKUP(AN307,Retirement_Rates,4,FALSE)*W307,0)</f>
        <v>2878.2755040000002</v>
      </c>
      <c r="BS307" s="462">
        <f>IF(AND(AT307&lt;&gt;0,AJ307&lt;&gt;"PF"),LifeBY*W307,0)</f>
        <v>173.80541360000001</v>
      </c>
      <c r="BT307" s="462">
        <f>IF(AND(AT307&lt;&gt;0,AM307="Y"),UIBY*W307,0)</f>
        <v>0</v>
      </c>
      <c r="BU307" s="462">
        <f>IF(AND(AT307&lt;&gt;0,N307&lt;&gt;"NR"),DHRBY*W307,0)</f>
        <v>73.764849599999991</v>
      </c>
      <c r="BV307" s="462">
        <f>IF(AT307&lt;&gt;0,WCBY*W307,0)</f>
        <v>836.48375199999998</v>
      </c>
      <c r="BW307" s="462">
        <f>IF(OR(AND(AT307&lt;&gt;0,AJ307&lt;&gt;"PF",AN307&lt;&gt;"NE",AG307&lt;&gt;"A"),AND(AL307="E",OR(AT307=1,AT307=3))),SickBY*W307,0)</f>
        <v>0</v>
      </c>
      <c r="BX307" s="462">
        <f t="shared" si="75"/>
        <v>5806.4507592000009</v>
      </c>
      <c r="BY307" s="462">
        <f t="shared" si="76"/>
        <v>0</v>
      </c>
      <c r="BZ307" s="462">
        <f t="shared" si="77"/>
        <v>0</v>
      </c>
      <c r="CA307" s="462">
        <f t="shared" si="78"/>
        <v>0</v>
      </c>
      <c r="CB307" s="462">
        <f t="shared" si="79"/>
        <v>0</v>
      </c>
      <c r="CC307" s="462">
        <f>IF(AT307&lt;&gt;0,SSHICHG*Y307,0)</f>
        <v>0</v>
      </c>
      <c r="CD307" s="462">
        <f>IF(AND(AT307&lt;&gt;0,AN307&lt;&gt;"NE"),VLOOKUP(AN307,Retirement_Rates,5,FALSE)*Y307,0)</f>
        <v>0</v>
      </c>
      <c r="CE307" s="462">
        <f>IF(AND(AT307&lt;&gt;0,AJ307&lt;&gt;"PF"),LifeCHG*Y307,0)</f>
        <v>0</v>
      </c>
      <c r="CF307" s="462">
        <f>IF(AND(AT307&lt;&gt;0,AM307="Y"),UICHG*Y307,0)</f>
        <v>-118.12018399999999</v>
      </c>
      <c r="CG307" s="462">
        <f>IF(AND(AT307&lt;&gt;0,N307&lt;&gt;"NR"),DHRCHG*Y307,0)</f>
        <v>0</v>
      </c>
      <c r="CH307" s="462">
        <f>IF(AT307&lt;&gt;0,WCCHG*Y307,0)</f>
        <v>188.02804800000004</v>
      </c>
      <c r="CI307" s="462">
        <f>IF(OR(AND(AT307&lt;&gt;0,AJ307&lt;&gt;"PF",AN307&lt;&gt;"NE",AG307&lt;&gt;"A"),AND(AL307="E",OR(AT307=1,AT307=3))),SickCHG*Y307,0)</f>
        <v>0</v>
      </c>
      <c r="CJ307" s="462">
        <f t="shared" si="80"/>
        <v>69.907864000000046</v>
      </c>
      <c r="CK307" s="462" t="str">
        <f t="shared" si="81"/>
        <v/>
      </c>
      <c r="CL307" s="462" t="str">
        <f t="shared" si="82"/>
        <v/>
      </c>
      <c r="CM307" s="462" t="str">
        <f t="shared" si="83"/>
        <v/>
      </c>
      <c r="CN307" s="462" t="str">
        <f t="shared" si="84"/>
        <v>0250-04</v>
      </c>
    </row>
    <row r="308" spans="1:92" ht="15" thickBot="1" x14ac:dyDescent="0.35">
      <c r="A308" s="376" t="s">
        <v>161</v>
      </c>
      <c r="B308" s="376" t="s">
        <v>162</v>
      </c>
      <c r="C308" s="376" t="s">
        <v>900</v>
      </c>
      <c r="D308" s="376" t="s">
        <v>901</v>
      </c>
      <c r="E308" s="376" t="s">
        <v>421</v>
      </c>
      <c r="F308" s="382" t="s">
        <v>422</v>
      </c>
      <c r="G308" s="376" t="s">
        <v>951</v>
      </c>
      <c r="H308" s="378"/>
      <c r="I308" s="378"/>
      <c r="J308" s="376" t="s">
        <v>193</v>
      </c>
      <c r="K308" s="376" t="s">
        <v>903</v>
      </c>
      <c r="L308" s="376" t="s">
        <v>240</v>
      </c>
      <c r="M308" s="376" t="s">
        <v>225</v>
      </c>
      <c r="N308" s="376" t="s">
        <v>172</v>
      </c>
      <c r="O308" s="379">
        <v>0</v>
      </c>
      <c r="P308" s="460">
        <v>0.7</v>
      </c>
      <c r="Q308" s="460">
        <v>0.7</v>
      </c>
      <c r="R308" s="380">
        <v>80</v>
      </c>
      <c r="S308" s="460">
        <v>0.7</v>
      </c>
      <c r="T308" s="380">
        <v>33215.699999999997</v>
      </c>
      <c r="U308" s="380">
        <v>0</v>
      </c>
      <c r="V308" s="380">
        <v>15758.39</v>
      </c>
      <c r="W308" s="380">
        <v>33182.239999999998</v>
      </c>
      <c r="X308" s="380">
        <v>14533.82</v>
      </c>
      <c r="Y308" s="380">
        <v>33182.239999999998</v>
      </c>
      <c r="Z308" s="380">
        <v>14367.9</v>
      </c>
      <c r="AA308" s="378"/>
      <c r="AB308" s="376" t="s">
        <v>45</v>
      </c>
      <c r="AC308" s="376" t="s">
        <v>45</v>
      </c>
      <c r="AD308" s="378"/>
      <c r="AE308" s="378"/>
      <c r="AF308" s="378"/>
      <c r="AG308" s="378"/>
      <c r="AH308" s="379">
        <v>0</v>
      </c>
      <c r="AI308" s="379">
        <v>0</v>
      </c>
      <c r="AJ308" s="378"/>
      <c r="AK308" s="378"/>
      <c r="AL308" s="376" t="s">
        <v>181</v>
      </c>
      <c r="AM308" s="378"/>
      <c r="AN308" s="378"/>
      <c r="AO308" s="379">
        <v>0</v>
      </c>
      <c r="AP308" s="460">
        <v>0</v>
      </c>
      <c r="AQ308" s="460">
        <v>0</v>
      </c>
      <c r="AR308" s="459"/>
      <c r="AS308" s="462">
        <f t="shared" si="68"/>
        <v>0</v>
      </c>
      <c r="AT308">
        <f t="shared" si="69"/>
        <v>0</v>
      </c>
      <c r="AU308" s="462" t="str">
        <f>IF(AT308=0,"",IF(AND(AT308=1,M308="F",SUMIF(C2:C391,C308,AS2:AS391)&lt;=1),SUMIF(C2:C391,C308,AS2:AS391),IF(AND(AT308=1,M308="F",SUMIF(C2:C391,C308,AS2:AS391)&gt;1),1,"")))</f>
        <v/>
      </c>
      <c r="AV308" s="462" t="str">
        <f>IF(AT308=0,"",IF(AND(AT308=3,M308="F",SUMIF(C2:C391,C308,AS2:AS391)&lt;=1),SUMIF(C2:C391,C308,AS2:AS391),IF(AND(AT308=3,M308="F",SUMIF(C2:C391,C308,AS2:AS391)&gt;1),1,"")))</f>
        <v/>
      </c>
      <c r="AW308" s="462">
        <f>SUMIF(C2:C391,C308,O2:O391)</f>
        <v>0</v>
      </c>
      <c r="AX308" s="462">
        <f>IF(AND(M308="F",AS308&lt;&gt;0),SUMIF(C2:C391,C308,W2:W391),0)</f>
        <v>0</v>
      </c>
      <c r="AY308" s="462" t="str">
        <f t="shared" si="70"/>
        <v/>
      </c>
      <c r="AZ308" s="462" t="str">
        <f t="shared" si="71"/>
        <v/>
      </c>
      <c r="BA308" s="462">
        <f t="shared" si="72"/>
        <v>0</v>
      </c>
      <c r="BB308" s="462">
        <f>IF(AND(AT308=1,AK308="E",AU308&gt;=0.75,AW308=1),Health,IF(AND(AT308=1,AK308="E",AU308&gt;=0.75),Health*P308,IF(AND(AT308=1,AK308="E",AU308&gt;=0.5,AW308=1),PTHealth,IF(AND(AT308=1,AK308="E",AU308&gt;=0.5),PTHealth*P308,0))))</f>
        <v>0</v>
      </c>
      <c r="BC308" s="462">
        <f>IF(AND(AT308=3,AK308="E",AV308&gt;=0.75,AW308=1),Health,IF(AND(AT308=3,AK308="E",AV308&gt;=0.75),Health*P308,IF(AND(AT308=3,AK308="E",AV308&gt;=0.5,AW308=1),PTHealth,IF(AND(AT308=3,AK308="E",AV308&gt;=0.5),PTHealth*P308,0))))</f>
        <v>0</v>
      </c>
      <c r="BD308" s="462">
        <f>IF(AND(AT308&lt;&gt;0,AX308&gt;=MAXSSDI),SSDI*MAXSSDI*P308,IF(AT308&lt;&gt;0,SSDI*W308,0))</f>
        <v>0</v>
      </c>
      <c r="BE308" s="462">
        <f>IF(AT308&lt;&gt;0,SSHI*W308,0)</f>
        <v>0</v>
      </c>
      <c r="BF308" s="462">
        <f>IF(AND(AT308&lt;&gt;0,AN308&lt;&gt;"NE"),VLOOKUP(AN308,Retirement_Rates,3,FALSE)*W308,0)</f>
        <v>0</v>
      </c>
      <c r="BG308" s="462">
        <f>IF(AND(AT308&lt;&gt;0,AJ308&lt;&gt;"PF"),Life*W308,0)</f>
        <v>0</v>
      </c>
      <c r="BH308" s="462">
        <f>IF(AND(AT308&lt;&gt;0,AM308="Y"),UI*W308,0)</f>
        <v>0</v>
      </c>
      <c r="BI308" s="462">
        <f>IF(AND(AT308&lt;&gt;0,N308&lt;&gt;"NR"),DHR*W308,0)</f>
        <v>0</v>
      </c>
      <c r="BJ308" s="462">
        <f>IF(AT308&lt;&gt;0,WC*W308,0)</f>
        <v>0</v>
      </c>
      <c r="BK308" s="462">
        <f>IF(OR(AND(AT308&lt;&gt;0,AJ308&lt;&gt;"PF",AN308&lt;&gt;"NE",AG308&lt;&gt;"A"),AND(AL308="E",OR(AT308=1,AT308=3))),Sick*W308,0)</f>
        <v>0</v>
      </c>
      <c r="BL308" s="462">
        <f t="shared" si="73"/>
        <v>0</v>
      </c>
      <c r="BM308" s="462">
        <f t="shared" si="74"/>
        <v>0</v>
      </c>
      <c r="BN308" s="462">
        <f>IF(AND(AT308=1,AK308="E",AU308&gt;=0.75,AW308=1),HealthBY,IF(AND(AT308=1,AK308="E",AU308&gt;=0.75),HealthBY*P308,IF(AND(AT308=1,AK308="E",AU308&gt;=0.5,AW308=1),PTHealthBY,IF(AND(AT308=1,AK308="E",AU308&gt;=0.5),PTHealthBY*P308,0))))</f>
        <v>0</v>
      </c>
      <c r="BO308" s="462">
        <f>IF(AND(AT308=3,AK308="E",AV308&gt;=0.75,AW308=1),HealthBY,IF(AND(AT308=3,AK308="E",AV308&gt;=0.75),HealthBY*P308,IF(AND(AT308=3,AK308="E",AV308&gt;=0.5,AW308=1),PTHealthBY,IF(AND(AT308=3,AK308="E",AV308&gt;=0.5),PTHealthBY*P308,0))))</f>
        <v>0</v>
      </c>
      <c r="BP308" s="462">
        <f>IF(AND(AT308&lt;&gt;0,(AX308+BA308)&gt;=MAXSSDIBY),SSDIBY*MAXSSDIBY*P308,IF(AT308&lt;&gt;0,SSDIBY*W308,0))</f>
        <v>0</v>
      </c>
      <c r="BQ308" s="462">
        <f>IF(AT308&lt;&gt;0,SSHIBY*W308,0)</f>
        <v>0</v>
      </c>
      <c r="BR308" s="462">
        <f>IF(AND(AT308&lt;&gt;0,AN308&lt;&gt;"NE"),VLOOKUP(AN308,Retirement_Rates,4,FALSE)*W308,0)</f>
        <v>0</v>
      </c>
      <c r="BS308" s="462">
        <f>IF(AND(AT308&lt;&gt;0,AJ308&lt;&gt;"PF"),LifeBY*W308,0)</f>
        <v>0</v>
      </c>
      <c r="BT308" s="462">
        <f>IF(AND(AT308&lt;&gt;0,AM308="Y"),UIBY*W308,0)</f>
        <v>0</v>
      </c>
      <c r="BU308" s="462">
        <f>IF(AND(AT308&lt;&gt;0,N308&lt;&gt;"NR"),DHRBY*W308,0)</f>
        <v>0</v>
      </c>
      <c r="BV308" s="462">
        <f>IF(AT308&lt;&gt;0,WCBY*W308,0)</f>
        <v>0</v>
      </c>
      <c r="BW308" s="462">
        <f>IF(OR(AND(AT308&lt;&gt;0,AJ308&lt;&gt;"PF",AN308&lt;&gt;"NE",AG308&lt;&gt;"A"),AND(AL308="E",OR(AT308=1,AT308=3))),SickBY*W308,0)</f>
        <v>0</v>
      </c>
      <c r="BX308" s="462">
        <f t="shared" si="75"/>
        <v>0</v>
      </c>
      <c r="BY308" s="462">
        <f t="shared" si="76"/>
        <v>0</v>
      </c>
      <c r="BZ308" s="462">
        <f t="shared" si="77"/>
        <v>0</v>
      </c>
      <c r="CA308" s="462">
        <f t="shared" si="78"/>
        <v>0</v>
      </c>
      <c r="CB308" s="462">
        <f t="shared" si="79"/>
        <v>0</v>
      </c>
      <c r="CC308" s="462">
        <f>IF(AT308&lt;&gt;0,SSHICHG*Y308,0)</f>
        <v>0</v>
      </c>
      <c r="CD308" s="462">
        <f>IF(AND(AT308&lt;&gt;0,AN308&lt;&gt;"NE"),VLOOKUP(AN308,Retirement_Rates,5,FALSE)*Y308,0)</f>
        <v>0</v>
      </c>
      <c r="CE308" s="462">
        <f>IF(AND(AT308&lt;&gt;0,AJ308&lt;&gt;"PF"),LifeCHG*Y308,0)</f>
        <v>0</v>
      </c>
      <c r="CF308" s="462">
        <f>IF(AND(AT308&lt;&gt;0,AM308="Y"),UICHG*Y308,0)</f>
        <v>0</v>
      </c>
      <c r="CG308" s="462">
        <f>IF(AND(AT308&lt;&gt;0,N308&lt;&gt;"NR"),DHRCHG*Y308,0)</f>
        <v>0</v>
      </c>
      <c r="CH308" s="462">
        <f>IF(AT308&lt;&gt;0,WCCHG*Y308,0)</f>
        <v>0</v>
      </c>
      <c r="CI308" s="462">
        <f>IF(OR(AND(AT308&lt;&gt;0,AJ308&lt;&gt;"PF",AN308&lt;&gt;"NE",AG308&lt;&gt;"A"),AND(AL308="E",OR(AT308=1,AT308=3))),SickCHG*Y308,0)</f>
        <v>0</v>
      </c>
      <c r="CJ308" s="462">
        <f t="shared" si="80"/>
        <v>0</v>
      </c>
      <c r="CK308" s="462" t="str">
        <f t="shared" si="81"/>
        <v/>
      </c>
      <c r="CL308" s="462" t="str">
        <f t="shared" si="82"/>
        <v/>
      </c>
      <c r="CM308" s="462" t="str">
        <f t="shared" si="83"/>
        <v/>
      </c>
      <c r="CN308" s="462" t="str">
        <f t="shared" si="84"/>
        <v>0250-04</v>
      </c>
    </row>
    <row r="309" spans="1:92" ht="15" thickBot="1" x14ac:dyDescent="0.35">
      <c r="A309" s="376" t="s">
        <v>161</v>
      </c>
      <c r="B309" s="376" t="s">
        <v>162</v>
      </c>
      <c r="C309" s="376" t="s">
        <v>973</v>
      </c>
      <c r="D309" s="376" t="s">
        <v>907</v>
      </c>
      <c r="E309" s="376" t="s">
        <v>421</v>
      </c>
      <c r="F309" s="382" t="s">
        <v>422</v>
      </c>
      <c r="G309" s="376" t="s">
        <v>951</v>
      </c>
      <c r="H309" s="378"/>
      <c r="I309" s="378"/>
      <c r="J309" s="376" t="s">
        <v>193</v>
      </c>
      <c r="K309" s="376" t="s">
        <v>908</v>
      </c>
      <c r="L309" s="376" t="s">
        <v>178</v>
      </c>
      <c r="M309" s="376" t="s">
        <v>171</v>
      </c>
      <c r="N309" s="376" t="s">
        <v>172</v>
      </c>
      <c r="O309" s="379">
        <v>2</v>
      </c>
      <c r="P309" s="460">
        <v>0.65</v>
      </c>
      <c r="Q309" s="460">
        <v>0.65</v>
      </c>
      <c r="R309" s="380">
        <v>80</v>
      </c>
      <c r="S309" s="460">
        <v>0.65</v>
      </c>
      <c r="T309" s="380">
        <v>26308.67</v>
      </c>
      <c r="U309" s="380">
        <v>0</v>
      </c>
      <c r="V309" s="380">
        <v>14251.43</v>
      </c>
      <c r="W309" s="380">
        <v>24106.16</v>
      </c>
      <c r="X309" s="380">
        <v>13309.02</v>
      </c>
      <c r="Y309" s="380">
        <v>24106.16</v>
      </c>
      <c r="Z309" s="380">
        <v>13378.93</v>
      </c>
      <c r="AA309" s="376" t="s">
        <v>977</v>
      </c>
      <c r="AB309" s="376" t="s">
        <v>978</v>
      </c>
      <c r="AC309" s="376" t="s">
        <v>979</v>
      </c>
      <c r="AD309" s="376" t="s">
        <v>359</v>
      </c>
      <c r="AE309" s="376" t="s">
        <v>908</v>
      </c>
      <c r="AF309" s="376" t="s">
        <v>190</v>
      </c>
      <c r="AG309" s="376" t="s">
        <v>178</v>
      </c>
      <c r="AH309" s="381">
        <v>17.829999999999998</v>
      </c>
      <c r="AI309" s="381">
        <v>2558.6999999999998</v>
      </c>
      <c r="AJ309" s="376" t="s">
        <v>179</v>
      </c>
      <c r="AK309" s="376" t="s">
        <v>180</v>
      </c>
      <c r="AL309" s="376" t="s">
        <v>181</v>
      </c>
      <c r="AM309" s="376" t="s">
        <v>182</v>
      </c>
      <c r="AN309" s="376" t="s">
        <v>68</v>
      </c>
      <c r="AO309" s="379">
        <v>80</v>
      </c>
      <c r="AP309" s="460">
        <v>1</v>
      </c>
      <c r="AQ309" s="460">
        <v>0.65</v>
      </c>
      <c r="AR309" s="458">
        <v>6</v>
      </c>
      <c r="AS309" s="462">
        <f t="shared" si="68"/>
        <v>0.65</v>
      </c>
      <c r="AT309">
        <f t="shared" si="69"/>
        <v>0</v>
      </c>
      <c r="AU309" s="462" t="str">
        <f>IF(AT309=0,"",IF(AND(AT309=1,M309="F",SUMIF(C2:C391,C309,AS2:AS391)&lt;=1),SUMIF(C2:C391,C309,AS2:AS391),IF(AND(AT309=1,M309="F",SUMIF(C2:C391,C309,AS2:AS391)&gt;1),1,"")))</f>
        <v/>
      </c>
      <c r="AV309" s="462" t="str">
        <f>IF(AT309=0,"",IF(AND(AT309=3,M309="F",SUMIF(C2:C391,C309,AS2:AS391)&lt;=1),SUMIF(C2:C391,C309,AS2:AS391),IF(AND(AT309=3,M309="F",SUMIF(C2:C391,C309,AS2:AS391)&gt;1),1,"")))</f>
        <v/>
      </c>
      <c r="AW309" s="462">
        <f>SUMIF(C2:C391,C309,O2:O391)</f>
        <v>8</v>
      </c>
      <c r="AX309" s="462">
        <f>IF(AND(M309="F",AS309&lt;&gt;0),SUMIF(C2:C391,C309,W2:W391),0)</f>
        <v>74172.800000000003</v>
      </c>
      <c r="AY309" s="462" t="str">
        <f t="shared" si="70"/>
        <v/>
      </c>
      <c r="AZ309" s="462" t="str">
        <f t="shared" si="71"/>
        <v/>
      </c>
      <c r="BA309" s="462">
        <f t="shared" si="72"/>
        <v>0</v>
      </c>
      <c r="BB309" s="462">
        <f>IF(AND(AT309=1,AK309="E",AU309&gt;=0.75,AW309=1),Health,IF(AND(AT309=1,AK309="E",AU309&gt;=0.75),Health*P309,IF(AND(AT309=1,AK309="E",AU309&gt;=0.5,AW309=1),PTHealth,IF(AND(AT309=1,AK309="E",AU309&gt;=0.5),PTHealth*P309,0))))</f>
        <v>0</v>
      </c>
      <c r="BC309" s="462">
        <f>IF(AND(AT309=3,AK309="E",AV309&gt;=0.75,AW309=1),Health,IF(AND(AT309=3,AK309="E",AV309&gt;=0.75),Health*P309,IF(AND(AT309=3,AK309="E",AV309&gt;=0.5,AW309=1),PTHealth,IF(AND(AT309=3,AK309="E",AV309&gt;=0.5),PTHealth*P309,0))))</f>
        <v>0</v>
      </c>
      <c r="BD309" s="462">
        <f>IF(AND(AT309&lt;&gt;0,AX309&gt;=MAXSSDI),SSDI*MAXSSDI*P309,IF(AT309&lt;&gt;0,SSDI*W309,0))</f>
        <v>0</v>
      </c>
      <c r="BE309" s="462">
        <f>IF(AT309&lt;&gt;0,SSHI*W309,0)</f>
        <v>0</v>
      </c>
      <c r="BF309" s="462">
        <f>IF(AND(AT309&lt;&gt;0,AN309&lt;&gt;"NE"),VLOOKUP(AN309,Retirement_Rates,3,FALSE)*W309,0)</f>
        <v>0</v>
      </c>
      <c r="BG309" s="462">
        <f>IF(AND(AT309&lt;&gt;0,AJ309&lt;&gt;"PF"),Life*W309,0)</f>
        <v>0</v>
      </c>
      <c r="BH309" s="462">
        <f>IF(AND(AT309&lt;&gt;0,AM309="Y"),UI*W309,0)</f>
        <v>0</v>
      </c>
      <c r="BI309" s="462">
        <f>IF(AND(AT309&lt;&gt;0,N309&lt;&gt;"NR"),DHR*W309,0)</f>
        <v>0</v>
      </c>
      <c r="BJ309" s="462">
        <f>IF(AT309&lt;&gt;0,WC*W309,0)</f>
        <v>0</v>
      </c>
      <c r="BK309" s="462">
        <f>IF(OR(AND(AT309&lt;&gt;0,AJ309&lt;&gt;"PF",AN309&lt;&gt;"NE",AG309&lt;&gt;"A"),AND(AL309="E",OR(AT309=1,AT309=3))),Sick*W309,0)</f>
        <v>0</v>
      </c>
      <c r="BL309" s="462">
        <f t="shared" si="73"/>
        <v>0</v>
      </c>
      <c r="BM309" s="462">
        <f t="shared" si="74"/>
        <v>0</v>
      </c>
      <c r="BN309" s="462">
        <f>IF(AND(AT309=1,AK309="E",AU309&gt;=0.75,AW309=1),HealthBY,IF(AND(AT309=1,AK309="E",AU309&gt;=0.75),HealthBY*P309,IF(AND(AT309=1,AK309="E",AU309&gt;=0.5,AW309=1),PTHealthBY,IF(AND(AT309=1,AK309="E",AU309&gt;=0.5),PTHealthBY*P309,0))))</f>
        <v>0</v>
      </c>
      <c r="BO309" s="462">
        <f>IF(AND(AT309=3,AK309="E",AV309&gt;=0.75,AW309=1),HealthBY,IF(AND(AT309=3,AK309="E",AV309&gt;=0.75),HealthBY*P309,IF(AND(AT309=3,AK309="E",AV309&gt;=0.5,AW309=1),PTHealthBY,IF(AND(AT309=3,AK309="E",AV309&gt;=0.5),PTHealthBY*P309,0))))</f>
        <v>0</v>
      </c>
      <c r="BP309" s="462">
        <f>IF(AND(AT309&lt;&gt;0,(AX309+BA309)&gt;=MAXSSDIBY),SSDIBY*MAXSSDIBY*P309,IF(AT309&lt;&gt;0,SSDIBY*W309,0))</f>
        <v>0</v>
      </c>
      <c r="BQ309" s="462">
        <f>IF(AT309&lt;&gt;0,SSHIBY*W309,0)</f>
        <v>0</v>
      </c>
      <c r="BR309" s="462">
        <f>IF(AND(AT309&lt;&gt;0,AN309&lt;&gt;"NE"),VLOOKUP(AN309,Retirement_Rates,4,FALSE)*W309,0)</f>
        <v>0</v>
      </c>
      <c r="BS309" s="462">
        <f>IF(AND(AT309&lt;&gt;0,AJ309&lt;&gt;"PF"),LifeBY*W309,0)</f>
        <v>0</v>
      </c>
      <c r="BT309" s="462">
        <f>IF(AND(AT309&lt;&gt;0,AM309="Y"),UIBY*W309,0)</f>
        <v>0</v>
      </c>
      <c r="BU309" s="462">
        <f>IF(AND(AT309&lt;&gt;0,N309&lt;&gt;"NR"),DHRBY*W309,0)</f>
        <v>0</v>
      </c>
      <c r="BV309" s="462">
        <f>IF(AT309&lt;&gt;0,WCBY*W309,0)</f>
        <v>0</v>
      </c>
      <c r="BW309" s="462">
        <f>IF(OR(AND(AT309&lt;&gt;0,AJ309&lt;&gt;"PF",AN309&lt;&gt;"NE",AG309&lt;&gt;"A"),AND(AL309="E",OR(AT309=1,AT309=3))),SickBY*W309,0)</f>
        <v>0</v>
      </c>
      <c r="BX309" s="462">
        <f t="shared" si="75"/>
        <v>0</v>
      </c>
      <c r="BY309" s="462">
        <f t="shared" si="76"/>
        <v>0</v>
      </c>
      <c r="BZ309" s="462">
        <f t="shared" si="77"/>
        <v>0</v>
      </c>
      <c r="CA309" s="462">
        <f t="shared" si="78"/>
        <v>0</v>
      </c>
      <c r="CB309" s="462">
        <f t="shared" si="79"/>
        <v>0</v>
      </c>
      <c r="CC309" s="462">
        <f>IF(AT309&lt;&gt;0,SSHICHG*Y309,0)</f>
        <v>0</v>
      </c>
      <c r="CD309" s="462">
        <f>IF(AND(AT309&lt;&gt;0,AN309&lt;&gt;"NE"),VLOOKUP(AN309,Retirement_Rates,5,FALSE)*Y309,0)</f>
        <v>0</v>
      </c>
      <c r="CE309" s="462">
        <f>IF(AND(AT309&lt;&gt;0,AJ309&lt;&gt;"PF"),LifeCHG*Y309,0)</f>
        <v>0</v>
      </c>
      <c r="CF309" s="462">
        <f>IF(AND(AT309&lt;&gt;0,AM309="Y"),UICHG*Y309,0)</f>
        <v>0</v>
      </c>
      <c r="CG309" s="462">
        <f>IF(AND(AT309&lt;&gt;0,N309&lt;&gt;"NR"),DHRCHG*Y309,0)</f>
        <v>0</v>
      </c>
      <c r="CH309" s="462">
        <f>IF(AT309&lt;&gt;0,WCCHG*Y309,0)</f>
        <v>0</v>
      </c>
      <c r="CI309" s="462">
        <f>IF(OR(AND(AT309&lt;&gt;0,AJ309&lt;&gt;"PF",AN309&lt;&gt;"NE",AG309&lt;&gt;"A"),AND(AL309="E",OR(AT309=1,AT309=3))),SickCHG*Y309,0)</f>
        <v>0</v>
      </c>
      <c r="CJ309" s="462">
        <f t="shared" si="80"/>
        <v>0</v>
      </c>
      <c r="CK309" s="462" t="str">
        <f t="shared" si="81"/>
        <v/>
      </c>
      <c r="CL309" s="462" t="str">
        <f t="shared" si="82"/>
        <v/>
      </c>
      <c r="CM309" s="462" t="str">
        <f t="shared" si="83"/>
        <v/>
      </c>
      <c r="CN309" s="462" t="str">
        <f t="shared" si="84"/>
        <v>0250-04</v>
      </c>
    </row>
    <row r="310" spans="1:92" ht="15" thickBot="1" x14ac:dyDescent="0.35">
      <c r="A310" s="376" t="s">
        <v>161</v>
      </c>
      <c r="B310" s="376" t="s">
        <v>162</v>
      </c>
      <c r="C310" s="376" t="s">
        <v>980</v>
      </c>
      <c r="D310" s="376" t="s">
        <v>981</v>
      </c>
      <c r="E310" s="376" t="s">
        <v>421</v>
      </c>
      <c r="F310" s="382" t="s">
        <v>422</v>
      </c>
      <c r="G310" s="376" t="s">
        <v>951</v>
      </c>
      <c r="H310" s="378"/>
      <c r="I310" s="378"/>
      <c r="J310" s="376" t="s">
        <v>229</v>
      </c>
      <c r="K310" s="376" t="s">
        <v>982</v>
      </c>
      <c r="L310" s="376" t="s">
        <v>240</v>
      </c>
      <c r="M310" s="376" t="s">
        <v>171</v>
      </c>
      <c r="N310" s="376" t="s">
        <v>172</v>
      </c>
      <c r="O310" s="379">
        <v>1</v>
      </c>
      <c r="P310" s="460">
        <v>0.25</v>
      </c>
      <c r="Q310" s="460">
        <v>0.25</v>
      </c>
      <c r="R310" s="380">
        <v>80</v>
      </c>
      <c r="S310" s="460">
        <v>0.25</v>
      </c>
      <c r="T310" s="380">
        <v>11261.61</v>
      </c>
      <c r="U310" s="380">
        <v>0</v>
      </c>
      <c r="V310" s="380">
        <v>5499.88</v>
      </c>
      <c r="W310" s="380">
        <v>11601.2</v>
      </c>
      <c r="X310" s="380">
        <v>5673.22</v>
      </c>
      <c r="Y310" s="380">
        <v>11601.2</v>
      </c>
      <c r="Z310" s="380">
        <v>5706.87</v>
      </c>
      <c r="AA310" s="376" t="s">
        <v>983</v>
      </c>
      <c r="AB310" s="376" t="s">
        <v>984</v>
      </c>
      <c r="AC310" s="376" t="s">
        <v>985</v>
      </c>
      <c r="AD310" s="376" t="s">
        <v>176</v>
      </c>
      <c r="AE310" s="376" t="s">
        <v>982</v>
      </c>
      <c r="AF310" s="376" t="s">
        <v>244</v>
      </c>
      <c r="AG310" s="376" t="s">
        <v>178</v>
      </c>
      <c r="AH310" s="381">
        <v>22.31</v>
      </c>
      <c r="AI310" s="381">
        <v>14555.8</v>
      </c>
      <c r="AJ310" s="376" t="s">
        <v>179</v>
      </c>
      <c r="AK310" s="376" t="s">
        <v>180</v>
      </c>
      <c r="AL310" s="376" t="s">
        <v>181</v>
      </c>
      <c r="AM310" s="376" t="s">
        <v>182</v>
      </c>
      <c r="AN310" s="376" t="s">
        <v>68</v>
      </c>
      <c r="AO310" s="379">
        <v>80</v>
      </c>
      <c r="AP310" s="460">
        <v>1</v>
      </c>
      <c r="AQ310" s="460">
        <v>0.25</v>
      </c>
      <c r="AR310" s="458" t="s">
        <v>183</v>
      </c>
      <c r="AS310" s="462">
        <f t="shared" si="68"/>
        <v>0.25</v>
      </c>
      <c r="AT310">
        <f t="shared" si="69"/>
        <v>1</v>
      </c>
      <c r="AU310" s="462">
        <f>IF(AT310=0,"",IF(AND(AT310=1,M310="F",SUMIF(C2:C391,C310,AS2:AS391)&lt;=1),SUMIF(C2:C391,C310,AS2:AS391),IF(AND(AT310=1,M310="F",SUMIF(C2:C391,C310,AS2:AS391)&gt;1),1,"")))</f>
        <v>1</v>
      </c>
      <c r="AV310" s="462" t="str">
        <f>IF(AT310=0,"",IF(AND(AT310=3,M310="F",SUMIF(C2:C391,C310,AS2:AS391)&lt;=1),SUMIF(C2:C391,C310,AS2:AS391),IF(AND(AT310=3,M310="F",SUMIF(C2:C391,C310,AS2:AS391)&gt;1),1,"")))</f>
        <v/>
      </c>
      <c r="AW310" s="462">
        <f>SUMIF(C2:C391,C310,O2:O391)</f>
        <v>2</v>
      </c>
      <c r="AX310" s="462">
        <f>IF(AND(M310="F",AS310&lt;&gt;0),SUMIF(C2:C391,C310,W2:W391),0)</f>
        <v>46404.800000000003</v>
      </c>
      <c r="AY310" s="462">
        <f t="shared" si="70"/>
        <v>11601.2</v>
      </c>
      <c r="AZ310" s="462" t="str">
        <f t="shared" si="71"/>
        <v/>
      </c>
      <c r="BA310" s="462">
        <f t="shared" si="72"/>
        <v>0</v>
      </c>
      <c r="BB310" s="462">
        <f>IF(AND(AT310=1,AK310="E",AU310&gt;=0.75,AW310=1),Health,IF(AND(AT310=1,AK310="E",AU310&gt;=0.75),Health*P310,IF(AND(AT310=1,AK310="E",AU310&gt;=0.5,AW310=1),PTHealth,IF(AND(AT310=1,AK310="E",AU310&gt;=0.5),PTHealth*P310,0))))</f>
        <v>2912.5</v>
      </c>
      <c r="BC310" s="462">
        <f>IF(AND(AT310=3,AK310="E",AV310&gt;=0.75,AW310=1),Health,IF(AND(AT310=3,AK310="E",AV310&gt;=0.75),Health*P310,IF(AND(AT310=3,AK310="E",AV310&gt;=0.5,AW310=1),PTHealth,IF(AND(AT310=3,AK310="E",AV310&gt;=0.5),PTHealth*P310,0))))</f>
        <v>0</v>
      </c>
      <c r="BD310" s="462">
        <f>IF(AND(AT310&lt;&gt;0,AX310&gt;=MAXSSDI),SSDI*MAXSSDI*P310,IF(AT310&lt;&gt;0,SSDI*W310,0))</f>
        <v>719.27440000000001</v>
      </c>
      <c r="BE310" s="462">
        <f>IF(AT310&lt;&gt;0,SSHI*W310,0)</f>
        <v>168.21740000000003</v>
      </c>
      <c r="BF310" s="462">
        <f>IF(AND(AT310&lt;&gt;0,AN310&lt;&gt;"NE"),VLOOKUP(AN310,Retirement_Rates,3,FALSE)*W310,0)</f>
        <v>1385.1832800000002</v>
      </c>
      <c r="BG310" s="462">
        <f>IF(AND(AT310&lt;&gt;0,AJ310&lt;&gt;"PF"),Life*W310,0)</f>
        <v>83.644652000000008</v>
      </c>
      <c r="BH310" s="462">
        <f>IF(AND(AT310&lt;&gt;0,AM310="Y"),UI*W310,0)</f>
        <v>56.845880000000001</v>
      </c>
      <c r="BI310" s="462">
        <f>IF(AND(AT310&lt;&gt;0,N310&lt;&gt;"NR"),DHR*W310,0)</f>
        <v>35.499671999999997</v>
      </c>
      <c r="BJ310" s="462">
        <f>IF(AT310&lt;&gt;0,WC*W310,0)</f>
        <v>312.07228000000003</v>
      </c>
      <c r="BK310" s="462">
        <f>IF(OR(AND(AT310&lt;&gt;0,AJ310&lt;&gt;"PF",AN310&lt;&gt;"NE",AG310&lt;&gt;"A"),AND(AL310="E",OR(AT310=1,AT310=3))),Sick*W310,0)</f>
        <v>0</v>
      </c>
      <c r="BL310" s="462">
        <f t="shared" si="73"/>
        <v>2760.7375639999996</v>
      </c>
      <c r="BM310" s="462">
        <f t="shared" si="74"/>
        <v>0</v>
      </c>
      <c r="BN310" s="462">
        <f>IF(AND(AT310=1,AK310="E",AU310&gt;=0.75,AW310=1),HealthBY,IF(AND(AT310=1,AK310="E",AU310&gt;=0.75),HealthBY*P310,IF(AND(AT310=1,AK310="E",AU310&gt;=0.5,AW310=1),PTHealthBY,IF(AND(AT310=1,AK310="E",AU310&gt;=0.5),PTHealthBY*P310,0))))</f>
        <v>2912.5</v>
      </c>
      <c r="BO310" s="462">
        <f>IF(AND(AT310=3,AK310="E",AV310&gt;=0.75,AW310=1),HealthBY,IF(AND(AT310=3,AK310="E",AV310&gt;=0.75),HealthBY*P310,IF(AND(AT310=3,AK310="E",AV310&gt;=0.5,AW310=1),PTHealthBY,IF(AND(AT310=3,AK310="E",AV310&gt;=0.5),PTHealthBY*P310,0))))</f>
        <v>0</v>
      </c>
      <c r="BP310" s="462">
        <f>IF(AND(AT310&lt;&gt;0,(AX310+BA310)&gt;=MAXSSDIBY),SSDIBY*MAXSSDIBY*P310,IF(AT310&lt;&gt;0,SSDIBY*W310,0))</f>
        <v>719.27440000000001</v>
      </c>
      <c r="BQ310" s="462">
        <f>IF(AT310&lt;&gt;0,SSHIBY*W310,0)</f>
        <v>168.21740000000003</v>
      </c>
      <c r="BR310" s="462">
        <f>IF(AND(AT310&lt;&gt;0,AN310&lt;&gt;"NE"),VLOOKUP(AN310,Retirement_Rates,4,FALSE)*W310,0)</f>
        <v>1385.1832800000002</v>
      </c>
      <c r="BS310" s="462">
        <f>IF(AND(AT310&lt;&gt;0,AJ310&lt;&gt;"PF"),LifeBY*W310,0)</f>
        <v>83.644652000000008</v>
      </c>
      <c r="BT310" s="462">
        <f>IF(AND(AT310&lt;&gt;0,AM310="Y"),UIBY*W310,0)</f>
        <v>0</v>
      </c>
      <c r="BU310" s="462">
        <f>IF(AND(AT310&lt;&gt;0,N310&lt;&gt;"NR"),DHRBY*W310,0)</f>
        <v>35.499671999999997</v>
      </c>
      <c r="BV310" s="462">
        <f>IF(AT310&lt;&gt;0,WCBY*W310,0)</f>
        <v>402.56164000000007</v>
      </c>
      <c r="BW310" s="462">
        <f>IF(OR(AND(AT310&lt;&gt;0,AJ310&lt;&gt;"PF",AN310&lt;&gt;"NE",AG310&lt;&gt;"A"),AND(AL310="E",OR(AT310=1,AT310=3))),SickBY*W310,0)</f>
        <v>0</v>
      </c>
      <c r="BX310" s="462">
        <f t="shared" si="75"/>
        <v>2794.3810439999997</v>
      </c>
      <c r="BY310" s="462">
        <f t="shared" si="76"/>
        <v>0</v>
      </c>
      <c r="BZ310" s="462">
        <f t="shared" si="77"/>
        <v>0</v>
      </c>
      <c r="CA310" s="462">
        <f t="shared" si="78"/>
        <v>0</v>
      </c>
      <c r="CB310" s="462">
        <f t="shared" si="79"/>
        <v>0</v>
      </c>
      <c r="CC310" s="462">
        <f>IF(AT310&lt;&gt;0,SSHICHG*Y310,0)</f>
        <v>0</v>
      </c>
      <c r="CD310" s="462">
        <f>IF(AND(AT310&lt;&gt;0,AN310&lt;&gt;"NE"),VLOOKUP(AN310,Retirement_Rates,5,FALSE)*Y310,0)</f>
        <v>0</v>
      </c>
      <c r="CE310" s="462">
        <f>IF(AND(AT310&lt;&gt;0,AJ310&lt;&gt;"PF"),LifeCHG*Y310,0)</f>
        <v>0</v>
      </c>
      <c r="CF310" s="462">
        <f>IF(AND(AT310&lt;&gt;0,AM310="Y"),UICHG*Y310,0)</f>
        <v>-56.845880000000001</v>
      </c>
      <c r="CG310" s="462">
        <f>IF(AND(AT310&lt;&gt;0,N310&lt;&gt;"NR"),DHRCHG*Y310,0)</f>
        <v>0</v>
      </c>
      <c r="CH310" s="462">
        <f>IF(AT310&lt;&gt;0,WCCHG*Y310,0)</f>
        <v>90.489360000000019</v>
      </c>
      <c r="CI310" s="462">
        <f>IF(OR(AND(AT310&lt;&gt;0,AJ310&lt;&gt;"PF",AN310&lt;&gt;"NE",AG310&lt;&gt;"A"),AND(AL310="E",OR(AT310=1,AT310=3))),SickCHG*Y310,0)</f>
        <v>0</v>
      </c>
      <c r="CJ310" s="462">
        <f t="shared" si="80"/>
        <v>33.643480000000018</v>
      </c>
      <c r="CK310" s="462" t="str">
        <f t="shared" si="81"/>
        <v/>
      </c>
      <c r="CL310" s="462" t="str">
        <f t="shared" si="82"/>
        <v/>
      </c>
      <c r="CM310" s="462" t="str">
        <f t="shared" si="83"/>
        <v/>
      </c>
      <c r="CN310" s="462" t="str">
        <f t="shared" si="84"/>
        <v>0250-04</v>
      </c>
    </row>
    <row r="311" spans="1:92" ht="15" thickBot="1" x14ac:dyDescent="0.35">
      <c r="A311" s="376" t="s">
        <v>161</v>
      </c>
      <c r="B311" s="376" t="s">
        <v>162</v>
      </c>
      <c r="C311" s="376" t="s">
        <v>909</v>
      </c>
      <c r="D311" s="376" t="s">
        <v>690</v>
      </c>
      <c r="E311" s="376" t="s">
        <v>421</v>
      </c>
      <c r="F311" s="382" t="s">
        <v>422</v>
      </c>
      <c r="G311" s="376" t="s">
        <v>951</v>
      </c>
      <c r="H311" s="378"/>
      <c r="I311" s="378"/>
      <c r="J311" s="376" t="s">
        <v>229</v>
      </c>
      <c r="K311" s="376" t="s">
        <v>691</v>
      </c>
      <c r="L311" s="376" t="s">
        <v>170</v>
      </c>
      <c r="M311" s="376" t="s">
        <v>171</v>
      </c>
      <c r="N311" s="376" t="s">
        <v>172</v>
      </c>
      <c r="O311" s="379">
        <v>1</v>
      </c>
      <c r="P311" s="460">
        <v>0.25</v>
      </c>
      <c r="Q311" s="460">
        <v>0.25</v>
      </c>
      <c r="R311" s="380">
        <v>80</v>
      </c>
      <c r="S311" s="460">
        <v>0.25</v>
      </c>
      <c r="T311" s="380">
        <v>9347.2199999999993</v>
      </c>
      <c r="U311" s="380">
        <v>0</v>
      </c>
      <c r="V311" s="380">
        <v>3863.59</v>
      </c>
      <c r="W311" s="380">
        <v>15022.8</v>
      </c>
      <c r="X311" s="380">
        <v>6487.46</v>
      </c>
      <c r="Y311" s="380">
        <v>15022.8</v>
      </c>
      <c r="Z311" s="380">
        <v>6531.03</v>
      </c>
      <c r="AA311" s="376" t="s">
        <v>910</v>
      </c>
      <c r="AB311" s="376" t="s">
        <v>911</v>
      </c>
      <c r="AC311" s="376" t="s">
        <v>912</v>
      </c>
      <c r="AD311" s="376" t="s">
        <v>574</v>
      </c>
      <c r="AE311" s="376" t="s">
        <v>691</v>
      </c>
      <c r="AF311" s="376" t="s">
        <v>177</v>
      </c>
      <c r="AG311" s="376" t="s">
        <v>178</v>
      </c>
      <c r="AH311" s="381">
        <v>28.89</v>
      </c>
      <c r="AI311" s="379">
        <v>37296</v>
      </c>
      <c r="AJ311" s="376" t="s">
        <v>179</v>
      </c>
      <c r="AK311" s="376" t="s">
        <v>180</v>
      </c>
      <c r="AL311" s="376" t="s">
        <v>181</v>
      </c>
      <c r="AM311" s="376" t="s">
        <v>182</v>
      </c>
      <c r="AN311" s="376" t="s">
        <v>68</v>
      </c>
      <c r="AO311" s="379">
        <v>80</v>
      </c>
      <c r="AP311" s="460">
        <v>1</v>
      </c>
      <c r="AQ311" s="460">
        <v>0.25</v>
      </c>
      <c r="AR311" s="458" t="s">
        <v>183</v>
      </c>
      <c r="AS311" s="462">
        <f t="shared" si="68"/>
        <v>0.25</v>
      </c>
      <c r="AT311">
        <f t="shared" si="69"/>
        <v>1</v>
      </c>
      <c r="AU311" s="462">
        <f>IF(AT311=0,"",IF(AND(AT311=1,M311="F",SUMIF(C2:C391,C311,AS2:AS391)&lt;=1),SUMIF(C2:C391,C311,AS2:AS391),IF(AND(AT311=1,M311="F",SUMIF(C2:C391,C311,AS2:AS391)&gt;1),1,"")))</f>
        <v>1</v>
      </c>
      <c r="AV311" s="462" t="str">
        <f>IF(AT311=0,"",IF(AND(AT311=3,M311="F",SUMIF(C2:C391,C311,AS2:AS391)&lt;=1),SUMIF(C2:C391,C311,AS2:AS391),IF(AND(AT311=3,M311="F",SUMIF(C2:C391,C311,AS2:AS391)&gt;1),1,"")))</f>
        <v/>
      </c>
      <c r="AW311" s="462">
        <f>SUMIF(C2:C391,C311,O2:O391)</f>
        <v>3</v>
      </c>
      <c r="AX311" s="462">
        <f>IF(AND(M311="F",AS311&lt;&gt;0),SUMIF(C2:C391,C311,W2:W391),0)</f>
        <v>60091.199999999997</v>
      </c>
      <c r="AY311" s="462">
        <f t="shared" si="70"/>
        <v>15022.8</v>
      </c>
      <c r="AZ311" s="462" t="str">
        <f t="shared" si="71"/>
        <v/>
      </c>
      <c r="BA311" s="462">
        <f t="shared" si="72"/>
        <v>0</v>
      </c>
      <c r="BB311" s="462">
        <f>IF(AND(AT311=1,AK311="E",AU311&gt;=0.75,AW311=1),Health,IF(AND(AT311=1,AK311="E",AU311&gt;=0.75),Health*P311,IF(AND(AT311=1,AK311="E",AU311&gt;=0.5,AW311=1),PTHealth,IF(AND(AT311=1,AK311="E",AU311&gt;=0.5),PTHealth*P311,0))))</f>
        <v>2912.5</v>
      </c>
      <c r="BC311" s="462">
        <f>IF(AND(AT311=3,AK311="E",AV311&gt;=0.75,AW311=1),Health,IF(AND(AT311=3,AK311="E",AV311&gt;=0.75),Health*P311,IF(AND(AT311=3,AK311="E",AV311&gt;=0.5,AW311=1),PTHealth,IF(AND(AT311=3,AK311="E",AV311&gt;=0.5),PTHealth*P311,0))))</f>
        <v>0</v>
      </c>
      <c r="BD311" s="462">
        <f>IF(AND(AT311&lt;&gt;0,AX311&gt;=MAXSSDI),SSDI*MAXSSDI*P311,IF(AT311&lt;&gt;0,SSDI*W311,0))</f>
        <v>931.41359999999997</v>
      </c>
      <c r="BE311" s="462">
        <f>IF(AT311&lt;&gt;0,SSHI*W311,0)</f>
        <v>217.8306</v>
      </c>
      <c r="BF311" s="462">
        <f>IF(AND(AT311&lt;&gt;0,AN311&lt;&gt;"NE"),VLOOKUP(AN311,Retirement_Rates,3,FALSE)*W311,0)</f>
        <v>1793.7223200000001</v>
      </c>
      <c r="BG311" s="462">
        <f>IF(AND(AT311&lt;&gt;0,AJ311&lt;&gt;"PF"),Life*W311,0)</f>
        <v>108.31438799999999</v>
      </c>
      <c r="BH311" s="462">
        <f>IF(AND(AT311&lt;&gt;0,AM311="Y"),UI*W311,0)</f>
        <v>73.611719999999991</v>
      </c>
      <c r="BI311" s="462">
        <f>IF(AND(AT311&lt;&gt;0,N311&lt;&gt;"NR"),DHR*W311,0)</f>
        <v>45.969767999999995</v>
      </c>
      <c r="BJ311" s="462">
        <f>IF(AT311&lt;&gt;0,WC*W311,0)</f>
        <v>404.11331999999999</v>
      </c>
      <c r="BK311" s="462">
        <f>IF(OR(AND(AT311&lt;&gt;0,AJ311&lt;&gt;"PF",AN311&lt;&gt;"NE",AG311&lt;&gt;"A"),AND(AL311="E",OR(AT311=1,AT311=3))),Sick*W311,0)</f>
        <v>0</v>
      </c>
      <c r="BL311" s="462">
        <f t="shared" si="73"/>
        <v>3574.9757159999995</v>
      </c>
      <c r="BM311" s="462">
        <f t="shared" si="74"/>
        <v>0</v>
      </c>
      <c r="BN311" s="462">
        <f>IF(AND(AT311=1,AK311="E",AU311&gt;=0.75,AW311=1),HealthBY,IF(AND(AT311=1,AK311="E",AU311&gt;=0.75),HealthBY*P311,IF(AND(AT311=1,AK311="E",AU311&gt;=0.5,AW311=1),PTHealthBY,IF(AND(AT311=1,AK311="E",AU311&gt;=0.5),PTHealthBY*P311,0))))</f>
        <v>2912.5</v>
      </c>
      <c r="BO311" s="462">
        <f>IF(AND(AT311=3,AK311="E",AV311&gt;=0.75,AW311=1),HealthBY,IF(AND(AT311=3,AK311="E",AV311&gt;=0.75),HealthBY*P311,IF(AND(AT311=3,AK311="E",AV311&gt;=0.5,AW311=1),PTHealthBY,IF(AND(AT311=3,AK311="E",AV311&gt;=0.5),PTHealthBY*P311,0))))</f>
        <v>0</v>
      </c>
      <c r="BP311" s="462">
        <f>IF(AND(AT311&lt;&gt;0,(AX311+BA311)&gt;=MAXSSDIBY),SSDIBY*MAXSSDIBY*P311,IF(AT311&lt;&gt;0,SSDIBY*W311,0))</f>
        <v>931.41359999999997</v>
      </c>
      <c r="BQ311" s="462">
        <f>IF(AT311&lt;&gt;0,SSHIBY*W311,0)</f>
        <v>217.8306</v>
      </c>
      <c r="BR311" s="462">
        <f>IF(AND(AT311&lt;&gt;0,AN311&lt;&gt;"NE"),VLOOKUP(AN311,Retirement_Rates,4,FALSE)*W311,0)</f>
        <v>1793.7223200000001</v>
      </c>
      <c r="BS311" s="462">
        <f>IF(AND(AT311&lt;&gt;0,AJ311&lt;&gt;"PF"),LifeBY*W311,0)</f>
        <v>108.31438799999999</v>
      </c>
      <c r="BT311" s="462">
        <f>IF(AND(AT311&lt;&gt;0,AM311="Y"),UIBY*W311,0)</f>
        <v>0</v>
      </c>
      <c r="BU311" s="462">
        <f>IF(AND(AT311&lt;&gt;0,N311&lt;&gt;"NR"),DHRBY*W311,0)</f>
        <v>45.969767999999995</v>
      </c>
      <c r="BV311" s="462">
        <f>IF(AT311&lt;&gt;0,WCBY*W311,0)</f>
        <v>521.29115999999999</v>
      </c>
      <c r="BW311" s="462">
        <f>IF(OR(AND(AT311&lt;&gt;0,AJ311&lt;&gt;"PF",AN311&lt;&gt;"NE",AG311&lt;&gt;"A"),AND(AL311="E",OR(AT311=1,AT311=3))),SickBY*W311,0)</f>
        <v>0</v>
      </c>
      <c r="BX311" s="462">
        <f t="shared" si="75"/>
        <v>3618.5418359999994</v>
      </c>
      <c r="BY311" s="462">
        <f t="shared" si="76"/>
        <v>0</v>
      </c>
      <c r="BZ311" s="462">
        <f t="shared" si="77"/>
        <v>0</v>
      </c>
      <c r="CA311" s="462">
        <f t="shared" si="78"/>
        <v>0</v>
      </c>
      <c r="CB311" s="462">
        <f t="shared" si="79"/>
        <v>0</v>
      </c>
      <c r="CC311" s="462">
        <f>IF(AT311&lt;&gt;0,SSHICHG*Y311,0)</f>
        <v>0</v>
      </c>
      <c r="CD311" s="462">
        <f>IF(AND(AT311&lt;&gt;0,AN311&lt;&gt;"NE"),VLOOKUP(AN311,Retirement_Rates,5,FALSE)*Y311,0)</f>
        <v>0</v>
      </c>
      <c r="CE311" s="462">
        <f>IF(AND(AT311&lt;&gt;0,AJ311&lt;&gt;"PF"),LifeCHG*Y311,0)</f>
        <v>0</v>
      </c>
      <c r="CF311" s="462">
        <f>IF(AND(AT311&lt;&gt;0,AM311="Y"),UICHG*Y311,0)</f>
        <v>-73.611719999999991</v>
      </c>
      <c r="CG311" s="462">
        <f>IF(AND(AT311&lt;&gt;0,N311&lt;&gt;"NR"),DHRCHG*Y311,0)</f>
        <v>0</v>
      </c>
      <c r="CH311" s="462">
        <f>IF(AT311&lt;&gt;0,WCCHG*Y311,0)</f>
        <v>117.17784000000002</v>
      </c>
      <c r="CI311" s="462">
        <f>IF(OR(AND(AT311&lt;&gt;0,AJ311&lt;&gt;"PF",AN311&lt;&gt;"NE",AG311&lt;&gt;"A"),AND(AL311="E",OR(AT311=1,AT311=3))),SickCHG*Y311,0)</f>
        <v>0</v>
      </c>
      <c r="CJ311" s="462">
        <f t="shared" si="80"/>
        <v>43.566120000000026</v>
      </c>
      <c r="CK311" s="462" t="str">
        <f t="shared" si="81"/>
        <v/>
      </c>
      <c r="CL311" s="462" t="str">
        <f t="shared" si="82"/>
        <v/>
      </c>
      <c r="CM311" s="462" t="str">
        <f t="shared" si="83"/>
        <v/>
      </c>
      <c r="CN311" s="462" t="str">
        <f t="shared" si="84"/>
        <v>0250-04</v>
      </c>
    </row>
    <row r="312" spans="1:92" ht="15" thickBot="1" x14ac:dyDescent="0.35">
      <c r="A312" s="376" t="s">
        <v>161</v>
      </c>
      <c r="B312" s="376" t="s">
        <v>162</v>
      </c>
      <c r="C312" s="376" t="s">
        <v>913</v>
      </c>
      <c r="D312" s="376" t="s">
        <v>914</v>
      </c>
      <c r="E312" s="376" t="s">
        <v>421</v>
      </c>
      <c r="F312" s="382" t="s">
        <v>422</v>
      </c>
      <c r="G312" s="376" t="s">
        <v>951</v>
      </c>
      <c r="H312" s="378"/>
      <c r="I312" s="378"/>
      <c r="J312" s="376" t="s">
        <v>193</v>
      </c>
      <c r="K312" s="376" t="s">
        <v>915</v>
      </c>
      <c r="L312" s="376" t="s">
        <v>215</v>
      </c>
      <c r="M312" s="376" t="s">
        <v>171</v>
      </c>
      <c r="N312" s="376" t="s">
        <v>172</v>
      </c>
      <c r="O312" s="379">
        <v>1</v>
      </c>
      <c r="P312" s="460">
        <v>0.5</v>
      </c>
      <c r="Q312" s="460">
        <v>0.5</v>
      </c>
      <c r="R312" s="380">
        <v>80</v>
      </c>
      <c r="S312" s="460">
        <v>0.5</v>
      </c>
      <c r="T312" s="380">
        <v>30461.14</v>
      </c>
      <c r="U312" s="380">
        <v>0</v>
      </c>
      <c r="V312" s="380">
        <v>11039.69</v>
      </c>
      <c r="W312" s="380">
        <v>37960</v>
      </c>
      <c r="X312" s="380">
        <v>14858.32</v>
      </c>
      <c r="Y312" s="380">
        <v>37960</v>
      </c>
      <c r="Z312" s="380">
        <v>14968.41</v>
      </c>
      <c r="AA312" s="376" t="s">
        <v>916</v>
      </c>
      <c r="AB312" s="376" t="s">
        <v>917</v>
      </c>
      <c r="AC312" s="376" t="s">
        <v>445</v>
      </c>
      <c r="AD312" s="376" t="s">
        <v>446</v>
      </c>
      <c r="AE312" s="376" t="s">
        <v>915</v>
      </c>
      <c r="AF312" s="376" t="s">
        <v>219</v>
      </c>
      <c r="AG312" s="376" t="s">
        <v>178</v>
      </c>
      <c r="AH312" s="381">
        <v>36.5</v>
      </c>
      <c r="AI312" s="381">
        <v>44383.199999999997</v>
      </c>
      <c r="AJ312" s="376" t="s">
        <v>179</v>
      </c>
      <c r="AK312" s="376" t="s">
        <v>180</v>
      </c>
      <c r="AL312" s="376" t="s">
        <v>181</v>
      </c>
      <c r="AM312" s="376" t="s">
        <v>182</v>
      </c>
      <c r="AN312" s="376" t="s">
        <v>68</v>
      </c>
      <c r="AO312" s="379">
        <v>80</v>
      </c>
      <c r="AP312" s="460">
        <v>1</v>
      </c>
      <c r="AQ312" s="460">
        <v>0.5</v>
      </c>
      <c r="AR312" s="458" t="s">
        <v>183</v>
      </c>
      <c r="AS312" s="462">
        <f t="shared" si="68"/>
        <v>0.5</v>
      </c>
      <c r="AT312">
        <f t="shared" si="69"/>
        <v>1</v>
      </c>
      <c r="AU312" s="462">
        <f>IF(AT312=0,"",IF(AND(AT312=1,M312="F",SUMIF(C2:C391,C312,AS2:AS391)&lt;=1),SUMIF(C2:C391,C312,AS2:AS391),IF(AND(AT312=1,M312="F",SUMIF(C2:C391,C312,AS2:AS391)&gt;1),1,"")))</f>
        <v>1</v>
      </c>
      <c r="AV312" s="462" t="str">
        <f>IF(AT312=0,"",IF(AND(AT312=3,M312="F",SUMIF(C2:C391,C312,AS2:AS391)&lt;=1),SUMIF(C2:C391,C312,AS2:AS391),IF(AND(AT312=3,M312="F",SUMIF(C2:C391,C312,AS2:AS391)&gt;1),1,"")))</f>
        <v/>
      </c>
      <c r="AW312" s="462">
        <f>SUMIF(C2:C391,C312,O2:O391)</f>
        <v>2</v>
      </c>
      <c r="AX312" s="462">
        <f>IF(AND(M312="F",AS312&lt;&gt;0),SUMIF(C2:C391,C312,W2:W391),0)</f>
        <v>75920</v>
      </c>
      <c r="AY312" s="462">
        <f t="shared" si="70"/>
        <v>37960</v>
      </c>
      <c r="AZ312" s="462" t="str">
        <f t="shared" si="71"/>
        <v/>
      </c>
      <c r="BA312" s="462">
        <f t="shared" si="72"/>
        <v>0</v>
      </c>
      <c r="BB312" s="462">
        <f>IF(AND(AT312=1,AK312="E",AU312&gt;=0.75,AW312=1),Health,IF(AND(AT312=1,AK312="E",AU312&gt;=0.75),Health*P312,IF(AND(AT312=1,AK312="E",AU312&gt;=0.5,AW312=1),PTHealth,IF(AND(AT312=1,AK312="E",AU312&gt;=0.5),PTHealth*P312,0))))</f>
        <v>5825</v>
      </c>
      <c r="BC312" s="462">
        <f>IF(AND(AT312=3,AK312="E",AV312&gt;=0.75,AW312=1),Health,IF(AND(AT312=3,AK312="E",AV312&gt;=0.75),Health*P312,IF(AND(AT312=3,AK312="E",AV312&gt;=0.5,AW312=1),PTHealth,IF(AND(AT312=3,AK312="E",AV312&gt;=0.5),PTHealth*P312,0))))</f>
        <v>0</v>
      </c>
      <c r="BD312" s="462">
        <f>IF(AND(AT312&lt;&gt;0,AX312&gt;=MAXSSDI),SSDI*MAXSSDI*P312,IF(AT312&lt;&gt;0,SSDI*W312,0))</f>
        <v>2353.52</v>
      </c>
      <c r="BE312" s="462">
        <f>IF(AT312&lt;&gt;0,SSHI*W312,0)</f>
        <v>550.42000000000007</v>
      </c>
      <c r="BF312" s="462">
        <f>IF(AND(AT312&lt;&gt;0,AN312&lt;&gt;"NE"),VLOOKUP(AN312,Retirement_Rates,3,FALSE)*W312,0)</f>
        <v>4532.424</v>
      </c>
      <c r="BG312" s="462">
        <f>IF(AND(AT312&lt;&gt;0,AJ312&lt;&gt;"PF"),Life*W312,0)</f>
        <v>273.69159999999999</v>
      </c>
      <c r="BH312" s="462">
        <f>IF(AND(AT312&lt;&gt;0,AM312="Y"),UI*W312,0)</f>
        <v>186.00399999999999</v>
      </c>
      <c r="BI312" s="462">
        <f>IF(AND(AT312&lt;&gt;0,N312&lt;&gt;"NR"),DHR*W312,0)</f>
        <v>116.15759999999999</v>
      </c>
      <c r="BJ312" s="462">
        <f>IF(AT312&lt;&gt;0,WC*W312,0)</f>
        <v>1021.124</v>
      </c>
      <c r="BK312" s="462">
        <f>IF(OR(AND(AT312&lt;&gt;0,AJ312&lt;&gt;"PF",AN312&lt;&gt;"NE",AG312&lt;&gt;"A"),AND(AL312="E",OR(AT312=1,AT312=3))),Sick*W312,0)</f>
        <v>0</v>
      </c>
      <c r="BL312" s="462">
        <f t="shared" si="73"/>
        <v>9033.3411999999989</v>
      </c>
      <c r="BM312" s="462">
        <f t="shared" si="74"/>
        <v>0</v>
      </c>
      <c r="BN312" s="462">
        <f>IF(AND(AT312=1,AK312="E",AU312&gt;=0.75,AW312=1),HealthBY,IF(AND(AT312=1,AK312="E",AU312&gt;=0.75),HealthBY*P312,IF(AND(AT312=1,AK312="E",AU312&gt;=0.5,AW312=1),PTHealthBY,IF(AND(AT312=1,AK312="E",AU312&gt;=0.5),PTHealthBY*P312,0))))</f>
        <v>5825</v>
      </c>
      <c r="BO312" s="462">
        <f>IF(AND(AT312=3,AK312="E",AV312&gt;=0.75,AW312=1),HealthBY,IF(AND(AT312=3,AK312="E",AV312&gt;=0.75),HealthBY*P312,IF(AND(AT312=3,AK312="E",AV312&gt;=0.5,AW312=1),PTHealthBY,IF(AND(AT312=3,AK312="E",AV312&gt;=0.5),PTHealthBY*P312,0))))</f>
        <v>0</v>
      </c>
      <c r="BP312" s="462">
        <f>IF(AND(AT312&lt;&gt;0,(AX312+BA312)&gt;=MAXSSDIBY),SSDIBY*MAXSSDIBY*P312,IF(AT312&lt;&gt;0,SSDIBY*W312,0))</f>
        <v>2353.52</v>
      </c>
      <c r="BQ312" s="462">
        <f>IF(AT312&lt;&gt;0,SSHIBY*W312,0)</f>
        <v>550.42000000000007</v>
      </c>
      <c r="BR312" s="462">
        <f>IF(AND(AT312&lt;&gt;0,AN312&lt;&gt;"NE"),VLOOKUP(AN312,Retirement_Rates,4,FALSE)*W312,0)</f>
        <v>4532.424</v>
      </c>
      <c r="BS312" s="462">
        <f>IF(AND(AT312&lt;&gt;0,AJ312&lt;&gt;"PF"),LifeBY*W312,0)</f>
        <v>273.69159999999999</v>
      </c>
      <c r="BT312" s="462">
        <f>IF(AND(AT312&lt;&gt;0,AM312="Y"),UIBY*W312,0)</f>
        <v>0</v>
      </c>
      <c r="BU312" s="462">
        <f>IF(AND(AT312&lt;&gt;0,N312&lt;&gt;"NR"),DHRBY*W312,0)</f>
        <v>116.15759999999999</v>
      </c>
      <c r="BV312" s="462">
        <f>IF(AT312&lt;&gt;0,WCBY*W312,0)</f>
        <v>1317.212</v>
      </c>
      <c r="BW312" s="462">
        <f>IF(OR(AND(AT312&lt;&gt;0,AJ312&lt;&gt;"PF",AN312&lt;&gt;"NE",AG312&lt;&gt;"A"),AND(AL312="E",OR(AT312=1,AT312=3))),SickBY*W312,0)</f>
        <v>0</v>
      </c>
      <c r="BX312" s="462">
        <f t="shared" si="75"/>
        <v>9143.4251999999997</v>
      </c>
      <c r="BY312" s="462">
        <f t="shared" si="76"/>
        <v>0</v>
      </c>
      <c r="BZ312" s="462">
        <f t="shared" si="77"/>
        <v>0</v>
      </c>
      <c r="CA312" s="462">
        <f t="shared" si="78"/>
        <v>0</v>
      </c>
      <c r="CB312" s="462">
        <f t="shared" si="79"/>
        <v>0</v>
      </c>
      <c r="CC312" s="462">
        <f>IF(AT312&lt;&gt;0,SSHICHG*Y312,0)</f>
        <v>0</v>
      </c>
      <c r="CD312" s="462">
        <f>IF(AND(AT312&lt;&gt;0,AN312&lt;&gt;"NE"),VLOOKUP(AN312,Retirement_Rates,5,FALSE)*Y312,0)</f>
        <v>0</v>
      </c>
      <c r="CE312" s="462">
        <f>IF(AND(AT312&lt;&gt;0,AJ312&lt;&gt;"PF"),LifeCHG*Y312,0)</f>
        <v>0</v>
      </c>
      <c r="CF312" s="462">
        <f>IF(AND(AT312&lt;&gt;0,AM312="Y"),UICHG*Y312,0)</f>
        <v>-186.00399999999999</v>
      </c>
      <c r="CG312" s="462">
        <f>IF(AND(AT312&lt;&gt;0,N312&lt;&gt;"NR"),DHRCHG*Y312,0)</f>
        <v>0</v>
      </c>
      <c r="CH312" s="462">
        <f>IF(AT312&lt;&gt;0,WCCHG*Y312,0)</f>
        <v>296.08800000000008</v>
      </c>
      <c r="CI312" s="462">
        <f>IF(OR(AND(AT312&lt;&gt;0,AJ312&lt;&gt;"PF",AN312&lt;&gt;"NE",AG312&lt;&gt;"A"),AND(AL312="E",OR(AT312=1,AT312=3))),SickCHG*Y312,0)</f>
        <v>0</v>
      </c>
      <c r="CJ312" s="462">
        <f t="shared" si="80"/>
        <v>110.08400000000009</v>
      </c>
      <c r="CK312" s="462" t="str">
        <f t="shared" si="81"/>
        <v/>
      </c>
      <c r="CL312" s="462" t="str">
        <f t="shared" si="82"/>
        <v/>
      </c>
      <c r="CM312" s="462" t="str">
        <f t="shared" si="83"/>
        <v/>
      </c>
      <c r="CN312" s="462" t="str">
        <f t="shared" si="84"/>
        <v>0250-04</v>
      </c>
    </row>
    <row r="313" spans="1:92" ht="15" thickBot="1" x14ac:dyDescent="0.35">
      <c r="A313" s="376" t="s">
        <v>161</v>
      </c>
      <c r="B313" s="376" t="s">
        <v>162</v>
      </c>
      <c r="C313" s="376" t="s">
        <v>918</v>
      </c>
      <c r="D313" s="376" t="s">
        <v>919</v>
      </c>
      <c r="E313" s="376" t="s">
        <v>421</v>
      </c>
      <c r="F313" s="382" t="s">
        <v>422</v>
      </c>
      <c r="G313" s="376" t="s">
        <v>951</v>
      </c>
      <c r="H313" s="378"/>
      <c r="I313" s="378"/>
      <c r="J313" s="376" t="s">
        <v>229</v>
      </c>
      <c r="K313" s="376" t="s">
        <v>920</v>
      </c>
      <c r="L313" s="376" t="s">
        <v>170</v>
      </c>
      <c r="M313" s="376" t="s">
        <v>171</v>
      </c>
      <c r="N313" s="376" t="s">
        <v>172</v>
      </c>
      <c r="O313" s="379">
        <v>1</v>
      </c>
      <c r="P313" s="460">
        <v>0.25</v>
      </c>
      <c r="Q313" s="460">
        <v>0.25</v>
      </c>
      <c r="R313" s="380">
        <v>80</v>
      </c>
      <c r="S313" s="460">
        <v>0.25</v>
      </c>
      <c r="T313" s="380">
        <v>15550.02</v>
      </c>
      <c r="U313" s="380">
        <v>0</v>
      </c>
      <c r="V313" s="380">
        <v>6180.66</v>
      </c>
      <c r="W313" s="380">
        <v>15990</v>
      </c>
      <c r="X313" s="380">
        <v>6717.63</v>
      </c>
      <c r="Y313" s="380">
        <v>15990</v>
      </c>
      <c r="Z313" s="380">
        <v>6764</v>
      </c>
      <c r="AA313" s="376" t="s">
        <v>921</v>
      </c>
      <c r="AB313" s="376" t="s">
        <v>922</v>
      </c>
      <c r="AC313" s="376" t="s">
        <v>566</v>
      </c>
      <c r="AD313" s="376" t="s">
        <v>171</v>
      </c>
      <c r="AE313" s="376" t="s">
        <v>920</v>
      </c>
      <c r="AF313" s="376" t="s">
        <v>177</v>
      </c>
      <c r="AG313" s="376" t="s">
        <v>178</v>
      </c>
      <c r="AH313" s="381">
        <v>30.75</v>
      </c>
      <c r="AI313" s="381">
        <v>62562.6</v>
      </c>
      <c r="AJ313" s="376" t="s">
        <v>179</v>
      </c>
      <c r="AK313" s="376" t="s">
        <v>180</v>
      </c>
      <c r="AL313" s="376" t="s">
        <v>181</v>
      </c>
      <c r="AM313" s="376" t="s">
        <v>182</v>
      </c>
      <c r="AN313" s="376" t="s">
        <v>68</v>
      </c>
      <c r="AO313" s="379">
        <v>80</v>
      </c>
      <c r="AP313" s="460">
        <v>1</v>
      </c>
      <c r="AQ313" s="460">
        <v>0.25</v>
      </c>
      <c r="AR313" s="458" t="s">
        <v>183</v>
      </c>
      <c r="AS313" s="462">
        <f t="shared" si="68"/>
        <v>0.25</v>
      </c>
      <c r="AT313">
        <f t="shared" si="69"/>
        <v>1</v>
      </c>
      <c r="AU313" s="462">
        <f>IF(AT313=0,"",IF(AND(AT313=1,M313="F",SUMIF(C2:C391,C313,AS2:AS391)&lt;=1),SUMIF(C2:C391,C313,AS2:AS391),IF(AND(AT313=1,M313="F",SUMIF(C2:C391,C313,AS2:AS391)&gt;1),1,"")))</f>
        <v>1</v>
      </c>
      <c r="AV313" s="462" t="str">
        <f>IF(AT313=0,"",IF(AND(AT313=3,M313="F",SUMIF(C2:C391,C313,AS2:AS391)&lt;=1),SUMIF(C2:C391,C313,AS2:AS391),IF(AND(AT313=3,M313="F",SUMIF(C2:C391,C313,AS2:AS391)&gt;1),1,"")))</f>
        <v/>
      </c>
      <c r="AW313" s="462">
        <f>SUMIF(C2:C391,C313,O2:O391)</f>
        <v>3</v>
      </c>
      <c r="AX313" s="462">
        <f>IF(AND(M313="F",AS313&lt;&gt;0),SUMIF(C2:C391,C313,W2:W391),0)</f>
        <v>63960</v>
      </c>
      <c r="AY313" s="462">
        <f t="shared" si="70"/>
        <v>15990</v>
      </c>
      <c r="AZ313" s="462" t="str">
        <f t="shared" si="71"/>
        <v/>
      </c>
      <c r="BA313" s="462">
        <f t="shared" si="72"/>
        <v>0</v>
      </c>
      <c r="BB313" s="462">
        <f>IF(AND(AT313=1,AK313="E",AU313&gt;=0.75,AW313=1),Health,IF(AND(AT313=1,AK313="E",AU313&gt;=0.75),Health*P313,IF(AND(AT313=1,AK313="E",AU313&gt;=0.5,AW313=1),PTHealth,IF(AND(AT313=1,AK313="E",AU313&gt;=0.5),PTHealth*P313,0))))</f>
        <v>2912.5</v>
      </c>
      <c r="BC313" s="462">
        <f>IF(AND(AT313=3,AK313="E",AV313&gt;=0.75,AW313=1),Health,IF(AND(AT313=3,AK313="E",AV313&gt;=0.75),Health*P313,IF(AND(AT313=3,AK313="E",AV313&gt;=0.5,AW313=1),PTHealth,IF(AND(AT313=3,AK313="E",AV313&gt;=0.5),PTHealth*P313,0))))</f>
        <v>0</v>
      </c>
      <c r="BD313" s="462">
        <f>IF(AND(AT313&lt;&gt;0,AX313&gt;=MAXSSDI),SSDI*MAXSSDI*P313,IF(AT313&lt;&gt;0,SSDI*W313,0))</f>
        <v>991.38</v>
      </c>
      <c r="BE313" s="462">
        <f>IF(AT313&lt;&gt;0,SSHI*W313,0)</f>
        <v>231.85500000000002</v>
      </c>
      <c r="BF313" s="462">
        <f>IF(AND(AT313&lt;&gt;0,AN313&lt;&gt;"NE"),VLOOKUP(AN313,Retirement_Rates,3,FALSE)*W313,0)</f>
        <v>1909.2060000000001</v>
      </c>
      <c r="BG313" s="462">
        <f>IF(AND(AT313&lt;&gt;0,AJ313&lt;&gt;"PF"),Life*W313,0)</f>
        <v>115.28790000000001</v>
      </c>
      <c r="BH313" s="462">
        <f>IF(AND(AT313&lt;&gt;0,AM313="Y"),UI*W313,0)</f>
        <v>78.350999999999999</v>
      </c>
      <c r="BI313" s="462">
        <f>IF(AND(AT313&lt;&gt;0,N313&lt;&gt;"NR"),DHR*W313,0)</f>
        <v>48.929399999999994</v>
      </c>
      <c r="BJ313" s="462">
        <f>IF(AT313&lt;&gt;0,WC*W313,0)</f>
        <v>430.13100000000003</v>
      </c>
      <c r="BK313" s="462">
        <f>IF(OR(AND(AT313&lt;&gt;0,AJ313&lt;&gt;"PF",AN313&lt;&gt;"NE",AG313&lt;&gt;"A"),AND(AL313="E",OR(AT313=1,AT313=3))),Sick*W313,0)</f>
        <v>0</v>
      </c>
      <c r="BL313" s="462">
        <f t="shared" si="73"/>
        <v>3805.1403</v>
      </c>
      <c r="BM313" s="462">
        <f t="shared" si="74"/>
        <v>0</v>
      </c>
      <c r="BN313" s="462">
        <f>IF(AND(AT313=1,AK313="E",AU313&gt;=0.75,AW313=1),HealthBY,IF(AND(AT313=1,AK313="E",AU313&gt;=0.75),HealthBY*P313,IF(AND(AT313=1,AK313="E",AU313&gt;=0.5,AW313=1),PTHealthBY,IF(AND(AT313=1,AK313="E",AU313&gt;=0.5),PTHealthBY*P313,0))))</f>
        <v>2912.5</v>
      </c>
      <c r="BO313" s="462">
        <f>IF(AND(AT313=3,AK313="E",AV313&gt;=0.75,AW313=1),HealthBY,IF(AND(AT313=3,AK313="E",AV313&gt;=0.75),HealthBY*P313,IF(AND(AT313=3,AK313="E",AV313&gt;=0.5,AW313=1),PTHealthBY,IF(AND(AT313=3,AK313="E",AV313&gt;=0.5),PTHealthBY*P313,0))))</f>
        <v>0</v>
      </c>
      <c r="BP313" s="462">
        <f>IF(AND(AT313&lt;&gt;0,(AX313+BA313)&gt;=MAXSSDIBY),SSDIBY*MAXSSDIBY*P313,IF(AT313&lt;&gt;0,SSDIBY*W313,0))</f>
        <v>991.38</v>
      </c>
      <c r="BQ313" s="462">
        <f>IF(AT313&lt;&gt;0,SSHIBY*W313,0)</f>
        <v>231.85500000000002</v>
      </c>
      <c r="BR313" s="462">
        <f>IF(AND(AT313&lt;&gt;0,AN313&lt;&gt;"NE"),VLOOKUP(AN313,Retirement_Rates,4,FALSE)*W313,0)</f>
        <v>1909.2060000000001</v>
      </c>
      <c r="BS313" s="462">
        <f>IF(AND(AT313&lt;&gt;0,AJ313&lt;&gt;"PF"),LifeBY*W313,0)</f>
        <v>115.28790000000001</v>
      </c>
      <c r="BT313" s="462">
        <f>IF(AND(AT313&lt;&gt;0,AM313="Y"),UIBY*W313,0)</f>
        <v>0</v>
      </c>
      <c r="BU313" s="462">
        <f>IF(AND(AT313&lt;&gt;0,N313&lt;&gt;"NR"),DHRBY*W313,0)</f>
        <v>48.929399999999994</v>
      </c>
      <c r="BV313" s="462">
        <f>IF(AT313&lt;&gt;0,WCBY*W313,0)</f>
        <v>554.85300000000007</v>
      </c>
      <c r="BW313" s="462">
        <f>IF(OR(AND(AT313&lt;&gt;0,AJ313&lt;&gt;"PF",AN313&lt;&gt;"NE",AG313&lt;&gt;"A"),AND(AL313="E",OR(AT313=1,AT313=3))),SickBY*W313,0)</f>
        <v>0</v>
      </c>
      <c r="BX313" s="462">
        <f t="shared" si="75"/>
        <v>3851.5113000000001</v>
      </c>
      <c r="BY313" s="462">
        <f t="shared" si="76"/>
        <v>0</v>
      </c>
      <c r="BZ313" s="462">
        <f t="shared" si="77"/>
        <v>0</v>
      </c>
      <c r="CA313" s="462">
        <f t="shared" si="78"/>
        <v>0</v>
      </c>
      <c r="CB313" s="462">
        <f t="shared" si="79"/>
        <v>0</v>
      </c>
      <c r="CC313" s="462">
        <f>IF(AT313&lt;&gt;0,SSHICHG*Y313,0)</f>
        <v>0</v>
      </c>
      <c r="CD313" s="462">
        <f>IF(AND(AT313&lt;&gt;0,AN313&lt;&gt;"NE"),VLOOKUP(AN313,Retirement_Rates,5,FALSE)*Y313,0)</f>
        <v>0</v>
      </c>
      <c r="CE313" s="462">
        <f>IF(AND(AT313&lt;&gt;0,AJ313&lt;&gt;"PF"),LifeCHG*Y313,0)</f>
        <v>0</v>
      </c>
      <c r="CF313" s="462">
        <f>IF(AND(AT313&lt;&gt;0,AM313="Y"),UICHG*Y313,0)</f>
        <v>-78.350999999999999</v>
      </c>
      <c r="CG313" s="462">
        <f>IF(AND(AT313&lt;&gt;0,N313&lt;&gt;"NR"),DHRCHG*Y313,0)</f>
        <v>0</v>
      </c>
      <c r="CH313" s="462">
        <f>IF(AT313&lt;&gt;0,WCCHG*Y313,0)</f>
        <v>124.72200000000002</v>
      </c>
      <c r="CI313" s="462">
        <f>IF(OR(AND(AT313&lt;&gt;0,AJ313&lt;&gt;"PF",AN313&lt;&gt;"NE",AG313&lt;&gt;"A"),AND(AL313="E",OR(AT313=1,AT313=3))),SickCHG*Y313,0)</f>
        <v>0</v>
      </c>
      <c r="CJ313" s="462">
        <f t="shared" si="80"/>
        <v>46.371000000000024</v>
      </c>
      <c r="CK313" s="462" t="str">
        <f t="shared" si="81"/>
        <v/>
      </c>
      <c r="CL313" s="462" t="str">
        <f t="shared" si="82"/>
        <v/>
      </c>
      <c r="CM313" s="462" t="str">
        <f t="shared" si="83"/>
        <v/>
      </c>
      <c r="CN313" s="462" t="str">
        <f t="shared" si="84"/>
        <v>0250-04</v>
      </c>
    </row>
    <row r="314" spans="1:92" ht="15" thickBot="1" x14ac:dyDescent="0.35">
      <c r="A314" s="376" t="s">
        <v>161</v>
      </c>
      <c r="B314" s="376" t="s">
        <v>162</v>
      </c>
      <c r="C314" s="376" t="s">
        <v>986</v>
      </c>
      <c r="D314" s="376" t="s">
        <v>981</v>
      </c>
      <c r="E314" s="376" t="s">
        <v>421</v>
      </c>
      <c r="F314" s="382" t="s">
        <v>422</v>
      </c>
      <c r="G314" s="376" t="s">
        <v>951</v>
      </c>
      <c r="H314" s="378"/>
      <c r="I314" s="378"/>
      <c r="J314" s="376" t="s">
        <v>168</v>
      </c>
      <c r="K314" s="376" t="s">
        <v>982</v>
      </c>
      <c r="L314" s="376" t="s">
        <v>240</v>
      </c>
      <c r="M314" s="376" t="s">
        <v>171</v>
      </c>
      <c r="N314" s="376" t="s">
        <v>172</v>
      </c>
      <c r="O314" s="379">
        <v>1</v>
      </c>
      <c r="P314" s="460">
        <v>0</v>
      </c>
      <c r="Q314" s="460">
        <v>0</v>
      </c>
      <c r="R314" s="380">
        <v>80</v>
      </c>
      <c r="S314" s="460">
        <v>0</v>
      </c>
      <c r="T314" s="380">
        <v>0</v>
      </c>
      <c r="U314" s="380">
        <v>0</v>
      </c>
      <c r="V314" s="380">
        <v>35.409999999999997</v>
      </c>
      <c r="W314" s="380">
        <v>0</v>
      </c>
      <c r="X314" s="380">
        <v>0</v>
      </c>
      <c r="Y314" s="380">
        <v>0</v>
      </c>
      <c r="Z314" s="380">
        <v>0</v>
      </c>
      <c r="AA314" s="376" t="s">
        <v>987</v>
      </c>
      <c r="AB314" s="376" t="s">
        <v>988</v>
      </c>
      <c r="AC314" s="376" t="s">
        <v>989</v>
      </c>
      <c r="AD314" s="376" t="s">
        <v>615</v>
      </c>
      <c r="AE314" s="376" t="s">
        <v>982</v>
      </c>
      <c r="AF314" s="376" t="s">
        <v>244</v>
      </c>
      <c r="AG314" s="376" t="s">
        <v>178</v>
      </c>
      <c r="AH314" s="381">
        <v>24.79</v>
      </c>
      <c r="AI314" s="381">
        <v>40180.300000000003</v>
      </c>
      <c r="AJ314" s="376" t="s">
        <v>179</v>
      </c>
      <c r="AK314" s="376" t="s">
        <v>180</v>
      </c>
      <c r="AL314" s="376" t="s">
        <v>181</v>
      </c>
      <c r="AM314" s="376" t="s">
        <v>182</v>
      </c>
      <c r="AN314" s="376" t="s">
        <v>68</v>
      </c>
      <c r="AO314" s="379">
        <v>80</v>
      </c>
      <c r="AP314" s="460">
        <v>1</v>
      </c>
      <c r="AQ314" s="460">
        <v>0</v>
      </c>
      <c r="AR314" s="458" t="s">
        <v>183</v>
      </c>
      <c r="AS314" s="462">
        <f t="shared" si="68"/>
        <v>0</v>
      </c>
      <c r="AT314">
        <f t="shared" si="69"/>
        <v>0</v>
      </c>
      <c r="AU314" s="462" t="str">
        <f>IF(AT314=0,"",IF(AND(AT314=1,M314="F",SUMIF(C2:C391,C314,AS2:AS391)&lt;=1),SUMIF(C2:C391,C314,AS2:AS391),IF(AND(AT314=1,M314="F",SUMIF(C2:C391,C314,AS2:AS391)&gt;1),1,"")))</f>
        <v/>
      </c>
      <c r="AV314" s="462" t="str">
        <f>IF(AT314=0,"",IF(AND(AT314=3,M314="F",SUMIF(C2:C391,C314,AS2:AS391)&lt;=1),SUMIF(C2:C391,C314,AS2:AS391),IF(AND(AT314=3,M314="F",SUMIF(C2:C391,C314,AS2:AS391)&gt;1),1,"")))</f>
        <v/>
      </c>
      <c r="AW314" s="462">
        <f>SUMIF(C2:C391,C314,O2:O391)</f>
        <v>2</v>
      </c>
      <c r="AX314" s="462">
        <f>IF(AND(M314="F",AS314&lt;&gt;0),SUMIF(C2:C391,C314,W2:W391),0)</f>
        <v>0</v>
      </c>
      <c r="AY314" s="462" t="str">
        <f t="shared" si="70"/>
        <v/>
      </c>
      <c r="AZ314" s="462" t="str">
        <f t="shared" si="71"/>
        <v/>
      </c>
      <c r="BA314" s="462">
        <f t="shared" si="72"/>
        <v>0</v>
      </c>
      <c r="BB314" s="462">
        <f>IF(AND(AT314=1,AK314="E",AU314&gt;=0.75,AW314=1),Health,IF(AND(AT314=1,AK314="E",AU314&gt;=0.75),Health*P314,IF(AND(AT314=1,AK314="E",AU314&gt;=0.5,AW314=1),PTHealth,IF(AND(AT314=1,AK314="E",AU314&gt;=0.5),PTHealth*P314,0))))</f>
        <v>0</v>
      </c>
      <c r="BC314" s="462">
        <f>IF(AND(AT314=3,AK314="E",AV314&gt;=0.75,AW314=1),Health,IF(AND(AT314=3,AK314="E",AV314&gt;=0.75),Health*P314,IF(AND(AT314=3,AK314="E",AV314&gt;=0.5,AW314=1),PTHealth,IF(AND(AT314=3,AK314="E",AV314&gt;=0.5),PTHealth*P314,0))))</f>
        <v>0</v>
      </c>
      <c r="BD314" s="462">
        <f>IF(AND(AT314&lt;&gt;0,AX314&gt;=MAXSSDI),SSDI*MAXSSDI*P314,IF(AT314&lt;&gt;0,SSDI*W314,0))</f>
        <v>0</v>
      </c>
      <c r="BE314" s="462">
        <f>IF(AT314&lt;&gt;0,SSHI*W314,0)</f>
        <v>0</v>
      </c>
      <c r="BF314" s="462">
        <f>IF(AND(AT314&lt;&gt;0,AN314&lt;&gt;"NE"),VLOOKUP(AN314,Retirement_Rates,3,FALSE)*W314,0)</f>
        <v>0</v>
      </c>
      <c r="BG314" s="462">
        <f>IF(AND(AT314&lt;&gt;0,AJ314&lt;&gt;"PF"),Life*W314,0)</f>
        <v>0</v>
      </c>
      <c r="BH314" s="462">
        <f>IF(AND(AT314&lt;&gt;0,AM314="Y"),UI*W314,0)</f>
        <v>0</v>
      </c>
      <c r="BI314" s="462">
        <f>IF(AND(AT314&lt;&gt;0,N314&lt;&gt;"NR"),DHR*W314,0)</f>
        <v>0</v>
      </c>
      <c r="BJ314" s="462">
        <f>IF(AT314&lt;&gt;0,WC*W314,0)</f>
        <v>0</v>
      </c>
      <c r="BK314" s="462">
        <f>IF(OR(AND(AT314&lt;&gt;0,AJ314&lt;&gt;"PF",AN314&lt;&gt;"NE",AG314&lt;&gt;"A"),AND(AL314="E",OR(AT314=1,AT314=3))),Sick*W314,0)</f>
        <v>0</v>
      </c>
      <c r="BL314" s="462">
        <f t="shared" si="73"/>
        <v>0</v>
      </c>
      <c r="BM314" s="462">
        <f t="shared" si="74"/>
        <v>0</v>
      </c>
      <c r="BN314" s="462">
        <f>IF(AND(AT314=1,AK314="E",AU314&gt;=0.75,AW314=1),HealthBY,IF(AND(AT314=1,AK314="E",AU314&gt;=0.75),HealthBY*P314,IF(AND(AT314=1,AK314="E",AU314&gt;=0.5,AW314=1),PTHealthBY,IF(AND(AT314=1,AK314="E",AU314&gt;=0.5),PTHealthBY*P314,0))))</f>
        <v>0</v>
      </c>
      <c r="BO314" s="462">
        <f>IF(AND(AT314=3,AK314="E",AV314&gt;=0.75,AW314=1),HealthBY,IF(AND(AT314=3,AK314="E",AV314&gt;=0.75),HealthBY*P314,IF(AND(AT314=3,AK314="E",AV314&gt;=0.5,AW314=1),PTHealthBY,IF(AND(AT314=3,AK314="E",AV314&gt;=0.5),PTHealthBY*P314,0))))</f>
        <v>0</v>
      </c>
      <c r="BP314" s="462">
        <f>IF(AND(AT314&lt;&gt;0,(AX314+BA314)&gt;=MAXSSDIBY),SSDIBY*MAXSSDIBY*P314,IF(AT314&lt;&gt;0,SSDIBY*W314,0))</f>
        <v>0</v>
      </c>
      <c r="BQ314" s="462">
        <f>IF(AT314&lt;&gt;0,SSHIBY*W314,0)</f>
        <v>0</v>
      </c>
      <c r="BR314" s="462">
        <f>IF(AND(AT314&lt;&gt;0,AN314&lt;&gt;"NE"),VLOOKUP(AN314,Retirement_Rates,4,FALSE)*W314,0)</f>
        <v>0</v>
      </c>
      <c r="BS314" s="462">
        <f>IF(AND(AT314&lt;&gt;0,AJ314&lt;&gt;"PF"),LifeBY*W314,0)</f>
        <v>0</v>
      </c>
      <c r="BT314" s="462">
        <f>IF(AND(AT314&lt;&gt;0,AM314="Y"),UIBY*W314,0)</f>
        <v>0</v>
      </c>
      <c r="BU314" s="462">
        <f>IF(AND(AT314&lt;&gt;0,N314&lt;&gt;"NR"),DHRBY*W314,0)</f>
        <v>0</v>
      </c>
      <c r="BV314" s="462">
        <f>IF(AT314&lt;&gt;0,WCBY*W314,0)</f>
        <v>0</v>
      </c>
      <c r="BW314" s="462">
        <f>IF(OR(AND(AT314&lt;&gt;0,AJ314&lt;&gt;"PF",AN314&lt;&gt;"NE",AG314&lt;&gt;"A"),AND(AL314="E",OR(AT314=1,AT314=3))),SickBY*W314,0)</f>
        <v>0</v>
      </c>
      <c r="BX314" s="462">
        <f t="shared" si="75"/>
        <v>0</v>
      </c>
      <c r="BY314" s="462">
        <f t="shared" si="76"/>
        <v>0</v>
      </c>
      <c r="BZ314" s="462">
        <f t="shared" si="77"/>
        <v>0</v>
      </c>
      <c r="CA314" s="462">
        <f t="shared" si="78"/>
        <v>0</v>
      </c>
      <c r="CB314" s="462">
        <f t="shared" si="79"/>
        <v>0</v>
      </c>
      <c r="CC314" s="462">
        <f>IF(AT314&lt;&gt;0,SSHICHG*Y314,0)</f>
        <v>0</v>
      </c>
      <c r="CD314" s="462">
        <f>IF(AND(AT314&lt;&gt;0,AN314&lt;&gt;"NE"),VLOOKUP(AN314,Retirement_Rates,5,FALSE)*Y314,0)</f>
        <v>0</v>
      </c>
      <c r="CE314" s="462">
        <f>IF(AND(AT314&lt;&gt;0,AJ314&lt;&gt;"PF"),LifeCHG*Y314,0)</f>
        <v>0</v>
      </c>
      <c r="CF314" s="462">
        <f>IF(AND(AT314&lt;&gt;0,AM314="Y"),UICHG*Y314,0)</f>
        <v>0</v>
      </c>
      <c r="CG314" s="462">
        <f>IF(AND(AT314&lt;&gt;0,N314&lt;&gt;"NR"),DHRCHG*Y314,0)</f>
        <v>0</v>
      </c>
      <c r="CH314" s="462">
        <f>IF(AT314&lt;&gt;0,WCCHG*Y314,0)</f>
        <v>0</v>
      </c>
      <c r="CI314" s="462">
        <f>IF(OR(AND(AT314&lt;&gt;0,AJ314&lt;&gt;"PF",AN314&lt;&gt;"NE",AG314&lt;&gt;"A"),AND(AL314="E",OR(AT314=1,AT314=3))),SickCHG*Y314,0)</f>
        <v>0</v>
      </c>
      <c r="CJ314" s="462">
        <f t="shared" si="80"/>
        <v>0</v>
      </c>
      <c r="CK314" s="462" t="str">
        <f t="shared" si="81"/>
        <v/>
      </c>
      <c r="CL314" s="462" t="str">
        <f t="shared" si="82"/>
        <v/>
      </c>
      <c r="CM314" s="462" t="str">
        <f t="shared" si="83"/>
        <v/>
      </c>
      <c r="CN314" s="462" t="str">
        <f t="shared" si="84"/>
        <v>0250-04</v>
      </c>
    </row>
    <row r="315" spans="1:92" ht="15" thickBot="1" x14ac:dyDescent="0.35">
      <c r="A315" s="376" t="s">
        <v>161</v>
      </c>
      <c r="B315" s="376" t="s">
        <v>162</v>
      </c>
      <c r="C315" s="376" t="s">
        <v>926</v>
      </c>
      <c r="D315" s="376" t="s">
        <v>907</v>
      </c>
      <c r="E315" s="376" t="s">
        <v>421</v>
      </c>
      <c r="F315" s="382" t="s">
        <v>422</v>
      </c>
      <c r="G315" s="376" t="s">
        <v>951</v>
      </c>
      <c r="H315" s="378"/>
      <c r="I315" s="378"/>
      <c r="J315" s="376" t="s">
        <v>193</v>
      </c>
      <c r="K315" s="376" t="s">
        <v>908</v>
      </c>
      <c r="L315" s="376" t="s">
        <v>178</v>
      </c>
      <c r="M315" s="376" t="s">
        <v>171</v>
      </c>
      <c r="N315" s="376" t="s">
        <v>172</v>
      </c>
      <c r="O315" s="379">
        <v>1</v>
      </c>
      <c r="P315" s="460">
        <v>0.6</v>
      </c>
      <c r="Q315" s="460">
        <v>0.6</v>
      </c>
      <c r="R315" s="380">
        <v>80</v>
      </c>
      <c r="S315" s="460">
        <v>0.6</v>
      </c>
      <c r="T315" s="380">
        <v>0</v>
      </c>
      <c r="U315" s="380">
        <v>0</v>
      </c>
      <c r="V315" s="380">
        <v>0</v>
      </c>
      <c r="W315" s="380">
        <v>22251.84</v>
      </c>
      <c r="X315" s="380">
        <v>12285.25</v>
      </c>
      <c r="Y315" s="380">
        <v>22251.84</v>
      </c>
      <c r="Z315" s="380">
        <v>12349.78</v>
      </c>
      <c r="AA315" s="376" t="s">
        <v>927</v>
      </c>
      <c r="AB315" s="376" t="s">
        <v>928</v>
      </c>
      <c r="AC315" s="376" t="s">
        <v>912</v>
      </c>
      <c r="AD315" s="376" t="s">
        <v>231</v>
      </c>
      <c r="AE315" s="376" t="s">
        <v>908</v>
      </c>
      <c r="AF315" s="376" t="s">
        <v>190</v>
      </c>
      <c r="AG315" s="376" t="s">
        <v>178</v>
      </c>
      <c r="AH315" s="381">
        <v>17.829999999999998</v>
      </c>
      <c r="AI315" s="381">
        <v>8824.2000000000007</v>
      </c>
      <c r="AJ315" s="376" t="s">
        <v>179</v>
      </c>
      <c r="AK315" s="376" t="s">
        <v>180</v>
      </c>
      <c r="AL315" s="376" t="s">
        <v>181</v>
      </c>
      <c r="AM315" s="376" t="s">
        <v>182</v>
      </c>
      <c r="AN315" s="376" t="s">
        <v>68</v>
      </c>
      <c r="AO315" s="379">
        <v>80</v>
      </c>
      <c r="AP315" s="460">
        <v>1</v>
      </c>
      <c r="AQ315" s="460">
        <v>0.6</v>
      </c>
      <c r="AR315" s="458" t="s">
        <v>183</v>
      </c>
      <c r="AS315" s="462">
        <f t="shared" si="68"/>
        <v>0.6</v>
      </c>
      <c r="AT315">
        <f t="shared" si="69"/>
        <v>1</v>
      </c>
      <c r="AU315" s="462">
        <f>IF(AT315=0,"",IF(AND(AT315=1,M315="F",SUMIF(C2:C391,C315,AS2:AS391)&lt;=1),SUMIF(C2:C391,C315,AS2:AS391),IF(AND(AT315=1,M315="F",SUMIF(C2:C391,C315,AS2:AS391)&gt;1),1,"")))</f>
        <v>1</v>
      </c>
      <c r="AV315" s="462" t="str">
        <f>IF(AT315=0,"",IF(AND(AT315=3,M315="F",SUMIF(C2:C391,C315,AS2:AS391)&lt;=1),SUMIF(C2:C391,C315,AS2:AS391),IF(AND(AT315=3,M315="F",SUMIF(C2:C391,C315,AS2:AS391)&gt;1),1,"")))</f>
        <v/>
      </c>
      <c r="AW315" s="462">
        <f>SUMIF(C2:C391,C315,O2:O391)</f>
        <v>2</v>
      </c>
      <c r="AX315" s="462">
        <f>IF(AND(M315="F",AS315&lt;&gt;0),SUMIF(C2:C391,C315,W2:W391),0)</f>
        <v>37086.400000000001</v>
      </c>
      <c r="AY315" s="462">
        <f t="shared" si="70"/>
        <v>22251.84</v>
      </c>
      <c r="AZ315" s="462" t="str">
        <f t="shared" si="71"/>
        <v/>
      </c>
      <c r="BA315" s="462">
        <f t="shared" si="72"/>
        <v>0</v>
      </c>
      <c r="BB315" s="462">
        <f>IF(AND(AT315=1,AK315="E",AU315&gt;=0.75,AW315=1),Health,IF(AND(AT315=1,AK315="E",AU315&gt;=0.75),Health*P315,IF(AND(AT315=1,AK315="E",AU315&gt;=0.5,AW315=1),PTHealth,IF(AND(AT315=1,AK315="E",AU315&gt;=0.5),PTHealth*P315,0))))</f>
        <v>6990</v>
      </c>
      <c r="BC315" s="462">
        <f>IF(AND(AT315=3,AK315="E",AV315&gt;=0.75,AW315=1),Health,IF(AND(AT315=3,AK315="E",AV315&gt;=0.75),Health*P315,IF(AND(AT315=3,AK315="E",AV315&gt;=0.5,AW315=1),PTHealth,IF(AND(AT315=3,AK315="E",AV315&gt;=0.5),PTHealth*P315,0))))</f>
        <v>0</v>
      </c>
      <c r="BD315" s="462">
        <f>IF(AND(AT315&lt;&gt;0,AX315&gt;=MAXSSDI),SSDI*MAXSSDI*P315,IF(AT315&lt;&gt;0,SSDI*W315,0))</f>
        <v>1379.6140800000001</v>
      </c>
      <c r="BE315" s="462">
        <f>IF(AT315&lt;&gt;0,SSHI*W315,0)</f>
        <v>322.65168</v>
      </c>
      <c r="BF315" s="462">
        <f>IF(AND(AT315&lt;&gt;0,AN315&lt;&gt;"NE"),VLOOKUP(AN315,Retirement_Rates,3,FALSE)*W315,0)</f>
        <v>2656.8696960000002</v>
      </c>
      <c r="BG315" s="462">
        <f>IF(AND(AT315&lt;&gt;0,AJ315&lt;&gt;"PF"),Life*W315,0)</f>
        <v>160.43576640000001</v>
      </c>
      <c r="BH315" s="462">
        <f>IF(AND(AT315&lt;&gt;0,AM315="Y"),UI*W315,0)</f>
        <v>109.03401599999999</v>
      </c>
      <c r="BI315" s="462">
        <f>IF(AND(AT315&lt;&gt;0,N315&lt;&gt;"NR"),DHR*W315,0)</f>
        <v>68.090630399999995</v>
      </c>
      <c r="BJ315" s="462">
        <f>IF(AT315&lt;&gt;0,WC*W315,0)</f>
        <v>598.57449600000007</v>
      </c>
      <c r="BK315" s="462">
        <f>IF(OR(AND(AT315&lt;&gt;0,AJ315&lt;&gt;"PF",AN315&lt;&gt;"NE",AG315&lt;&gt;"A"),AND(AL315="E",OR(AT315=1,AT315=3))),Sick*W315,0)</f>
        <v>0</v>
      </c>
      <c r="BL315" s="462">
        <f t="shared" si="73"/>
        <v>5295.2703647999997</v>
      </c>
      <c r="BM315" s="462">
        <f t="shared" si="74"/>
        <v>0</v>
      </c>
      <c r="BN315" s="462">
        <f>IF(AND(AT315=1,AK315="E",AU315&gt;=0.75,AW315=1),HealthBY,IF(AND(AT315=1,AK315="E",AU315&gt;=0.75),HealthBY*P315,IF(AND(AT315=1,AK315="E",AU315&gt;=0.5,AW315=1),PTHealthBY,IF(AND(AT315=1,AK315="E",AU315&gt;=0.5),PTHealthBY*P315,0))))</f>
        <v>6990</v>
      </c>
      <c r="BO315" s="462">
        <f>IF(AND(AT315=3,AK315="E",AV315&gt;=0.75,AW315=1),HealthBY,IF(AND(AT315=3,AK315="E",AV315&gt;=0.75),HealthBY*P315,IF(AND(AT315=3,AK315="E",AV315&gt;=0.5,AW315=1),PTHealthBY,IF(AND(AT315=3,AK315="E",AV315&gt;=0.5),PTHealthBY*P315,0))))</f>
        <v>0</v>
      </c>
      <c r="BP315" s="462">
        <f>IF(AND(AT315&lt;&gt;0,(AX315+BA315)&gt;=MAXSSDIBY),SSDIBY*MAXSSDIBY*P315,IF(AT315&lt;&gt;0,SSDIBY*W315,0))</f>
        <v>1379.6140800000001</v>
      </c>
      <c r="BQ315" s="462">
        <f>IF(AT315&lt;&gt;0,SSHIBY*W315,0)</f>
        <v>322.65168</v>
      </c>
      <c r="BR315" s="462">
        <f>IF(AND(AT315&lt;&gt;0,AN315&lt;&gt;"NE"),VLOOKUP(AN315,Retirement_Rates,4,FALSE)*W315,0)</f>
        <v>2656.8696960000002</v>
      </c>
      <c r="BS315" s="462">
        <f>IF(AND(AT315&lt;&gt;0,AJ315&lt;&gt;"PF"),LifeBY*W315,0)</f>
        <v>160.43576640000001</v>
      </c>
      <c r="BT315" s="462">
        <f>IF(AND(AT315&lt;&gt;0,AM315="Y"),UIBY*W315,0)</f>
        <v>0</v>
      </c>
      <c r="BU315" s="462">
        <f>IF(AND(AT315&lt;&gt;0,N315&lt;&gt;"NR"),DHRBY*W315,0)</f>
        <v>68.090630399999995</v>
      </c>
      <c r="BV315" s="462">
        <f>IF(AT315&lt;&gt;0,WCBY*W315,0)</f>
        <v>772.13884800000005</v>
      </c>
      <c r="BW315" s="462">
        <f>IF(OR(AND(AT315&lt;&gt;0,AJ315&lt;&gt;"PF",AN315&lt;&gt;"NE",AG315&lt;&gt;"A"),AND(AL315="E",OR(AT315=1,AT315=3))),SickBY*W315,0)</f>
        <v>0</v>
      </c>
      <c r="BX315" s="462">
        <f t="shared" si="75"/>
        <v>5359.8007008000004</v>
      </c>
      <c r="BY315" s="462">
        <f t="shared" si="76"/>
        <v>0</v>
      </c>
      <c r="BZ315" s="462">
        <f t="shared" si="77"/>
        <v>0</v>
      </c>
      <c r="CA315" s="462">
        <f t="shared" si="78"/>
        <v>0</v>
      </c>
      <c r="CB315" s="462">
        <f t="shared" si="79"/>
        <v>0</v>
      </c>
      <c r="CC315" s="462">
        <f>IF(AT315&lt;&gt;0,SSHICHG*Y315,0)</f>
        <v>0</v>
      </c>
      <c r="CD315" s="462">
        <f>IF(AND(AT315&lt;&gt;0,AN315&lt;&gt;"NE"),VLOOKUP(AN315,Retirement_Rates,5,FALSE)*Y315,0)</f>
        <v>0</v>
      </c>
      <c r="CE315" s="462">
        <f>IF(AND(AT315&lt;&gt;0,AJ315&lt;&gt;"PF"),LifeCHG*Y315,0)</f>
        <v>0</v>
      </c>
      <c r="CF315" s="462">
        <f>IF(AND(AT315&lt;&gt;0,AM315="Y"),UICHG*Y315,0)</f>
        <v>-109.03401599999999</v>
      </c>
      <c r="CG315" s="462">
        <f>IF(AND(AT315&lt;&gt;0,N315&lt;&gt;"NR"),DHRCHG*Y315,0)</f>
        <v>0</v>
      </c>
      <c r="CH315" s="462">
        <f>IF(AT315&lt;&gt;0,WCCHG*Y315,0)</f>
        <v>173.56435200000004</v>
      </c>
      <c r="CI315" s="462">
        <f>IF(OR(AND(AT315&lt;&gt;0,AJ315&lt;&gt;"PF",AN315&lt;&gt;"NE",AG315&lt;&gt;"A"),AND(AL315="E",OR(AT315=1,AT315=3))),SickCHG*Y315,0)</f>
        <v>0</v>
      </c>
      <c r="CJ315" s="462">
        <f t="shared" si="80"/>
        <v>64.530336000000048</v>
      </c>
      <c r="CK315" s="462" t="str">
        <f t="shared" si="81"/>
        <v/>
      </c>
      <c r="CL315" s="462" t="str">
        <f t="shared" si="82"/>
        <v/>
      </c>
      <c r="CM315" s="462" t="str">
        <f t="shared" si="83"/>
        <v/>
      </c>
      <c r="CN315" s="462" t="str">
        <f t="shared" si="84"/>
        <v>0250-04</v>
      </c>
    </row>
    <row r="316" spans="1:92" ht="15" thickBot="1" x14ac:dyDescent="0.35">
      <c r="A316" s="376" t="s">
        <v>161</v>
      </c>
      <c r="B316" s="376" t="s">
        <v>162</v>
      </c>
      <c r="C316" s="376" t="s">
        <v>966</v>
      </c>
      <c r="D316" s="376" t="s">
        <v>901</v>
      </c>
      <c r="E316" s="376" t="s">
        <v>421</v>
      </c>
      <c r="F316" s="382" t="s">
        <v>422</v>
      </c>
      <c r="G316" s="376" t="s">
        <v>951</v>
      </c>
      <c r="H316" s="378"/>
      <c r="I316" s="378"/>
      <c r="J316" s="376" t="s">
        <v>193</v>
      </c>
      <c r="K316" s="376" t="s">
        <v>903</v>
      </c>
      <c r="L316" s="376" t="s">
        <v>240</v>
      </c>
      <c r="M316" s="376" t="s">
        <v>171</v>
      </c>
      <c r="N316" s="376" t="s">
        <v>172</v>
      </c>
      <c r="O316" s="379">
        <v>1</v>
      </c>
      <c r="P316" s="460">
        <v>0.7</v>
      </c>
      <c r="Q316" s="460">
        <v>0.7</v>
      </c>
      <c r="R316" s="380">
        <v>80</v>
      </c>
      <c r="S316" s="460">
        <v>0.7</v>
      </c>
      <c r="T316" s="380">
        <v>32101.45</v>
      </c>
      <c r="U316" s="380">
        <v>0</v>
      </c>
      <c r="V316" s="380">
        <v>15430.69</v>
      </c>
      <c r="W316" s="380">
        <v>33007.519999999997</v>
      </c>
      <c r="X316" s="380">
        <v>16009.77</v>
      </c>
      <c r="Y316" s="380">
        <v>33007.519999999997</v>
      </c>
      <c r="Z316" s="380">
        <v>16105.49</v>
      </c>
      <c r="AA316" s="376" t="s">
        <v>967</v>
      </c>
      <c r="AB316" s="376" t="s">
        <v>968</v>
      </c>
      <c r="AC316" s="376" t="s">
        <v>675</v>
      </c>
      <c r="AD316" s="376" t="s">
        <v>176</v>
      </c>
      <c r="AE316" s="376" t="s">
        <v>903</v>
      </c>
      <c r="AF316" s="376" t="s">
        <v>244</v>
      </c>
      <c r="AG316" s="376" t="s">
        <v>178</v>
      </c>
      <c r="AH316" s="381">
        <v>22.67</v>
      </c>
      <c r="AI316" s="381">
        <v>18185.5</v>
      </c>
      <c r="AJ316" s="376" t="s">
        <v>179</v>
      </c>
      <c r="AK316" s="376" t="s">
        <v>180</v>
      </c>
      <c r="AL316" s="376" t="s">
        <v>181</v>
      </c>
      <c r="AM316" s="376" t="s">
        <v>182</v>
      </c>
      <c r="AN316" s="376" t="s">
        <v>68</v>
      </c>
      <c r="AO316" s="379">
        <v>80</v>
      </c>
      <c r="AP316" s="460">
        <v>1</v>
      </c>
      <c r="AQ316" s="460">
        <v>0.7</v>
      </c>
      <c r="AR316" s="458" t="s">
        <v>183</v>
      </c>
      <c r="AS316" s="462">
        <f t="shared" si="68"/>
        <v>0.7</v>
      </c>
      <c r="AT316">
        <f t="shared" si="69"/>
        <v>1</v>
      </c>
      <c r="AU316" s="462">
        <f>IF(AT316=0,"",IF(AND(AT316=1,M316="F",SUMIF(C2:C391,C316,AS2:AS391)&lt;=1),SUMIF(C2:C391,C316,AS2:AS391),IF(AND(AT316=1,M316="F",SUMIF(C2:C391,C316,AS2:AS391)&gt;1),1,"")))</f>
        <v>1</v>
      </c>
      <c r="AV316" s="462" t="str">
        <f>IF(AT316=0,"",IF(AND(AT316=3,M316="F",SUMIF(C2:C391,C316,AS2:AS391)&lt;=1),SUMIF(C2:C391,C316,AS2:AS391),IF(AND(AT316=3,M316="F",SUMIF(C2:C391,C316,AS2:AS391)&gt;1),1,"")))</f>
        <v/>
      </c>
      <c r="AW316" s="462">
        <f>SUMIF(C2:C391,C316,O2:O391)</f>
        <v>2</v>
      </c>
      <c r="AX316" s="462">
        <f>IF(AND(M316="F",AS316&lt;&gt;0),SUMIF(C2:C391,C316,W2:W391),0)</f>
        <v>47153.599999999999</v>
      </c>
      <c r="AY316" s="462">
        <f t="shared" si="70"/>
        <v>33007.519999999997</v>
      </c>
      <c r="AZ316" s="462" t="str">
        <f t="shared" si="71"/>
        <v/>
      </c>
      <c r="BA316" s="462">
        <f t="shared" si="72"/>
        <v>0</v>
      </c>
      <c r="BB316" s="462">
        <f>IF(AND(AT316=1,AK316="E",AU316&gt;=0.75,AW316=1),Health,IF(AND(AT316=1,AK316="E",AU316&gt;=0.75),Health*P316,IF(AND(AT316=1,AK316="E",AU316&gt;=0.5,AW316=1),PTHealth,IF(AND(AT316=1,AK316="E",AU316&gt;=0.5),PTHealth*P316,0))))</f>
        <v>8154.9999999999991</v>
      </c>
      <c r="BC316" s="462">
        <f>IF(AND(AT316=3,AK316="E",AV316&gt;=0.75,AW316=1),Health,IF(AND(AT316=3,AK316="E",AV316&gt;=0.75),Health*P316,IF(AND(AT316=3,AK316="E",AV316&gt;=0.5,AW316=1),PTHealth,IF(AND(AT316=3,AK316="E",AV316&gt;=0.5),PTHealth*P316,0))))</f>
        <v>0</v>
      </c>
      <c r="BD316" s="462">
        <f>IF(AND(AT316&lt;&gt;0,AX316&gt;=MAXSSDI),SSDI*MAXSSDI*P316,IF(AT316&lt;&gt;0,SSDI*W316,0))</f>
        <v>2046.4662399999997</v>
      </c>
      <c r="BE316" s="462">
        <f>IF(AT316&lt;&gt;0,SSHI*W316,0)</f>
        <v>478.60903999999999</v>
      </c>
      <c r="BF316" s="462">
        <f>IF(AND(AT316&lt;&gt;0,AN316&lt;&gt;"NE"),VLOOKUP(AN316,Retirement_Rates,3,FALSE)*W316,0)</f>
        <v>3941.0978879999998</v>
      </c>
      <c r="BG316" s="462">
        <f>IF(AND(AT316&lt;&gt;0,AJ316&lt;&gt;"PF"),Life*W316,0)</f>
        <v>237.98421919999998</v>
      </c>
      <c r="BH316" s="462">
        <f>IF(AND(AT316&lt;&gt;0,AM316="Y"),UI*W316,0)</f>
        <v>161.73684799999998</v>
      </c>
      <c r="BI316" s="462">
        <f>IF(AND(AT316&lt;&gt;0,N316&lt;&gt;"NR"),DHR*W316,0)</f>
        <v>101.00301119999999</v>
      </c>
      <c r="BJ316" s="462">
        <f>IF(AT316&lt;&gt;0,WC*W316,0)</f>
        <v>887.90228799999988</v>
      </c>
      <c r="BK316" s="462">
        <f>IF(OR(AND(AT316&lt;&gt;0,AJ316&lt;&gt;"PF",AN316&lt;&gt;"NE",AG316&lt;&gt;"A"),AND(AL316="E",OR(AT316=1,AT316=3))),Sick*W316,0)</f>
        <v>0</v>
      </c>
      <c r="BL316" s="462">
        <f t="shared" si="73"/>
        <v>7854.7995343999992</v>
      </c>
      <c r="BM316" s="462">
        <f t="shared" si="74"/>
        <v>0</v>
      </c>
      <c r="BN316" s="462">
        <f>IF(AND(AT316=1,AK316="E",AU316&gt;=0.75,AW316=1),HealthBY,IF(AND(AT316=1,AK316="E",AU316&gt;=0.75),HealthBY*P316,IF(AND(AT316=1,AK316="E",AU316&gt;=0.5,AW316=1),PTHealthBY,IF(AND(AT316=1,AK316="E",AU316&gt;=0.5),PTHealthBY*P316,0))))</f>
        <v>8154.9999999999991</v>
      </c>
      <c r="BO316" s="462">
        <f>IF(AND(AT316=3,AK316="E",AV316&gt;=0.75,AW316=1),HealthBY,IF(AND(AT316=3,AK316="E",AV316&gt;=0.75),HealthBY*P316,IF(AND(AT316=3,AK316="E",AV316&gt;=0.5,AW316=1),PTHealthBY,IF(AND(AT316=3,AK316="E",AV316&gt;=0.5),PTHealthBY*P316,0))))</f>
        <v>0</v>
      </c>
      <c r="BP316" s="462">
        <f>IF(AND(AT316&lt;&gt;0,(AX316+BA316)&gt;=MAXSSDIBY),SSDIBY*MAXSSDIBY*P316,IF(AT316&lt;&gt;0,SSDIBY*W316,0))</f>
        <v>2046.4662399999997</v>
      </c>
      <c r="BQ316" s="462">
        <f>IF(AT316&lt;&gt;0,SSHIBY*W316,0)</f>
        <v>478.60903999999999</v>
      </c>
      <c r="BR316" s="462">
        <f>IF(AND(AT316&lt;&gt;0,AN316&lt;&gt;"NE"),VLOOKUP(AN316,Retirement_Rates,4,FALSE)*W316,0)</f>
        <v>3941.0978879999998</v>
      </c>
      <c r="BS316" s="462">
        <f>IF(AND(AT316&lt;&gt;0,AJ316&lt;&gt;"PF"),LifeBY*W316,0)</f>
        <v>237.98421919999998</v>
      </c>
      <c r="BT316" s="462">
        <f>IF(AND(AT316&lt;&gt;0,AM316="Y"),UIBY*W316,0)</f>
        <v>0</v>
      </c>
      <c r="BU316" s="462">
        <f>IF(AND(AT316&lt;&gt;0,N316&lt;&gt;"NR"),DHRBY*W316,0)</f>
        <v>101.00301119999999</v>
      </c>
      <c r="BV316" s="462">
        <f>IF(AT316&lt;&gt;0,WCBY*W316,0)</f>
        <v>1145.360944</v>
      </c>
      <c r="BW316" s="462">
        <f>IF(OR(AND(AT316&lt;&gt;0,AJ316&lt;&gt;"PF",AN316&lt;&gt;"NE",AG316&lt;&gt;"A"),AND(AL316="E",OR(AT316=1,AT316=3))),SickBY*W316,0)</f>
        <v>0</v>
      </c>
      <c r="BX316" s="462">
        <f t="shared" si="75"/>
        <v>7950.5213423999994</v>
      </c>
      <c r="BY316" s="462">
        <f t="shared" si="76"/>
        <v>0</v>
      </c>
      <c r="BZ316" s="462">
        <f t="shared" si="77"/>
        <v>0</v>
      </c>
      <c r="CA316" s="462">
        <f t="shared" si="78"/>
        <v>0</v>
      </c>
      <c r="CB316" s="462">
        <f t="shared" si="79"/>
        <v>0</v>
      </c>
      <c r="CC316" s="462">
        <f>IF(AT316&lt;&gt;0,SSHICHG*Y316,0)</f>
        <v>0</v>
      </c>
      <c r="CD316" s="462">
        <f>IF(AND(AT316&lt;&gt;0,AN316&lt;&gt;"NE"),VLOOKUP(AN316,Retirement_Rates,5,FALSE)*Y316,0)</f>
        <v>0</v>
      </c>
      <c r="CE316" s="462">
        <f>IF(AND(AT316&lt;&gt;0,AJ316&lt;&gt;"PF"),LifeCHG*Y316,0)</f>
        <v>0</v>
      </c>
      <c r="CF316" s="462">
        <f>IF(AND(AT316&lt;&gt;0,AM316="Y"),UICHG*Y316,0)</f>
        <v>-161.73684799999998</v>
      </c>
      <c r="CG316" s="462">
        <f>IF(AND(AT316&lt;&gt;0,N316&lt;&gt;"NR"),DHRCHG*Y316,0)</f>
        <v>0</v>
      </c>
      <c r="CH316" s="462">
        <f>IF(AT316&lt;&gt;0,WCCHG*Y316,0)</f>
        <v>257.45865600000002</v>
      </c>
      <c r="CI316" s="462">
        <f>IF(OR(AND(AT316&lt;&gt;0,AJ316&lt;&gt;"PF",AN316&lt;&gt;"NE",AG316&lt;&gt;"A"),AND(AL316="E",OR(AT316=1,AT316=3))),SickCHG*Y316,0)</f>
        <v>0</v>
      </c>
      <c r="CJ316" s="462">
        <f t="shared" si="80"/>
        <v>95.721808000000038</v>
      </c>
      <c r="CK316" s="462" t="str">
        <f t="shared" si="81"/>
        <v/>
      </c>
      <c r="CL316" s="462" t="str">
        <f t="shared" si="82"/>
        <v/>
      </c>
      <c r="CM316" s="462" t="str">
        <f t="shared" si="83"/>
        <v/>
      </c>
      <c r="CN316" s="462" t="str">
        <f t="shared" si="84"/>
        <v>0250-04</v>
      </c>
    </row>
    <row r="317" spans="1:92" ht="15" thickBot="1" x14ac:dyDescent="0.35">
      <c r="A317" s="376" t="s">
        <v>161</v>
      </c>
      <c r="B317" s="376" t="s">
        <v>162</v>
      </c>
      <c r="C317" s="376" t="s">
        <v>689</v>
      </c>
      <c r="D317" s="376" t="s">
        <v>690</v>
      </c>
      <c r="E317" s="376" t="s">
        <v>421</v>
      </c>
      <c r="F317" s="382" t="s">
        <v>422</v>
      </c>
      <c r="G317" s="376" t="s">
        <v>951</v>
      </c>
      <c r="H317" s="378"/>
      <c r="I317" s="378"/>
      <c r="J317" s="376" t="s">
        <v>193</v>
      </c>
      <c r="K317" s="376" t="s">
        <v>691</v>
      </c>
      <c r="L317" s="376" t="s">
        <v>170</v>
      </c>
      <c r="M317" s="376" t="s">
        <v>171</v>
      </c>
      <c r="N317" s="376" t="s">
        <v>172</v>
      </c>
      <c r="O317" s="379">
        <v>1</v>
      </c>
      <c r="P317" s="460">
        <v>0.5</v>
      </c>
      <c r="Q317" s="460">
        <v>0.5</v>
      </c>
      <c r="R317" s="380">
        <v>80</v>
      </c>
      <c r="S317" s="460">
        <v>0.5</v>
      </c>
      <c r="T317" s="380">
        <v>0</v>
      </c>
      <c r="U317" s="380">
        <v>0</v>
      </c>
      <c r="V317" s="380">
        <v>0</v>
      </c>
      <c r="W317" s="380">
        <v>30045.599999999999</v>
      </c>
      <c r="X317" s="380">
        <v>12974.93</v>
      </c>
      <c r="Y317" s="380">
        <v>30045.599999999999</v>
      </c>
      <c r="Z317" s="380">
        <v>13062.06</v>
      </c>
      <c r="AA317" s="376" t="s">
        <v>692</v>
      </c>
      <c r="AB317" s="376" t="s">
        <v>693</v>
      </c>
      <c r="AC317" s="376" t="s">
        <v>694</v>
      </c>
      <c r="AD317" s="376" t="s">
        <v>324</v>
      </c>
      <c r="AE317" s="376" t="s">
        <v>691</v>
      </c>
      <c r="AF317" s="376" t="s">
        <v>177</v>
      </c>
      <c r="AG317" s="376" t="s">
        <v>178</v>
      </c>
      <c r="AH317" s="381">
        <v>28.89</v>
      </c>
      <c r="AI317" s="381">
        <v>10680.4</v>
      </c>
      <c r="AJ317" s="376" t="s">
        <v>179</v>
      </c>
      <c r="AK317" s="376" t="s">
        <v>180</v>
      </c>
      <c r="AL317" s="376" t="s">
        <v>181</v>
      </c>
      <c r="AM317" s="376" t="s">
        <v>182</v>
      </c>
      <c r="AN317" s="376" t="s">
        <v>68</v>
      </c>
      <c r="AO317" s="379">
        <v>80</v>
      </c>
      <c r="AP317" s="460">
        <v>1</v>
      </c>
      <c r="AQ317" s="460">
        <v>0.5</v>
      </c>
      <c r="AR317" s="458" t="s">
        <v>183</v>
      </c>
      <c r="AS317" s="462">
        <f t="shared" si="68"/>
        <v>0.5</v>
      </c>
      <c r="AT317">
        <f t="shared" si="69"/>
        <v>1</v>
      </c>
      <c r="AU317" s="462">
        <f>IF(AT317=0,"",IF(AND(AT317=1,M317="F",SUMIF(C2:C391,C317,AS2:AS391)&lt;=1),SUMIF(C2:C391,C317,AS2:AS391),IF(AND(AT317=1,M317="F",SUMIF(C2:C391,C317,AS2:AS391)&gt;1),1,"")))</f>
        <v>1</v>
      </c>
      <c r="AV317" s="462" t="str">
        <f>IF(AT317=0,"",IF(AND(AT317=3,M317="F",SUMIF(C2:C391,C317,AS2:AS391)&lt;=1),SUMIF(C2:C391,C317,AS2:AS391),IF(AND(AT317=3,M317="F",SUMIF(C2:C391,C317,AS2:AS391)&gt;1),1,"")))</f>
        <v/>
      </c>
      <c r="AW317" s="462">
        <f>SUMIF(C2:C391,C317,O2:O391)</f>
        <v>4</v>
      </c>
      <c r="AX317" s="462">
        <f>IF(AND(M317="F",AS317&lt;&gt;0),SUMIF(C2:C391,C317,W2:W391),0)</f>
        <v>60091.199999999997</v>
      </c>
      <c r="AY317" s="462">
        <f t="shared" si="70"/>
        <v>30045.599999999999</v>
      </c>
      <c r="AZ317" s="462" t="str">
        <f t="shared" si="71"/>
        <v/>
      </c>
      <c r="BA317" s="462">
        <f t="shared" si="72"/>
        <v>0</v>
      </c>
      <c r="BB317" s="462">
        <f>IF(AND(AT317=1,AK317="E",AU317&gt;=0.75,AW317=1),Health,IF(AND(AT317=1,AK317="E",AU317&gt;=0.75),Health*P317,IF(AND(AT317=1,AK317="E",AU317&gt;=0.5,AW317=1),PTHealth,IF(AND(AT317=1,AK317="E",AU317&gt;=0.5),PTHealth*P317,0))))</f>
        <v>5825</v>
      </c>
      <c r="BC317" s="462">
        <f>IF(AND(AT317=3,AK317="E",AV317&gt;=0.75,AW317=1),Health,IF(AND(AT317=3,AK317="E",AV317&gt;=0.75),Health*P317,IF(AND(AT317=3,AK317="E",AV317&gt;=0.5,AW317=1),PTHealth,IF(AND(AT317=3,AK317="E",AV317&gt;=0.5),PTHealth*P317,0))))</f>
        <v>0</v>
      </c>
      <c r="BD317" s="462">
        <f>IF(AND(AT317&lt;&gt;0,AX317&gt;=MAXSSDI),SSDI*MAXSSDI*P317,IF(AT317&lt;&gt;0,SSDI*W317,0))</f>
        <v>1862.8271999999999</v>
      </c>
      <c r="BE317" s="462">
        <f>IF(AT317&lt;&gt;0,SSHI*W317,0)</f>
        <v>435.66120000000001</v>
      </c>
      <c r="BF317" s="462">
        <f>IF(AND(AT317&lt;&gt;0,AN317&lt;&gt;"NE"),VLOOKUP(AN317,Retirement_Rates,3,FALSE)*W317,0)</f>
        <v>3587.4446400000002</v>
      </c>
      <c r="BG317" s="462">
        <f>IF(AND(AT317&lt;&gt;0,AJ317&lt;&gt;"PF"),Life*W317,0)</f>
        <v>216.62877599999999</v>
      </c>
      <c r="BH317" s="462">
        <f>IF(AND(AT317&lt;&gt;0,AM317="Y"),UI*W317,0)</f>
        <v>147.22343999999998</v>
      </c>
      <c r="BI317" s="462">
        <f>IF(AND(AT317&lt;&gt;0,N317&lt;&gt;"NR"),DHR*W317,0)</f>
        <v>91.93953599999999</v>
      </c>
      <c r="BJ317" s="462">
        <f>IF(AT317&lt;&gt;0,WC*W317,0)</f>
        <v>808.22663999999997</v>
      </c>
      <c r="BK317" s="462">
        <f>IF(OR(AND(AT317&lt;&gt;0,AJ317&lt;&gt;"PF",AN317&lt;&gt;"NE",AG317&lt;&gt;"A"),AND(AL317="E",OR(AT317=1,AT317=3))),Sick*W317,0)</f>
        <v>0</v>
      </c>
      <c r="BL317" s="462">
        <f t="shared" si="73"/>
        <v>7149.9514319999989</v>
      </c>
      <c r="BM317" s="462">
        <f t="shared" si="74"/>
        <v>0</v>
      </c>
      <c r="BN317" s="462">
        <f>IF(AND(AT317=1,AK317="E",AU317&gt;=0.75,AW317=1),HealthBY,IF(AND(AT317=1,AK317="E",AU317&gt;=0.75),HealthBY*P317,IF(AND(AT317=1,AK317="E",AU317&gt;=0.5,AW317=1),PTHealthBY,IF(AND(AT317=1,AK317="E",AU317&gt;=0.5),PTHealthBY*P317,0))))</f>
        <v>5825</v>
      </c>
      <c r="BO317" s="462">
        <f>IF(AND(AT317=3,AK317="E",AV317&gt;=0.75,AW317=1),HealthBY,IF(AND(AT317=3,AK317="E",AV317&gt;=0.75),HealthBY*P317,IF(AND(AT317=3,AK317="E",AV317&gt;=0.5,AW317=1),PTHealthBY,IF(AND(AT317=3,AK317="E",AV317&gt;=0.5),PTHealthBY*P317,0))))</f>
        <v>0</v>
      </c>
      <c r="BP317" s="462">
        <f>IF(AND(AT317&lt;&gt;0,(AX317+BA317)&gt;=MAXSSDIBY),SSDIBY*MAXSSDIBY*P317,IF(AT317&lt;&gt;0,SSDIBY*W317,0))</f>
        <v>1862.8271999999999</v>
      </c>
      <c r="BQ317" s="462">
        <f>IF(AT317&lt;&gt;0,SSHIBY*W317,0)</f>
        <v>435.66120000000001</v>
      </c>
      <c r="BR317" s="462">
        <f>IF(AND(AT317&lt;&gt;0,AN317&lt;&gt;"NE"),VLOOKUP(AN317,Retirement_Rates,4,FALSE)*W317,0)</f>
        <v>3587.4446400000002</v>
      </c>
      <c r="BS317" s="462">
        <f>IF(AND(AT317&lt;&gt;0,AJ317&lt;&gt;"PF"),LifeBY*W317,0)</f>
        <v>216.62877599999999</v>
      </c>
      <c r="BT317" s="462">
        <f>IF(AND(AT317&lt;&gt;0,AM317="Y"),UIBY*W317,0)</f>
        <v>0</v>
      </c>
      <c r="BU317" s="462">
        <f>IF(AND(AT317&lt;&gt;0,N317&lt;&gt;"NR"),DHRBY*W317,0)</f>
        <v>91.93953599999999</v>
      </c>
      <c r="BV317" s="462">
        <f>IF(AT317&lt;&gt;0,WCBY*W317,0)</f>
        <v>1042.58232</v>
      </c>
      <c r="BW317" s="462">
        <f>IF(OR(AND(AT317&lt;&gt;0,AJ317&lt;&gt;"PF",AN317&lt;&gt;"NE",AG317&lt;&gt;"A"),AND(AL317="E",OR(AT317=1,AT317=3))),SickBY*W317,0)</f>
        <v>0</v>
      </c>
      <c r="BX317" s="462">
        <f t="shared" si="75"/>
        <v>7237.0836719999988</v>
      </c>
      <c r="BY317" s="462">
        <f t="shared" si="76"/>
        <v>0</v>
      </c>
      <c r="BZ317" s="462">
        <f t="shared" si="77"/>
        <v>0</v>
      </c>
      <c r="CA317" s="462">
        <f t="shared" si="78"/>
        <v>0</v>
      </c>
      <c r="CB317" s="462">
        <f t="shared" si="79"/>
        <v>0</v>
      </c>
      <c r="CC317" s="462">
        <f>IF(AT317&lt;&gt;0,SSHICHG*Y317,0)</f>
        <v>0</v>
      </c>
      <c r="CD317" s="462">
        <f>IF(AND(AT317&lt;&gt;0,AN317&lt;&gt;"NE"),VLOOKUP(AN317,Retirement_Rates,5,FALSE)*Y317,0)</f>
        <v>0</v>
      </c>
      <c r="CE317" s="462">
        <f>IF(AND(AT317&lt;&gt;0,AJ317&lt;&gt;"PF"),LifeCHG*Y317,0)</f>
        <v>0</v>
      </c>
      <c r="CF317" s="462">
        <f>IF(AND(AT317&lt;&gt;0,AM317="Y"),UICHG*Y317,0)</f>
        <v>-147.22343999999998</v>
      </c>
      <c r="CG317" s="462">
        <f>IF(AND(AT317&lt;&gt;0,N317&lt;&gt;"NR"),DHRCHG*Y317,0)</f>
        <v>0</v>
      </c>
      <c r="CH317" s="462">
        <f>IF(AT317&lt;&gt;0,WCCHG*Y317,0)</f>
        <v>234.35568000000004</v>
      </c>
      <c r="CI317" s="462">
        <f>IF(OR(AND(AT317&lt;&gt;0,AJ317&lt;&gt;"PF",AN317&lt;&gt;"NE",AG317&lt;&gt;"A"),AND(AL317="E",OR(AT317=1,AT317=3))),SickCHG*Y317,0)</f>
        <v>0</v>
      </c>
      <c r="CJ317" s="462">
        <f t="shared" si="80"/>
        <v>87.132240000000053</v>
      </c>
      <c r="CK317" s="462" t="str">
        <f t="shared" si="81"/>
        <v/>
      </c>
      <c r="CL317" s="462" t="str">
        <f t="shared" si="82"/>
        <v/>
      </c>
      <c r="CM317" s="462" t="str">
        <f t="shared" si="83"/>
        <v/>
      </c>
      <c r="CN317" s="462" t="str">
        <f t="shared" si="84"/>
        <v>0250-04</v>
      </c>
    </row>
    <row r="318" spans="1:92" ht="15" thickBot="1" x14ac:dyDescent="0.35">
      <c r="A318" s="376" t="s">
        <v>161</v>
      </c>
      <c r="B318" s="376" t="s">
        <v>162</v>
      </c>
      <c r="C318" s="376" t="s">
        <v>960</v>
      </c>
      <c r="D318" s="376" t="s">
        <v>901</v>
      </c>
      <c r="E318" s="376" t="s">
        <v>421</v>
      </c>
      <c r="F318" s="382" t="s">
        <v>422</v>
      </c>
      <c r="G318" s="376" t="s">
        <v>951</v>
      </c>
      <c r="H318" s="378"/>
      <c r="I318" s="378"/>
      <c r="J318" s="376" t="s">
        <v>193</v>
      </c>
      <c r="K318" s="376" t="s">
        <v>903</v>
      </c>
      <c r="L318" s="376" t="s">
        <v>240</v>
      </c>
      <c r="M318" s="376" t="s">
        <v>171</v>
      </c>
      <c r="N318" s="376" t="s">
        <v>172</v>
      </c>
      <c r="O318" s="379">
        <v>1</v>
      </c>
      <c r="P318" s="460">
        <v>0.7</v>
      </c>
      <c r="Q318" s="460">
        <v>0.7</v>
      </c>
      <c r="R318" s="380">
        <v>80</v>
      </c>
      <c r="S318" s="460">
        <v>0.7</v>
      </c>
      <c r="T318" s="380">
        <v>32138.61</v>
      </c>
      <c r="U318" s="380">
        <v>0</v>
      </c>
      <c r="V318" s="380">
        <v>15511.91</v>
      </c>
      <c r="W318" s="380">
        <v>33022.080000000002</v>
      </c>
      <c r="X318" s="380">
        <v>16013.24</v>
      </c>
      <c r="Y318" s="380">
        <v>33022.080000000002</v>
      </c>
      <c r="Z318" s="380">
        <v>16109</v>
      </c>
      <c r="AA318" s="376" t="s">
        <v>961</v>
      </c>
      <c r="AB318" s="376" t="s">
        <v>962</v>
      </c>
      <c r="AC318" s="376" t="s">
        <v>963</v>
      </c>
      <c r="AD318" s="376" t="s">
        <v>176</v>
      </c>
      <c r="AE318" s="376" t="s">
        <v>903</v>
      </c>
      <c r="AF318" s="376" t="s">
        <v>244</v>
      </c>
      <c r="AG318" s="376" t="s">
        <v>178</v>
      </c>
      <c r="AH318" s="381">
        <v>22.68</v>
      </c>
      <c r="AI318" s="381">
        <v>9954.2000000000007</v>
      </c>
      <c r="AJ318" s="376" t="s">
        <v>179</v>
      </c>
      <c r="AK318" s="376" t="s">
        <v>180</v>
      </c>
      <c r="AL318" s="376" t="s">
        <v>181</v>
      </c>
      <c r="AM318" s="376" t="s">
        <v>182</v>
      </c>
      <c r="AN318" s="376" t="s">
        <v>68</v>
      </c>
      <c r="AO318" s="379">
        <v>80</v>
      </c>
      <c r="AP318" s="460">
        <v>1</v>
      </c>
      <c r="AQ318" s="460">
        <v>0.7</v>
      </c>
      <c r="AR318" s="458" t="s">
        <v>183</v>
      </c>
      <c r="AS318" s="462">
        <f t="shared" si="68"/>
        <v>0.7</v>
      </c>
      <c r="AT318">
        <f t="shared" si="69"/>
        <v>1</v>
      </c>
      <c r="AU318" s="462">
        <f>IF(AT318=0,"",IF(AND(AT318=1,M318="F",SUMIF(C2:C391,C318,AS2:AS391)&lt;=1),SUMIF(C2:C391,C318,AS2:AS391),IF(AND(AT318=1,M318="F",SUMIF(C2:C391,C318,AS2:AS391)&gt;1),1,"")))</f>
        <v>1</v>
      </c>
      <c r="AV318" s="462" t="str">
        <f>IF(AT318=0,"",IF(AND(AT318=3,M318="F",SUMIF(C2:C391,C318,AS2:AS391)&lt;=1),SUMIF(C2:C391,C318,AS2:AS391),IF(AND(AT318=3,M318="F",SUMIF(C2:C391,C318,AS2:AS391)&gt;1),1,"")))</f>
        <v/>
      </c>
      <c r="AW318" s="462">
        <f>SUMIF(C2:C391,C318,O2:O391)</f>
        <v>2</v>
      </c>
      <c r="AX318" s="462">
        <f>IF(AND(M318="F",AS318&lt;&gt;0),SUMIF(C2:C391,C318,W2:W391),0)</f>
        <v>47174.400000000001</v>
      </c>
      <c r="AY318" s="462">
        <f t="shared" si="70"/>
        <v>33022.080000000002</v>
      </c>
      <c r="AZ318" s="462" t="str">
        <f t="shared" si="71"/>
        <v/>
      </c>
      <c r="BA318" s="462">
        <f t="shared" si="72"/>
        <v>0</v>
      </c>
      <c r="BB318" s="462">
        <f>IF(AND(AT318=1,AK318="E",AU318&gt;=0.75,AW318=1),Health,IF(AND(AT318=1,AK318="E",AU318&gt;=0.75),Health*P318,IF(AND(AT318=1,AK318="E",AU318&gt;=0.5,AW318=1),PTHealth,IF(AND(AT318=1,AK318="E",AU318&gt;=0.5),PTHealth*P318,0))))</f>
        <v>8154.9999999999991</v>
      </c>
      <c r="BC318" s="462">
        <f>IF(AND(AT318=3,AK318="E",AV318&gt;=0.75,AW318=1),Health,IF(AND(AT318=3,AK318="E",AV318&gt;=0.75),Health*P318,IF(AND(AT318=3,AK318="E",AV318&gt;=0.5,AW318=1),PTHealth,IF(AND(AT318=3,AK318="E",AV318&gt;=0.5),PTHealth*P318,0))))</f>
        <v>0</v>
      </c>
      <c r="BD318" s="462">
        <f>IF(AND(AT318&lt;&gt;0,AX318&gt;=MAXSSDI),SSDI*MAXSSDI*P318,IF(AT318&lt;&gt;0,SSDI*W318,0))</f>
        <v>2047.36896</v>
      </c>
      <c r="BE318" s="462">
        <f>IF(AT318&lt;&gt;0,SSHI*W318,0)</f>
        <v>478.82016000000004</v>
      </c>
      <c r="BF318" s="462">
        <f>IF(AND(AT318&lt;&gt;0,AN318&lt;&gt;"NE"),VLOOKUP(AN318,Retirement_Rates,3,FALSE)*W318,0)</f>
        <v>3942.8363520000003</v>
      </c>
      <c r="BG318" s="462">
        <f>IF(AND(AT318&lt;&gt;0,AJ318&lt;&gt;"PF"),Life*W318,0)</f>
        <v>238.08919680000002</v>
      </c>
      <c r="BH318" s="462">
        <f>IF(AND(AT318&lt;&gt;0,AM318="Y"),UI*W318,0)</f>
        <v>161.80819199999999</v>
      </c>
      <c r="BI318" s="462">
        <f>IF(AND(AT318&lt;&gt;0,N318&lt;&gt;"NR"),DHR*W318,0)</f>
        <v>101.0475648</v>
      </c>
      <c r="BJ318" s="462">
        <f>IF(AT318&lt;&gt;0,WC*W318,0)</f>
        <v>888.2939520000001</v>
      </c>
      <c r="BK318" s="462">
        <f>IF(OR(AND(AT318&lt;&gt;0,AJ318&lt;&gt;"PF",AN318&lt;&gt;"NE",AG318&lt;&gt;"A"),AND(AL318="E",OR(AT318=1,AT318=3))),Sick*W318,0)</f>
        <v>0</v>
      </c>
      <c r="BL318" s="462">
        <f t="shared" si="73"/>
        <v>7858.2643776000004</v>
      </c>
      <c r="BM318" s="462">
        <f t="shared" si="74"/>
        <v>0</v>
      </c>
      <c r="BN318" s="462">
        <f>IF(AND(AT318=1,AK318="E",AU318&gt;=0.75,AW318=1),HealthBY,IF(AND(AT318=1,AK318="E",AU318&gt;=0.75),HealthBY*P318,IF(AND(AT318=1,AK318="E",AU318&gt;=0.5,AW318=1),PTHealthBY,IF(AND(AT318=1,AK318="E",AU318&gt;=0.5),PTHealthBY*P318,0))))</f>
        <v>8154.9999999999991</v>
      </c>
      <c r="BO318" s="462">
        <f>IF(AND(AT318=3,AK318="E",AV318&gt;=0.75,AW318=1),HealthBY,IF(AND(AT318=3,AK318="E",AV318&gt;=0.75),HealthBY*P318,IF(AND(AT318=3,AK318="E",AV318&gt;=0.5,AW318=1),PTHealthBY,IF(AND(AT318=3,AK318="E",AV318&gt;=0.5),PTHealthBY*P318,0))))</f>
        <v>0</v>
      </c>
      <c r="BP318" s="462">
        <f>IF(AND(AT318&lt;&gt;0,(AX318+BA318)&gt;=MAXSSDIBY),SSDIBY*MAXSSDIBY*P318,IF(AT318&lt;&gt;0,SSDIBY*W318,0))</f>
        <v>2047.36896</v>
      </c>
      <c r="BQ318" s="462">
        <f>IF(AT318&lt;&gt;0,SSHIBY*W318,0)</f>
        <v>478.82016000000004</v>
      </c>
      <c r="BR318" s="462">
        <f>IF(AND(AT318&lt;&gt;0,AN318&lt;&gt;"NE"),VLOOKUP(AN318,Retirement_Rates,4,FALSE)*W318,0)</f>
        <v>3942.8363520000003</v>
      </c>
      <c r="BS318" s="462">
        <f>IF(AND(AT318&lt;&gt;0,AJ318&lt;&gt;"PF"),LifeBY*W318,0)</f>
        <v>238.08919680000002</v>
      </c>
      <c r="BT318" s="462">
        <f>IF(AND(AT318&lt;&gt;0,AM318="Y"),UIBY*W318,0)</f>
        <v>0</v>
      </c>
      <c r="BU318" s="462">
        <f>IF(AND(AT318&lt;&gt;0,N318&lt;&gt;"NR"),DHRBY*W318,0)</f>
        <v>101.0475648</v>
      </c>
      <c r="BV318" s="462">
        <f>IF(AT318&lt;&gt;0,WCBY*W318,0)</f>
        <v>1145.8661760000002</v>
      </c>
      <c r="BW318" s="462">
        <f>IF(OR(AND(AT318&lt;&gt;0,AJ318&lt;&gt;"PF",AN318&lt;&gt;"NE",AG318&lt;&gt;"A"),AND(AL318="E",OR(AT318=1,AT318=3))),SickBY*W318,0)</f>
        <v>0</v>
      </c>
      <c r="BX318" s="462">
        <f t="shared" si="75"/>
        <v>7954.0284096000005</v>
      </c>
      <c r="BY318" s="462">
        <f t="shared" si="76"/>
        <v>0</v>
      </c>
      <c r="BZ318" s="462">
        <f t="shared" si="77"/>
        <v>0</v>
      </c>
      <c r="CA318" s="462">
        <f t="shared" si="78"/>
        <v>0</v>
      </c>
      <c r="CB318" s="462">
        <f t="shared" si="79"/>
        <v>0</v>
      </c>
      <c r="CC318" s="462">
        <f>IF(AT318&lt;&gt;0,SSHICHG*Y318,0)</f>
        <v>0</v>
      </c>
      <c r="CD318" s="462">
        <f>IF(AND(AT318&lt;&gt;0,AN318&lt;&gt;"NE"),VLOOKUP(AN318,Retirement_Rates,5,FALSE)*Y318,0)</f>
        <v>0</v>
      </c>
      <c r="CE318" s="462">
        <f>IF(AND(AT318&lt;&gt;0,AJ318&lt;&gt;"PF"),LifeCHG*Y318,0)</f>
        <v>0</v>
      </c>
      <c r="CF318" s="462">
        <f>IF(AND(AT318&lt;&gt;0,AM318="Y"),UICHG*Y318,0)</f>
        <v>-161.80819199999999</v>
      </c>
      <c r="CG318" s="462">
        <f>IF(AND(AT318&lt;&gt;0,N318&lt;&gt;"NR"),DHRCHG*Y318,0)</f>
        <v>0</v>
      </c>
      <c r="CH318" s="462">
        <f>IF(AT318&lt;&gt;0,WCCHG*Y318,0)</f>
        <v>257.57222400000006</v>
      </c>
      <c r="CI318" s="462">
        <f>IF(OR(AND(AT318&lt;&gt;0,AJ318&lt;&gt;"PF",AN318&lt;&gt;"NE",AG318&lt;&gt;"A"),AND(AL318="E",OR(AT318=1,AT318=3))),SickCHG*Y318,0)</f>
        <v>0</v>
      </c>
      <c r="CJ318" s="462">
        <f t="shared" si="80"/>
        <v>95.764032000000071</v>
      </c>
      <c r="CK318" s="462" t="str">
        <f t="shared" si="81"/>
        <v/>
      </c>
      <c r="CL318" s="462" t="str">
        <f t="shared" si="82"/>
        <v/>
      </c>
      <c r="CM318" s="462" t="str">
        <f t="shared" si="83"/>
        <v/>
      </c>
      <c r="CN318" s="462" t="str">
        <f t="shared" si="84"/>
        <v>0250-04</v>
      </c>
    </row>
    <row r="319" spans="1:92" ht="15" thickBot="1" x14ac:dyDescent="0.35">
      <c r="A319" s="376" t="s">
        <v>161</v>
      </c>
      <c r="B319" s="376" t="s">
        <v>162</v>
      </c>
      <c r="C319" s="376" t="s">
        <v>990</v>
      </c>
      <c r="D319" s="376" t="s">
        <v>221</v>
      </c>
      <c r="E319" s="376" t="s">
        <v>421</v>
      </c>
      <c r="F319" s="382" t="s">
        <v>422</v>
      </c>
      <c r="G319" s="376" t="s">
        <v>951</v>
      </c>
      <c r="H319" s="378"/>
      <c r="I319" s="378"/>
      <c r="J319" s="376" t="s">
        <v>168</v>
      </c>
      <c r="K319" s="376" t="s">
        <v>222</v>
      </c>
      <c r="L319" s="376" t="s">
        <v>166</v>
      </c>
      <c r="M319" s="376" t="s">
        <v>171</v>
      </c>
      <c r="N319" s="376" t="s">
        <v>223</v>
      </c>
      <c r="O319" s="379">
        <v>0</v>
      </c>
      <c r="P319" s="460">
        <v>1</v>
      </c>
      <c r="Q319" s="460">
        <v>0</v>
      </c>
      <c r="R319" s="380">
        <v>0</v>
      </c>
      <c r="S319" s="460">
        <v>0</v>
      </c>
      <c r="T319" s="380">
        <v>37322.339999999997</v>
      </c>
      <c r="U319" s="380">
        <v>0</v>
      </c>
      <c r="V319" s="380">
        <v>14138.72</v>
      </c>
      <c r="W319" s="380">
        <v>37322.339999999997</v>
      </c>
      <c r="X319" s="380">
        <v>14138.72</v>
      </c>
      <c r="Y319" s="380">
        <v>37322.339999999997</v>
      </c>
      <c r="Z319" s="380">
        <v>14138.72</v>
      </c>
      <c r="AA319" s="378"/>
      <c r="AB319" s="376" t="s">
        <v>45</v>
      </c>
      <c r="AC319" s="376" t="s">
        <v>45</v>
      </c>
      <c r="AD319" s="378"/>
      <c r="AE319" s="378"/>
      <c r="AF319" s="378"/>
      <c r="AG319" s="378"/>
      <c r="AH319" s="379">
        <v>0</v>
      </c>
      <c r="AI319" s="379">
        <v>0</v>
      </c>
      <c r="AJ319" s="378"/>
      <c r="AK319" s="378"/>
      <c r="AL319" s="376" t="s">
        <v>181</v>
      </c>
      <c r="AM319" s="378"/>
      <c r="AN319" s="378"/>
      <c r="AO319" s="379">
        <v>0</v>
      </c>
      <c r="AP319" s="460">
        <v>0</v>
      </c>
      <c r="AQ319" s="460">
        <v>0</v>
      </c>
      <c r="AR319" s="459"/>
      <c r="AS319" s="462">
        <f t="shared" si="68"/>
        <v>0</v>
      </c>
      <c r="AT319">
        <f t="shared" si="69"/>
        <v>0</v>
      </c>
      <c r="AU319" s="462" t="str">
        <f>IF(AT319=0,"",IF(AND(AT319=1,M319="F",SUMIF(C2:C391,C319,AS2:AS391)&lt;=1),SUMIF(C2:C391,C319,AS2:AS391),IF(AND(AT319=1,M319="F",SUMIF(C2:C391,C319,AS2:AS391)&gt;1),1,"")))</f>
        <v/>
      </c>
      <c r="AV319" s="462" t="str">
        <f>IF(AT319=0,"",IF(AND(AT319=3,M319="F",SUMIF(C2:C391,C319,AS2:AS391)&lt;=1),SUMIF(C2:C391,C319,AS2:AS391),IF(AND(AT319=3,M319="F",SUMIF(C2:C391,C319,AS2:AS391)&gt;1),1,"")))</f>
        <v/>
      </c>
      <c r="AW319" s="462">
        <f>SUMIF(C2:C391,C319,O2:O391)</f>
        <v>0</v>
      </c>
      <c r="AX319" s="462">
        <f>IF(AND(M319="F",AS319&lt;&gt;0),SUMIF(C2:C391,C319,W2:W391),0)</f>
        <v>0</v>
      </c>
      <c r="AY319" s="462" t="str">
        <f t="shared" si="70"/>
        <v/>
      </c>
      <c r="AZ319" s="462" t="str">
        <f t="shared" si="71"/>
        <v/>
      </c>
      <c r="BA319" s="462">
        <f t="shared" si="72"/>
        <v>0</v>
      </c>
      <c r="BB319" s="462">
        <f>IF(AND(AT319=1,AK319="E",AU319&gt;=0.75,AW319=1),Health,IF(AND(AT319=1,AK319="E",AU319&gt;=0.75),Health*P319,IF(AND(AT319=1,AK319="E",AU319&gt;=0.5,AW319=1),PTHealth,IF(AND(AT319=1,AK319="E",AU319&gt;=0.5),PTHealth*P319,0))))</f>
        <v>0</v>
      </c>
      <c r="BC319" s="462">
        <f>IF(AND(AT319=3,AK319="E",AV319&gt;=0.75,AW319=1),Health,IF(AND(AT319=3,AK319="E",AV319&gt;=0.75),Health*P319,IF(AND(AT319=3,AK319="E",AV319&gt;=0.5,AW319=1),PTHealth,IF(AND(AT319=3,AK319="E",AV319&gt;=0.5),PTHealth*P319,0))))</f>
        <v>0</v>
      </c>
      <c r="BD319" s="462">
        <f>IF(AND(AT319&lt;&gt;0,AX319&gt;=MAXSSDI),SSDI*MAXSSDI*P319,IF(AT319&lt;&gt;0,SSDI*W319,0))</f>
        <v>0</v>
      </c>
      <c r="BE319" s="462">
        <f>IF(AT319&lt;&gt;0,SSHI*W319,0)</f>
        <v>0</v>
      </c>
      <c r="BF319" s="462">
        <f>IF(AND(AT319&lt;&gt;0,AN319&lt;&gt;"NE"),VLOOKUP(AN319,Retirement_Rates,3,FALSE)*W319,0)</f>
        <v>0</v>
      </c>
      <c r="BG319" s="462">
        <f>IF(AND(AT319&lt;&gt;0,AJ319&lt;&gt;"PF"),Life*W319,0)</f>
        <v>0</v>
      </c>
      <c r="BH319" s="462">
        <f>IF(AND(AT319&lt;&gt;0,AM319="Y"),UI*W319,0)</f>
        <v>0</v>
      </c>
      <c r="BI319" s="462">
        <f>IF(AND(AT319&lt;&gt;0,N319&lt;&gt;"NR"),DHR*W319,0)</f>
        <v>0</v>
      </c>
      <c r="BJ319" s="462">
        <f>IF(AT319&lt;&gt;0,WC*W319,0)</f>
        <v>0</v>
      </c>
      <c r="BK319" s="462">
        <f>IF(OR(AND(AT319&lt;&gt;0,AJ319&lt;&gt;"PF",AN319&lt;&gt;"NE",AG319&lt;&gt;"A"),AND(AL319="E",OR(AT319=1,AT319=3))),Sick*W319,0)</f>
        <v>0</v>
      </c>
      <c r="BL319" s="462">
        <f t="shared" si="73"/>
        <v>0</v>
      </c>
      <c r="BM319" s="462">
        <f t="shared" si="74"/>
        <v>0</v>
      </c>
      <c r="BN319" s="462">
        <f>IF(AND(AT319=1,AK319="E",AU319&gt;=0.75,AW319=1),HealthBY,IF(AND(AT319=1,AK319="E",AU319&gt;=0.75),HealthBY*P319,IF(AND(AT319=1,AK319="E",AU319&gt;=0.5,AW319=1),PTHealthBY,IF(AND(AT319=1,AK319="E",AU319&gt;=0.5),PTHealthBY*P319,0))))</f>
        <v>0</v>
      </c>
      <c r="BO319" s="462">
        <f>IF(AND(AT319=3,AK319="E",AV319&gt;=0.75,AW319=1),HealthBY,IF(AND(AT319=3,AK319="E",AV319&gt;=0.75),HealthBY*P319,IF(AND(AT319=3,AK319="E",AV319&gt;=0.5,AW319=1),PTHealthBY,IF(AND(AT319=3,AK319="E",AV319&gt;=0.5),PTHealthBY*P319,0))))</f>
        <v>0</v>
      </c>
      <c r="BP319" s="462">
        <f>IF(AND(AT319&lt;&gt;0,(AX319+BA319)&gt;=MAXSSDIBY),SSDIBY*MAXSSDIBY*P319,IF(AT319&lt;&gt;0,SSDIBY*W319,0))</f>
        <v>0</v>
      </c>
      <c r="BQ319" s="462">
        <f>IF(AT319&lt;&gt;0,SSHIBY*W319,0)</f>
        <v>0</v>
      </c>
      <c r="BR319" s="462">
        <f>IF(AND(AT319&lt;&gt;0,AN319&lt;&gt;"NE"),VLOOKUP(AN319,Retirement_Rates,4,FALSE)*W319,0)</f>
        <v>0</v>
      </c>
      <c r="BS319" s="462">
        <f>IF(AND(AT319&lt;&gt;0,AJ319&lt;&gt;"PF"),LifeBY*W319,0)</f>
        <v>0</v>
      </c>
      <c r="BT319" s="462">
        <f>IF(AND(AT319&lt;&gt;0,AM319="Y"),UIBY*W319,0)</f>
        <v>0</v>
      </c>
      <c r="BU319" s="462">
        <f>IF(AND(AT319&lt;&gt;0,N319&lt;&gt;"NR"),DHRBY*W319,0)</f>
        <v>0</v>
      </c>
      <c r="BV319" s="462">
        <f>IF(AT319&lt;&gt;0,WCBY*W319,0)</f>
        <v>0</v>
      </c>
      <c r="BW319" s="462">
        <f>IF(OR(AND(AT319&lt;&gt;0,AJ319&lt;&gt;"PF",AN319&lt;&gt;"NE",AG319&lt;&gt;"A"),AND(AL319="E",OR(AT319=1,AT319=3))),SickBY*W319,0)</f>
        <v>0</v>
      </c>
      <c r="BX319" s="462">
        <f t="shared" si="75"/>
        <v>0</v>
      </c>
      <c r="BY319" s="462">
        <f t="shared" si="76"/>
        <v>0</v>
      </c>
      <c r="BZ319" s="462">
        <f t="shared" si="77"/>
        <v>0</v>
      </c>
      <c r="CA319" s="462">
        <f t="shared" si="78"/>
        <v>0</v>
      </c>
      <c r="CB319" s="462">
        <f t="shared" si="79"/>
        <v>0</v>
      </c>
      <c r="CC319" s="462">
        <f>IF(AT319&lt;&gt;0,SSHICHG*Y319,0)</f>
        <v>0</v>
      </c>
      <c r="CD319" s="462">
        <f>IF(AND(AT319&lt;&gt;0,AN319&lt;&gt;"NE"),VLOOKUP(AN319,Retirement_Rates,5,FALSE)*Y319,0)</f>
        <v>0</v>
      </c>
      <c r="CE319" s="462">
        <f>IF(AND(AT319&lt;&gt;0,AJ319&lt;&gt;"PF"),LifeCHG*Y319,0)</f>
        <v>0</v>
      </c>
      <c r="CF319" s="462">
        <f>IF(AND(AT319&lt;&gt;0,AM319="Y"),UICHG*Y319,0)</f>
        <v>0</v>
      </c>
      <c r="CG319" s="462">
        <f>IF(AND(AT319&lt;&gt;0,N319&lt;&gt;"NR"),DHRCHG*Y319,0)</f>
        <v>0</v>
      </c>
      <c r="CH319" s="462">
        <f>IF(AT319&lt;&gt;0,WCCHG*Y319,0)</f>
        <v>0</v>
      </c>
      <c r="CI319" s="462">
        <f>IF(OR(AND(AT319&lt;&gt;0,AJ319&lt;&gt;"PF",AN319&lt;&gt;"NE",AG319&lt;&gt;"A"),AND(AL319="E",OR(AT319=1,AT319=3))),SickCHG*Y319,0)</f>
        <v>0</v>
      </c>
      <c r="CJ319" s="462">
        <f t="shared" si="80"/>
        <v>0</v>
      </c>
      <c r="CK319" s="462" t="str">
        <f t="shared" si="81"/>
        <v/>
      </c>
      <c r="CL319" s="462">
        <f t="shared" si="82"/>
        <v>37322.339999999997</v>
      </c>
      <c r="CM319" s="462">
        <f t="shared" si="83"/>
        <v>14138.72</v>
      </c>
      <c r="CN319" s="462" t="str">
        <f t="shared" si="84"/>
        <v>0250-04</v>
      </c>
    </row>
    <row r="320" spans="1:92" ht="15" thickBot="1" x14ac:dyDescent="0.35">
      <c r="A320" s="376" t="s">
        <v>161</v>
      </c>
      <c r="B320" s="376" t="s">
        <v>162</v>
      </c>
      <c r="C320" s="376" t="s">
        <v>991</v>
      </c>
      <c r="D320" s="376" t="s">
        <v>981</v>
      </c>
      <c r="E320" s="376" t="s">
        <v>421</v>
      </c>
      <c r="F320" s="382" t="s">
        <v>422</v>
      </c>
      <c r="G320" s="376" t="s">
        <v>951</v>
      </c>
      <c r="H320" s="378"/>
      <c r="I320" s="378"/>
      <c r="J320" s="376" t="s">
        <v>229</v>
      </c>
      <c r="K320" s="376" t="s">
        <v>982</v>
      </c>
      <c r="L320" s="376" t="s">
        <v>240</v>
      </c>
      <c r="M320" s="376" t="s">
        <v>171</v>
      </c>
      <c r="N320" s="376" t="s">
        <v>172</v>
      </c>
      <c r="O320" s="379">
        <v>1</v>
      </c>
      <c r="P320" s="460">
        <v>0.25</v>
      </c>
      <c r="Q320" s="460">
        <v>0.25</v>
      </c>
      <c r="R320" s="380">
        <v>80</v>
      </c>
      <c r="S320" s="460">
        <v>0.25</v>
      </c>
      <c r="T320" s="380">
        <v>11520.71</v>
      </c>
      <c r="U320" s="380">
        <v>0</v>
      </c>
      <c r="V320" s="380">
        <v>5626.23</v>
      </c>
      <c r="W320" s="380">
        <v>11445.2</v>
      </c>
      <c r="X320" s="380">
        <v>5636.1</v>
      </c>
      <c r="Y320" s="380">
        <v>11445.2</v>
      </c>
      <c r="Z320" s="380">
        <v>5669.29</v>
      </c>
      <c r="AA320" s="376" t="s">
        <v>992</v>
      </c>
      <c r="AB320" s="376" t="s">
        <v>993</v>
      </c>
      <c r="AC320" s="376" t="s">
        <v>561</v>
      </c>
      <c r="AD320" s="376" t="s">
        <v>176</v>
      </c>
      <c r="AE320" s="376" t="s">
        <v>982</v>
      </c>
      <c r="AF320" s="376" t="s">
        <v>244</v>
      </c>
      <c r="AG320" s="376" t="s">
        <v>178</v>
      </c>
      <c r="AH320" s="381">
        <v>22.01</v>
      </c>
      <c r="AI320" s="381">
        <v>3571.8</v>
      </c>
      <c r="AJ320" s="376" t="s">
        <v>179</v>
      </c>
      <c r="AK320" s="376" t="s">
        <v>180</v>
      </c>
      <c r="AL320" s="376" t="s">
        <v>181</v>
      </c>
      <c r="AM320" s="376" t="s">
        <v>182</v>
      </c>
      <c r="AN320" s="376" t="s">
        <v>68</v>
      </c>
      <c r="AO320" s="379">
        <v>80</v>
      </c>
      <c r="AP320" s="460">
        <v>1</v>
      </c>
      <c r="AQ320" s="460">
        <v>0.25</v>
      </c>
      <c r="AR320" s="458" t="s">
        <v>183</v>
      </c>
      <c r="AS320" s="462">
        <f t="shared" si="68"/>
        <v>0.25</v>
      </c>
      <c r="AT320">
        <f t="shared" si="69"/>
        <v>1</v>
      </c>
      <c r="AU320" s="462">
        <f>IF(AT320=0,"",IF(AND(AT320=1,M320="F",SUMIF(C2:C391,C320,AS2:AS391)&lt;=1),SUMIF(C2:C391,C320,AS2:AS391),IF(AND(AT320=1,M320="F",SUMIF(C2:C391,C320,AS2:AS391)&gt;1),1,"")))</f>
        <v>1</v>
      </c>
      <c r="AV320" s="462" t="str">
        <f>IF(AT320=0,"",IF(AND(AT320=3,M320="F",SUMIF(C2:C391,C320,AS2:AS391)&lt;=1),SUMIF(C2:C391,C320,AS2:AS391),IF(AND(AT320=3,M320="F",SUMIF(C2:C391,C320,AS2:AS391)&gt;1),1,"")))</f>
        <v/>
      </c>
      <c r="AW320" s="462">
        <f>SUMIF(C2:C391,C320,O2:O391)</f>
        <v>2</v>
      </c>
      <c r="AX320" s="462">
        <f>IF(AND(M320="F",AS320&lt;&gt;0),SUMIF(C2:C391,C320,W2:W391),0)</f>
        <v>45780.800000000003</v>
      </c>
      <c r="AY320" s="462">
        <f t="shared" si="70"/>
        <v>11445.2</v>
      </c>
      <c r="AZ320" s="462" t="str">
        <f t="shared" si="71"/>
        <v/>
      </c>
      <c r="BA320" s="462">
        <f t="shared" si="72"/>
        <v>0</v>
      </c>
      <c r="BB320" s="462">
        <f>IF(AND(AT320=1,AK320="E",AU320&gt;=0.75,AW320=1),Health,IF(AND(AT320=1,AK320="E",AU320&gt;=0.75),Health*P320,IF(AND(AT320=1,AK320="E",AU320&gt;=0.5,AW320=1),PTHealth,IF(AND(AT320=1,AK320="E",AU320&gt;=0.5),PTHealth*P320,0))))</f>
        <v>2912.5</v>
      </c>
      <c r="BC320" s="462">
        <f>IF(AND(AT320=3,AK320="E",AV320&gt;=0.75,AW320=1),Health,IF(AND(AT320=3,AK320="E",AV320&gt;=0.75),Health*P320,IF(AND(AT320=3,AK320="E",AV320&gt;=0.5,AW320=1),PTHealth,IF(AND(AT320=3,AK320="E",AV320&gt;=0.5),PTHealth*P320,0))))</f>
        <v>0</v>
      </c>
      <c r="BD320" s="462">
        <f>IF(AND(AT320&lt;&gt;0,AX320&gt;=MAXSSDI),SSDI*MAXSSDI*P320,IF(AT320&lt;&gt;0,SSDI*W320,0))</f>
        <v>709.60239999999999</v>
      </c>
      <c r="BE320" s="462">
        <f>IF(AT320&lt;&gt;0,SSHI*W320,0)</f>
        <v>165.95540000000003</v>
      </c>
      <c r="BF320" s="462">
        <f>IF(AND(AT320&lt;&gt;0,AN320&lt;&gt;"NE"),VLOOKUP(AN320,Retirement_Rates,3,FALSE)*W320,0)</f>
        <v>1366.5568800000001</v>
      </c>
      <c r="BG320" s="462">
        <f>IF(AND(AT320&lt;&gt;0,AJ320&lt;&gt;"PF"),Life*W320,0)</f>
        <v>82.519892000000013</v>
      </c>
      <c r="BH320" s="462">
        <f>IF(AND(AT320&lt;&gt;0,AM320="Y"),UI*W320,0)</f>
        <v>56.081479999999999</v>
      </c>
      <c r="BI320" s="462">
        <f>IF(AND(AT320&lt;&gt;0,N320&lt;&gt;"NR"),DHR*W320,0)</f>
        <v>35.022311999999999</v>
      </c>
      <c r="BJ320" s="462">
        <f>IF(AT320&lt;&gt;0,WC*W320,0)</f>
        <v>307.87588</v>
      </c>
      <c r="BK320" s="462">
        <f>IF(OR(AND(AT320&lt;&gt;0,AJ320&lt;&gt;"PF",AN320&lt;&gt;"NE",AG320&lt;&gt;"A"),AND(AL320="E",OR(AT320=1,AT320=3))),Sick*W320,0)</f>
        <v>0</v>
      </c>
      <c r="BL320" s="462">
        <f t="shared" si="73"/>
        <v>2723.6142439999999</v>
      </c>
      <c r="BM320" s="462">
        <f t="shared" si="74"/>
        <v>0</v>
      </c>
      <c r="BN320" s="462">
        <f>IF(AND(AT320=1,AK320="E",AU320&gt;=0.75,AW320=1),HealthBY,IF(AND(AT320=1,AK320="E",AU320&gt;=0.75),HealthBY*P320,IF(AND(AT320=1,AK320="E",AU320&gt;=0.5,AW320=1),PTHealthBY,IF(AND(AT320=1,AK320="E",AU320&gt;=0.5),PTHealthBY*P320,0))))</f>
        <v>2912.5</v>
      </c>
      <c r="BO320" s="462">
        <f>IF(AND(AT320=3,AK320="E",AV320&gt;=0.75,AW320=1),HealthBY,IF(AND(AT320=3,AK320="E",AV320&gt;=0.75),HealthBY*P320,IF(AND(AT320=3,AK320="E",AV320&gt;=0.5,AW320=1),PTHealthBY,IF(AND(AT320=3,AK320="E",AV320&gt;=0.5),PTHealthBY*P320,0))))</f>
        <v>0</v>
      </c>
      <c r="BP320" s="462">
        <f>IF(AND(AT320&lt;&gt;0,(AX320+BA320)&gt;=MAXSSDIBY),SSDIBY*MAXSSDIBY*P320,IF(AT320&lt;&gt;0,SSDIBY*W320,0))</f>
        <v>709.60239999999999</v>
      </c>
      <c r="BQ320" s="462">
        <f>IF(AT320&lt;&gt;0,SSHIBY*W320,0)</f>
        <v>165.95540000000003</v>
      </c>
      <c r="BR320" s="462">
        <f>IF(AND(AT320&lt;&gt;0,AN320&lt;&gt;"NE"),VLOOKUP(AN320,Retirement_Rates,4,FALSE)*W320,0)</f>
        <v>1366.5568800000001</v>
      </c>
      <c r="BS320" s="462">
        <f>IF(AND(AT320&lt;&gt;0,AJ320&lt;&gt;"PF"),LifeBY*W320,0)</f>
        <v>82.519892000000013</v>
      </c>
      <c r="BT320" s="462">
        <f>IF(AND(AT320&lt;&gt;0,AM320="Y"),UIBY*W320,0)</f>
        <v>0</v>
      </c>
      <c r="BU320" s="462">
        <f>IF(AND(AT320&lt;&gt;0,N320&lt;&gt;"NR"),DHRBY*W320,0)</f>
        <v>35.022311999999999</v>
      </c>
      <c r="BV320" s="462">
        <f>IF(AT320&lt;&gt;0,WCBY*W320,0)</f>
        <v>397.14844000000005</v>
      </c>
      <c r="BW320" s="462">
        <f>IF(OR(AND(AT320&lt;&gt;0,AJ320&lt;&gt;"PF",AN320&lt;&gt;"NE",AG320&lt;&gt;"A"),AND(AL320="E",OR(AT320=1,AT320=3))),SickBY*W320,0)</f>
        <v>0</v>
      </c>
      <c r="BX320" s="462">
        <f t="shared" si="75"/>
        <v>2756.8053239999999</v>
      </c>
      <c r="BY320" s="462">
        <f t="shared" si="76"/>
        <v>0</v>
      </c>
      <c r="BZ320" s="462">
        <f t="shared" si="77"/>
        <v>0</v>
      </c>
      <c r="CA320" s="462">
        <f t="shared" si="78"/>
        <v>0</v>
      </c>
      <c r="CB320" s="462">
        <f t="shared" si="79"/>
        <v>0</v>
      </c>
      <c r="CC320" s="462">
        <f>IF(AT320&lt;&gt;0,SSHICHG*Y320,0)</f>
        <v>0</v>
      </c>
      <c r="CD320" s="462">
        <f>IF(AND(AT320&lt;&gt;0,AN320&lt;&gt;"NE"),VLOOKUP(AN320,Retirement_Rates,5,FALSE)*Y320,0)</f>
        <v>0</v>
      </c>
      <c r="CE320" s="462">
        <f>IF(AND(AT320&lt;&gt;0,AJ320&lt;&gt;"PF"),LifeCHG*Y320,0)</f>
        <v>0</v>
      </c>
      <c r="CF320" s="462">
        <f>IF(AND(AT320&lt;&gt;0,AM320="Y"),UICHG*Y320,0)</f>
        <v>-56.081479999999999</v>
      </c>
      <c r="CG320" s="462">
        <f>IF(AND(AT320&lt;&gt;0,N320&lt;&gt;"NR"),DHRCHG*Y320,0)</f>
        <v>0</v>
      </c>
      <c r="CH320" s="462">
        <f>IF(AT320&lt;&gt;0,WCCHG*Y320,0)</f>
        <v>89.272560000000027</v>
      </c>
      <c r="CI320" s="462">
        <f>IF(OR(AND(AT320&lt;&gt;0,AJ320&lt;&gt;"PF",AN320&lt;&gt;"NE",AG320&lt;&gt;"A"),AND(AL320="E",OR(AT320=1,AT320=3))),SickCHG*Y320,0)</f>
        <v>0</v>
      </c>
      <c r="CJ320" s="462">
        <f t="shared" si="80"/>
        <v>33.191080000000028</v>
      </c>
      <c r="CK320" s="462" t="str">
        <f t="shared" si="81"/>
        <v/>
      </c>
      <c r="CL320" s="462" t="str">
        <f t="shared" si="82"/>
        <v/>
      </c>
      <c r="CM320" s="462" t="str">
        <f t="shared" si="83"/>
        <v/>
      </c>
      <c r="CN320" s="462" t="str">
        <f t="shared" si="84"/>
        <v>0250-04</v>
      </c>
    </row>
    <row r="321" spans="1:92" ht="15" thickBot="1" x14ac:dyDescent="0.35">
      <c r="A321" s="376" t="s">
        <v>161</v>
      </c>
      <c r="B321" s="376" t="s">
        <v>162</v>
      </c>
      <c r="C321" s="376" t="s">
        <v>994</v>
      </c>
      <c r="D321" s="376" t="s">
        <v>221</v>
      </c>
      <c r="E321" s="376" t="s">
        <v>421</v>
      </c>
      <c r="F321" s="382" t="s">
        <v>422</v>
      </c>
      <c r="G321" s="376" t="s">
        <v>951</v>
      </c>
      <c r="H321" s="378"/>
      <c r="I321" s="378"/>
      <c r="J321" s="376" t="s">
        <v>168</v>
      </c>
      <c r="K321" s="376" t="s">
        <v>222</v>
      </c>
      <c r="L321" s="376" t="s">
        <v>166</v>
      </c>
      <c r="M321" s="376" t="s">
        <v>225</v>
      </c>
      <c r="N321" s="376" t="s">
        <v>223</v>
      </c>
      <c r="O321" s="379">
        <v>0</v>
      </c>
      <c r="P321" s="460">
        <v>1</v>
      </c>
      <c r="Q321" s="460">
        <v>0</v>
      </c>
      <c r="R321" s="380">
        <v>0</v>
      </c>
      <c r="S321" s="460">
        <v>0</v>
      </c>
      <c r="T321" s="380">
        <v>0</v>
      </c>
      <c r="U321" s="380">
        <v>0</v>
      </c>
      <c r="V321" s="380">
        <v>0</v>
      </c>
      <c r="W321" s="380">
        <v>0</v>
      </c>
      <c r="X321" s="380">
        <v>0</v>
      </c>
      <c r="Y321" s="380">
        <v>0</v>
      </c>
      <c r="Z321" s="380">
        <v>0</v>
      </c>
      <c r="AA321" s="378"/>
      <c r="AB321" s="376" t="s">
        <v>45</v>
      </c>
      <c r="AC321" s="376" t="s">
        <v>45</v>
      </c>
      <c r="AD321" s="378"/>
      <c r="AE321" s="378"/>
      <c r="AF321" s="378"/>
      <c r="AG321" s="378"/>
      <c r="AH321" s="379">
        <v>0</v>
      </c>
      <c r="AI321" s="379">
        <v>0</v>
      </c>
      <c r="AJ321" s="378"/>
      <c r="AK321" s="378"/>
      <c r="AL321" s="376" t="s">
        <v>181</v>
      </c>
      <c r="AM321" s="378"/>
      <c r="AN321" s="378"/>
      <c r="AO321" s="379">
        <v>0</v>
      </c>
      <c r="AP321" s="460">
        <v>0</v>
      </c>
      <c r="AQ321" s="460">
        <v>0</v>
      </c>
      <c r="AR321" s="459"/>
      <c r="AS321" s="462">
        <f t="shared" si="68"/>
        <v>0</v>
      </c>
      <c r="AT321">
        <f t="shared" si="69"/>
        <v>0</v>
      </c>
      <c r="AU321" s="462" t="str">
        <f>IF(AT321=0,"",IF(AND(AT321=1,M321="F",SUMIF(C2:C391,C321,AS2:AS391)&lt;=1),SUMIF(C2:C391,C321,AS2:AS391),IF(AND(AT321=1,M321="F",SUMIF(C2:C391,C321,AS2:AS391)&gt;1),1,"")))</f>
        <v/>
      </c>
      <c r="AV321" s="462" t="str">
        <f>IF(AT321=0,"",IF(AND(AT321=3,M321="F",SUMIF(C2:C391,C321,AS2:AS391)&lt;=1),SUMIF(C2:C391,C321,AS2:AS391),IF(AND(AT321=3,M321="F",SUMIF(C2:C391,C321,AS2:AS391)&gt;1),1,"")))</f>
        <v/>
      </c>
      <c r="AW321" s="462">
        <f>SUMIF(C2:C391,C321,O2:O391)</f>
        <v>0</v>
      </c>
      <c r="AX321" s="462">
        <f>IF(AND(M321="F",AS321&lt;&gt;0),SUMIF(C2:C391,C321,W2:W391),0)</f>
        <v>0</v>
      </c>
      <c r="AY321" s="462" t="str">
        <f t="shared" si="70"/>
        <v/>
      </c>
      <c r="AZ321" s="462" t="str">
        <f t="shared" si="71"/>
        <v/>
      </c>
      <c r="BA321" s="462">
        <f t="shared" si="72"/>
        <v>0</v>
      </c>
      <c r="BB321" s="462">
        <f>IF(AND(AT321=1,AK321="E",AU321&gt;=0.75,AW321=1),Health,IF(AND(AT321=1,AK321="E",AU321&gt;=0.75),Health*P321,IF(AND(AT321=1,AK321="E",AU321&gt;=0.5,AW321=1),PTHealth,IF(AND(AT321=1,AK321="E",AU321&gt;=0.5),PTHealth*P321,0))))</f>
        <v>0</v>
      </c>
      <c r="BC321" s="462">
        <f>IF(AND(AT321=3,AK321="E",AV321&gt;=0.75,AW321=1),Health,IF(AND(AT321=3,AK321="E",AV321&gt;=0.75),Health*P321,IF(AND(AT321=3,AK321="E",AV321&gt;=0.5,AW321=1),PTHealth,IF(AND(AT321=3,AK321="E",AV321&gt;=0.5),PTHealth*P321,0))))</f>
        <v>0</v>
      </c>
      <c r="BD321" s="462">
        <f>IF(AND(AT321&lt;&gt;0,AX321&gt;=MAXSSDI),SSDI*MAXSSDI*P321,IF(AT321&lt;&gt;0,SSDI*W321,0))</f>
        <v>0</v>
      </c>
      <c r="BE321" s="462">
        <f>IF(AT321&lt;&gt;0,SSHI*W321,0)</f>
        <v>0</v>
      </c>
      <c r="BF321" s="462">
        <f>IF(AND(AT321&lt;&gt;0,AN321&lt;&gt;"NE"),VLOOKUP(AN321,Retirement_Rates,3,FALSE)*W321,0)</f>
        <v>0</v>
      </c>
      <c r="BG321" s="462">
        <f>IF(AND(AT321&lt;&gt;0,AJ321&lt;&gt;"PF"),Life*W321,0)</f>
        <v>0</v>
      </c>
      <c r="BH321" s="462">
        <f>IF(AND(AT321&lt;&gt;0,AM321="Y"),UI*W321,0)</f>
        <v>0</v>
      </c>
      <c r="BI321" s="462">
        <f>IF(AND(AT321&lt;&gt;0,N321&lt;&gt;"NR"),DHR*W321,0)</f>
        <v>0</v>
      </c>
      <c r="BJ321" s="462">
        <f>IF(AT321&lt;&gt;0,WC*W321,0)</f>
        <v>0</v>
      </c>
      <c r="BK321" s="462">
        <f>IF(OR(AND(AT321&lt;&gt;0,AJ321&lt;&gt;"PF",AN321&lt;&gt;"NE",AG321&lt;&gt;"A"),AND(AL321="E",OR(AT321=1,AT321=3))),Sick*W321,0)</f>
        <v>0</v>
      </c>
      <c r="BL321" s="462">
        <f t="shared" si="73"/>
        <v>0</v>
      </c>
      <c r="BM321" s="462">
        <f t="shared" si="74"/>
        <v>0</v>
      </c>
      <c r="BN321" s="462">
        <f>IF(AND(AT321=1,AK321="E",AU321&gt;=0.75,AW321=1),HealthBY,IF(AND(AT321=1,AK321="E",AU321&gt;=0.75),HealthBY*P321,IF(AND(AT321=1,AK321="E",AU321&gt;=0.5,AW321=1),PTHealthBY,IF(AND(AT321=1,AK321="E",AU321&gt;=0.5),PTHealthBY*P321,0))))</f>
        <v>0</v>
      </c>
      <c r="BO321" s="462">
        <f>IF(AND(AT321=3,AK321="E",AV321&gt;=0.75,AW321=1),HealthBY,IF(AND(AT321=3,AK321="E",AV321&gt;=0.75),HealthBY*P321,IF(AND(AT321=3,AK321="E",AV321&gt;=0.5,AW321=1),PTHealthBY,IF(AND(AT321=3,AK321="E",AV321&gt;=0.5),PTHealthBY*P321,0))))</f>
        <v>0</v>
      </c>
      <c r="BP321" s="462">
        <f>IF(AND(AT321&lt;&gt;0,(AX321+BA321)&gt;=MAXSSDIBY),SSDIBY*MAXSSDIBY*P321,IF(AT321&lt;&gt;0,SSDIBY*W321,0))</f>
        <v>0</v>
      </c>
      <c r="BQ321" s="462">
        <f>IF(AT321&lt;&gt;0,SSHIBY*W321,0)</f>
        <v>0</v>
      </c>
      <c r="BR321" s="462">
        <f>IF(AND(AT321&lt;&gt;0,AN321&lt;&gt;"NE"),VLOOKUP(AN321,Retirement_Rates,4,FALSE)*W321,0)</f>
        <v>0</v>
      </c>
      <c r="BS321" s="462">
        <f>IF(AND(AT321&lt;&gt;0,AJ321&lt;&gt;"PF"),LifeBY*W321,0)</f>
        <v>0</v>
      </c>
      <c r="BT321" s="462">
        <f>IF(AND(AT321&lt;&gt;0,AM321="Y"),UIBY*W321,0)</f>
        <v>0</v>
      </c>
      <c r="BU321" s="462">
        <f>IF(AND(AT321&lt;&gt;0,N321&lt;&gt;"NR"),DHRBY*W321,0)</f>
        <v>0</v>
      </c>
      <c r="BV321" s="462">
        <f>IF(AT321&lt;&gt;0,WCBY*W321,0)</f>
        <v>0</v>
      </c>
      <c r="BW321" s="462">
        <f>IF(OR(AND(AT321&lt;&gt;0,AJ321&lt;&gt;"PF",AN321&lt;&gt;"NE",AG321&lt;&gt;"A"),AND(AL321="E",OR(AT321=1,AT321=3))),SickBY*W321,0)</f>
        <v>0</v>
      </c>
      <c r="BX321" s="462">
        <f t="shared" si="75"/>
        <v>0</v>
      </c>
      <c r="BY321" s="462">
        <f t="shared" si="76"/>
        <v>0</v>
      </c>
      <c r="BZ321" s="462">
        <f t="shared" si="77"/>
        <v>0</v>
      </c>
      <c r="CA321" s="462">
        <f t="shared" si="78"/>
        <v>0</v>
      </c>
      <c r="CB321" s="462">
        <f t="shared" si="79"/>
        <v>0</v>
      </c>
      <c r="CC321" s="462">
        <f>IF(AT321&lt;&gt;0,SSHICHG*Y321,0)</f>
        <v>0</v>
      </c>
      <c r="CD321" s="462">
        <f>IF(AND(AT321&lt;&gt;0,AN321&lt;&gt;"NE"),VLOOKUP(AN321,Retirement_Rates,5,FALSE)*Y321,0)</f>
        <v>0</v>
      </c>
      <c r="CE321" s="462">
        <f>IF(AND(AT321&lt;&gt;0,AJ321&lt;&gt;"PF"),LifeCHG*Y321,0)</f>
        <v>0</v>
      </c>
      <c r="CF321" s="462">
        <f>IF(AND(AT321&lt;&gt;0,AM321="Y"),UICHG*Y321,0)</f>
        <v>0</v>
      </c>
      <c r="CG321" s="462">
        <f>IF(AND(AT321&lt;&gt;0,N321&lt;&gt;"NR"),DHRCHG*Y321,0)</f>
        <v>0</v>
      </c>
      <c r="CH321" s="462">
        <f>IF(AT321&lt;&gt;0,WCCHG*Y321,0)</f>
        <v>0</v>
      </c>
      <c r="CI321" s="462">
        <f>IF(OR(AND(AT321&lt;&gt;0,AJ321&lt;&gt;"PF",AN321&lt;&gt;"NE",AG321&lt;&gt;"A"),AND(AL321="E",OR(AT321=1,AT321=3))),SickCHG*Y321,0)</f>
        <v>0</v>
      </c>
      <c r="CJ321" s="462">
        <f t="shared" si="80"/>
        <v>0</v>
      </c>
      <c r="CK321" s="462" t="str">
        <f t="shared" si="81"/>
        <v/>
      </c>
      <c r="CL321" s="462">
        <f t="shared" si="82"/>
        <v>0</v>
      </c>
      <c r="CM321" s="462">
        <f t="shared" si="83"/>
        <v>0</v>
      </c>
      <c r="CN321" s="462" t="str">
        <f t="shared" si="84"/>
        <v>0250-04</v>
      </c>
    </row>
    <row r="322" spans="1:92" ht="15" thickBot="1" x14ac:dyDescent="0.35">
      <c r="A322" s="376" t="s">
        <v>161</v>
      </c>
      <c r="B322" s="376" t="s">
        <v>162</v>
      </c>
      <c r="C322" s="376" t="s">
        <v>848</v>
      </c>
      <c r="D322" s="376" t="s">
        <v>185</v>
      </c>
      <c r="E322" s="376" t="s">
        <v>421</v>
      </c>
      <c r="F322" s="382" t="s">
        <v>424</v>
      </c>
      <c r="G322" s="376" t="s">
        <v>951</v>
      </c>
      <c r="H322" s="378"/>
      <c r="I322" s="378"/>
      <c r="J322" s="376" t="s">
        <v>193</v>
      </c>
      <c r="K322" s="376" t="s">
        <v>186</v>
      </c>
      <c r="L322" s="376" t="s">
        <v>178</v>
      </c>
      <c r="M322" s="376" t="s">
        <v>171</v>
      </c>
      <c r="N322" s="376" t="s">
        <v>172</v>
      </c>
      <c r="O322" s="379">
        <v>1</v>
      </c>
      <c r="P322" s="460">
        <v>0.5</v>
      </c>
      <c r="Q322" s="460">
        <v>0.5</v>
      </c>
      <c r="R322" s="380">
        <v>80</v>
      </c>
      <c r="S322" s="460">
        <v>0.5</v>
      </c>
      <c r="T322" s="380">
        <v>12244.51</v>
      </c>
      <c r="U322" s="380">
        <v>0</v>
      </c>
      <c r="V322" s="380">
        <v>7368.12</v>
      </c>
      <c r="W322" s="380">
        <v>16286.4</v>
      </c>
      <c r="X322" s="380">
        <v>9700.65</v>
      </c>
      <c r="Y322" s="380">
        <v>16286.4</v>
      </c>
      <c r="Z322" s="380">
        <v>9747.89</v>
      </c>
      <c r="AA322" s="376" t="s">
        <v>849</v>
      </c>
      <c r="AB322" s="376" t="s">
        <v>850</v>
      </c>
      <c r="AC322" s="376" t="s">
        <v>851</v>
      </c>
      <c r="AD322" s="376" t="s">
        <v>176</v>
      </c>
      <c r="AE322" s="376" t="s">
        <v>186</v>
      </c>
      <c r="AF322" s="376" t="s">
        <v>190</v>
      </c>
      <c r="AG322" s="376" t="s">
        <v>178</v>
      </c>
      <c r="AH322" s="381">
        <v>15.66</v>
      </c>
      <c r="AI322" s="379">
        <v>1672</v>
      </c>
      <c r="AJ322" s="376" t="s">
        <v>179</v>
      </c>
      <c r="AK322" s="376" t="s">
        <v>180</v>
      </c>
      <c r="AL322" s="376" t="s">
        <v>181</v>
      </c>
      <c r="AM322" s="376" t="s">
        <v>182</v>
      </c>
      <c r="AN322" s="376" t="s">
        <v>68</v>
      </c>
      <c r="AO322" s="379">
        <v>80</v>
      </c>
      <c r="AP322" s="460">
        <v>1</v>
      </c>
      <c r="AQ322" s="460">
        <v>0.5</v>
      </c>
      <c r="AR322" s="458" t="s">
        <v>183</v>
      </c>
      <c r="AS322" s="462">
        <f t="shared" si="68"/>
        <v>0.5</v>
      </c>
      <c r="AT322">
        <f t="shared" si="69"/>
        <v>1</v>
      </c>
      <c r="AU322" s="462">
        <f>IF(AT322=0,"",IF(AND(AT322=1,M322="F",SUMIF(C2:C391,C322,AS2:AS391)&lt;=1),SUMIF(C2:C391,C322,AS2:AS391),IF(AND(AT322=1,M322="F",SUMIF(C2:C391,C322,AS2:AS391)&gt;1),1,"")))</f>
        <v>1</v>
      </c>
      <c r="AV322" s="462" t="str">
        <f>IF(AT322=0,"",IF(AND(AT322=3,M322="F",SUMIF(C2:C391,C322,AS2:AS391)&lt;=1),SUMIF(C2:C391,C322,AS2:AS391),IF(AND(AT322=3,M322="F",SUMIF(C2:C391,C322,AS2:AS391)&gt;1),1,"")))</f>
        <v/>
      </c>
      <c r="AW322" s="462">
        <f>SUMIF(C2:C391,C322,O2:O391)</f>
        <v>2</v>
      </c>
      <c r="AX322" s="462">
        <f>IF(AND(M322="F",AS322&lt;&gt;0),SUMIF(C2:C391,C322,W2:W391),0)</f>
        <v>32572.799999999999</v>
      </c>
      <c r="AY322" s="462">
        <f t="shared" si="70"/>
        <v>16286.4</v>
      </c>
      <c r="AZ322" s="462" t="str">
        <f t="shared" si="71"/>
        <v/>
      </c>
      <c r="BA322" s="462">
        <f t="shared" si="72"/>
        <v>0</v>
      </c>
      <c r="BB322" s="462">
        <f>IF(AND(AT322=1,AK322="E",AU322&gt;=0.75,AW322=1),Health,IF(AND(AT322=1,AK322="E",AU322&gt;=0.75),Health*P322,IF(AND(AT322=1,AK322="E",AU322&gt;=0.5,AW322=1),PTHealth,IF(AND(AT322=1,AK322="E",AU322&gt;=0.5),PTHealth*P322,0))))</f>
        <v>5825</v>
      </c>
      <c r="BC322" s="462">
        <f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462">
        <f>IF(AND(AT322&lt;&gt;0,AX322&gt;=MAXSSDI),SSDI*MAXSSDI*P322,IF(AT322&lt;&gt;0,SSDI*W322,0))</f>
        <v>1009.7568</v>
      </c>
      <c r="BE322" s="462">
        <f>IF(AT322&lt;&gt;0,SSHI*W322,0)</f>
        <v>236.15280000000001</v>
      </c>
      <c r="BF322" s="462">
        <f>IF(AND(AT322&lt;&gt;0,AN322&lt;&gt;"NE"),VLOOKUP(AN322,Retirement_Rates,3,FALSE)*W322,0)</f>
        <v>1944.5961600000001</v>
      </c>
      <c r="BG322" s="462">
        <f>IF(AND(AT322&lt;&gt;0,AJ322&lt;&gt;"PF"),Life*W322,0)</f>
        <v>117.424944</v>
      </c>
      <c r="BH322" s="462">
        <f>IF(AND(AT322&lt;&gt;0,AM322="Y"),UI*W322,0)</f>
        <v>79.803359999999998</v>
      </c>
      <c r="BI322" s="462">
        <f>IF(AND(AT322&lt;&gt;0,N322&lt;&gt;"NR"),DHR*W322,0)</f>
        <v>49.836383999999995</v>
      </c>
      <c r="BJ322" s="462">
        <f>IF(AT322&lt;&gt;0,WC*W322,0)</f>
        <v>438.10415999999998</v>
      </c>
      <c r="BK322" s="462">
        <f>IF(OR(AND(AT322&lt;&gt;0,AJ322&lt;&gt;"PF",AN322&lt;&gt;"NE",AG322&lt;&gt;"A"),AND(AL322="E",OR(AT322=1,AT322=3))),Sick*W322,0)</f>
        <v>0</v>
      </c>
      <c r="BL322" s="462">
        <f t="shared" si="73"/>
        <v>3875.6746079999998</v>
      </c>
      <c r="BM322" s="462">
        <f t="shared" si="74"/>
        <v>0</v>
      </c>
      <c r="BN322" s="462">
        <f>IF(AND(AT322=1,AK322="E",AU322&gt;=0.75,AW322=1),HealthBY,IF(AND(AT322=1,AK322="E",AU322&gt;=0.75),HealthBY*P322,IF(AND(AT322=1,AK322="E",AU322&gt;=0.5,AW322=1),PTHealthBY,IF(AND(AT322=1,AK322="E",AU322&gt;=0.5),PTHealthBY*P322,0))))</f>
        <v>5825</v>
      </c>
      <c r="BO322" s="462">
        <f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462">
        <f>IF(AND(AT322&lt;&gt;0,(AX322+BA322)&gt;=MAXSSDIBY),SSDIBY*MAXSSDIBY*P322,IF(AT322&lt;&gt;0,SSDIBY*W322,0))</f>
        <v>1009.7568</v>
      </c>
      <c r="BQ322" s="462">
        <f>IF(AT322&lt;&gt;0,SSHIBY*W322,0)</f>
        <v>236.15280000000001</v>
      </c>
      <c r="BR322" s="462">
        <f>IF(AND(AT322&lt;&gt;0,AN322&lt;&gt;"NE"),VLOOKUP(AN322,Retirement_Rates,4,FALSE)*W322,0)</f>
        <v>1944.5961600000001</v>
      </c>
      <c r="BS322" s="462">
        <f>IF(AND(AT322&lt;&gt;0,AJ322&lt;&gt;"PF"),LifeBY*W322,0)</f>
        <v>117.424944</v>
      </c>
      <c r="BT322" s="462">
        <f>IF(AND(AT322&lt;&gt;0,AM322="Y"),UIBY*W322,0)</f>
        <v>0</v>
      </c>
      <c r="BU322" s="462">
        <f>IF(AND(AT322&lt;&gt;0,N322&lt;&gt;"NR"),DHRBY*W322,0)</f>
        <v>49.836383999999995</v>
      </c>
      <c r="BV322" s="462">
        <f>IF(AT322&lt;&gt;0,WCBY*W322,0)</f>
        <v>565.13808000000006</v>
      </c>
      <c r="BW322" s="462">
        <f>IF(OR(AND(AT322&lt;&gt;0,AJ322&lt;&gt;"PF",AN322&lt;&gt;"NE",AG322&lt;&gt;"A"),AND(AL322="E",OR(AT322=1,AT322=3))),SickBY*W322,0)</f>
        <v>0</v>
      </c>
      <c r="BX322" s="462">
        <f t="shared" si="75"/>
        <v>3922.9051680000002</v>
      </c>
      <c r="BY322" s="462">
        <f t="shared" si="76"/>
        <v>0</v>
      </c>
      <c r="BZ322" s="462">
        <f t="shared" si="77"/>
        <v>0</v>
      </c>
      <c r="CA322" s="462">
        <f t="shared" si="78"/>
        <v>0</v>
      </c>
      <c r="CB322" s="462">
        <f t="shared" si="79"/>
        <v>0</v>
      </c>
      <c r="CC322" s="462">
        <f>IF(AT322&lt;&gt;0,SSHICHG*Y322,0)</f>
        <v>0</v>
      </c>
      <c r="CD322" s="462">
        <f>IF(AND(AT322&lt;&gt;0,AN322&lt;&gt;"NE"),VLOOKUP(AN322,Retirement_Rates,5,FALSE)*Y322,0)</f>
        <v>0</v>
      </c>
      <c r="CE322" s="462">
        <f>IF(AND(AT322&lt;&gt;0,AJ322&lt;&gt;"PF"),LifeCHG*Y322,0)</f>
        <v>0</v>
      </c>
      <c r="CF322" s="462">
        <f>IF(AND(AT322&lt;&gt;0,AM322="Y"),UICHG*Y322,0)</f>
        <v>-79.803359999999998</v>
      </c>
      <c r="CG322" s="462">
        <f>IF(AND(AT322&lt;&gt;0,N322&lt;&gt;"NR"),DHRCHG*Y322,0)</f>
        <v>0</v>
      </c>
      <c r="CH322" s="462">
        <f>IF(AT322&lt;&gt;0,WCCHG*Y322,0)</f>
        <v>127.03392000000002</v>
      </c>
      <c r="CI322" s="462">
        <f>IF(OR(AND(AT322&lt;&gt;0,AJ322&lt;&gt;"PF",AN322&lt;&gt;"NE",AG322&lt;&gt;"A"),AND(AL322="E",OR(AT322=1,AT322=3))),SickCHG*Y322,0)</f>
        <v>0</v>
      </c>
      <c r="CJ322" s="462">
        <f t="shared" si="80"/>
        <v>47.230560000000025</v>
      </c>
      <c r="CK322" s="462" t="str">
        <f t="shared" si="81"/>
        <v/>
      </c>
      <c r="CL322" s="462" t="str">
        <f t="shared" si="82"/>
        <v/>
      </c>
      <c r="CM322" s="462" t="str">
        <f t="shared" si="83"/>
        <v/>
      </c>
      <c r="CN322" s="462" t="str">
        <f t="shared" si="84"/>
        <v>0250-05</v>
      </c>
    </row>
    <row r="323" spans="1:92" ht="15" thickBot="1" x14ac:dyDescent="0.35">
      <c r="A323" s="376" t="s">
        <v>161</v>
      </c>
      <c r="B323" s="376" t="s">
        <v>162</v>
      </c>
      <c r="C323" s="376" t="s">
        <v>865</v>
      </c>
      <c r="D323" s="376" t="s">
        <v>866</v>
      </c>
      <c r="E323" s="376" t="s">
        <v>421</v>
      </c>
      <c r="F323" s="382" t="s">
        <v>424</v>
      </c>
      <c r="G323" s="376" t="s">
        <v>951</v>
      </c>
      <c r="H323" s="378"/>
      <c r="I323" s="378"/>
      <c r="J323" s="376" t="s">
        <v>193</v>
      </c>
      <c r="K323" s="376" t="s">
        <v>867</v>
      </c>
      <c r="L323" s="376" t="s">
        <v>240</v>
      </c>
      <c r="M323" s="376" t="s">
        <v>171</v>
      </c>
      <c r="N323" s="376" t="s">
        <v>172</v>
      </c>
      <c r="O323" s="379">
        <v>1</v>
      </c>
      <c r="P323" s="460">
        <v>0.5</v>
      </c>
      <c r="Q323" s="460">
        <v>0.5</v>
      </c>
      <c r="R323" s="380">
        <v>80</v>
      </c>
      <c r="S323" s="460">
        <v>0.5</v>
      </c>
      <c r="T323" s="380">
        <v>23305.56</v>
      </c>
      <c r="U323" s="380">
        <v>820.67</v>
      </c>
      <c r="V323" s="380">
        <v>11205.18</v>
      </c>
      <c r="W323" s="380">
        <v>23077.599999999999</v>
      </c>
      <c r="X323" s="380">
        <v>11316.76</v>
      </c>
      <c r="Y323" s="380">
        <v>23077.599999999999</v>
      </c>
      <c r="Z323" s="380">
        <v>11383.69</v>
      </c>
      <c r="AA323" s="376" t="s">
        <v>868</v>
      </c>
      <c r="AB323" s="376" t="s">
        <v>435</v>
      </c>
      <c r="AC323" s="376" t="s">
        <v>198</v>
      </c>
      <c r="AD323" s="376" t="s">
        <v>176</v>
      </c>
      <c r="AE323" s="376" t="s">
        <v>867</v>
      </c>
      <c r="AF323" s="376" t="s">
        <v>244</v>
      </c>
      <c r="AG323" s="376" t="s">
        <v>178</v>
      </c>
      <c r="AH323" s="381">
        <v>22.19</v>
      </c>
      <c r="AI323" s="381">
        <v>12497.5</v>
      </c>
      <c r="AJ323" s="376" t="s">
        <v>179</v>
      </c>
      <c r="AK323" s="376" t="s">
        <v>180</v>
      </c>
      <c r="AL323" s="376" t="s">
        <v>181</v>
      </c>
      <c r="AM323" s="376" t="s">
        <v>182</v>
      </c>
      <c r="AN323" s="376" t="s">
        <v>68</v>
      </c>
      <c r="AO323" s="379">
        <v>80</v>
      </c>
      <c r="AP323" s="460">
        <v>1</v>
      </c>
      <c r="AQ323" s="460">
        <v>0.5</v>
      </c>
      <c r="AR323" s="458" t="s">
        <v>183</v>
      </c>
      <c r="AS323" s="462">
        <f t="shared" ref="AS323:AS386" si="85">IF(((AO323/80)*AP323*P323)&gt;1,AQ323,((AO323/80)*AP323*P323))</f>
        <v>0.5</v>
      </c>
      <c r="AT323">
        <f t="shared" ref="AT323:AT386" si="86">IF(AND(M323="F",N323&lt;&gt;"NG",AS323&lt;&gt;0,AND(AR323&lt;&gt;6,AR323&lt;&gt;36,AR323&lt;&gt;56),AG323&lt;&gt;"A",OR(AG323="H",AJ323="FS")),1,IF(AND(M323="F",N323&lt;&gt;"NG",AS323&lt;&gt;0,AG323="A"),3,0))</f>
        <v>1</v>
      </c>
      <c r="AU323" s="462">
        <f>IF(AT323=0,"",IF(AND(AT323=1,M323="F",SUMIF(C2:C391,C323,AS2:AS391)&lt;=1),SUMIF(C2:C391,C323,AS2:AS391),IF(AND(AT323=1,M323="F",SUMIF(C2:C391,C323,AS2:AS391)&gt;1),1,"")))</f>
        <v>1</v>
      </c>
      <c r="AV323" s="462" t="str">
        <f>IF(AT323=0,"",IF(AND(AT323=3,M323="F",SUMIF(C2:C391,C323,AS2:AS391)&lt;=1),SUMIF(C2:C391,C323,AS2:AS391),IF(AND(AT323=3,M323="F",SUMIF(C2:C391,C323,AS2:AS391)&gt;1),1,"")))</f>
        <v/>
      </c>
      <c r="AW323" s="462">
        <f>SUMIF(C2:C391,C323,O2:O391)</f>
        <v>2</v>
      </c>
      <c r="AX323" s="462">
        <f>IF(AND(M323="F",AS323&lt;&gt;0),SUMIF(C2:C391,C323,W2:W391),0)</f>
        <v>46155.199999999997</v>
      </c>
      <c r="AY323" s="462">
        <f t="shared" ref="AY323:AY386" si="87">IF(AT323=1,W323,"")</f>
        <v>23077.599999999999</v>
      </c>
      <c r="AZ323" s="462" t="str">
        <f t="shared" ref="AZ323:AZ386" si="88">IF(AT323=3,W323,"")</f>
        <v/>
      </c>
      <c r="BA323" s="462">
        <f t="shared" ref="BA323:BA386" si="89">IF(AT323=1,Y323-W323,0)</f>
        <v>0</v>
      </c>
      <c r="BB323" s="462">
        <f>IF(AND(AT323=1,AK323="E",AU323&gt;=0.75,AW323=1),Health,IF(AND(AT323=1,AK323="E",AU323&gt;=0.75),Health*P323,IF(AND(AT323=1,AK323="E",AU323&gt;=0.5,AW323=1),PTHealth,IF(AND(AT323=1,AK323="E",AU323&gt;=0.5),PTHealth*P323,0))))</f>
        <v>5825</v>
      </c>
      <c r="BC323" s="462">
        <f>IF(AND(AT323=3,AK323="E",AV323&gt;=0.75,AW323=1),Health,IF(AND(AT323=3,AK323="E",AV323&gt;=0.75),Health*P323,IF(AND(AT323=3,AK323="E",AV323&gt;=0.5,AW323=1),PTHealth,IF(AND(AT323=3,AK323="E",AV323&gt;=0.5),PTHealth*P323,0))))</f>
        <v>0</v>
      </c>
      <c r="BD323" s="462">
        <f>IF(AND(AT323&lt;&gt;0,AX323&gt;=MAXSSDI),SSDI*MAXSSDI*P323,IF(AT323&lt;&gt;0,SSDI*W323,0))</f>
        <v>1430.8111999999999</v>
      </c>
      <c r="BE323" s="462">
        <f>IF(AT323&lt;&gt;0,SSHI*W323,0)</f>
        <v>334.62520000000001</v>
      </c>
      <c r="BF323" s="462">
        <f>IF(AND(AT323&lt;&gt;0,AN323&lt;&gt;"NE"),VLOOKUP(AN323,Retirement_Rates,3,FALSE)*W323,0)</f>
        <v>2755.4654399999999</v>
      </c>
      <c r="BG323" s="462">
        <f>IF(AND(AT323&lt;&gt;0,AJ323&lt;&gt;"PF"),Life*W323,0)</f>
        <v>166.38949600000001</v>
      </c>
      <c r="BH323" s="462">
        <f>IF(AND(AT323&lt;&gt;0,AM323="Y"),UI*W323,0)</f>
        <v>113.08023999999999</v>
      </c>
      <c r="BI323" s="462">
        <f>IF(AND(AT323&lt;&gt;0,N323&lt;&gt;"NR"),DHR*W323,0)</f>
        <v>70.61745599999999</v>
      </c>
      <c r="BJ323" s="462">
        <f>IF(AT323&lt;&gt;0,WC*W323,0)</f>
        <v>620.78743999999995</v>
      </c>
      <c r="BK323" s="462">
        <f>IF(OR(AND(AT323&lt;&gt;0,AJ323&lt;&gt;"PF",AN323&lt;&gt;"NE",AG323&lt;&gt;"A"),AND(AL323="E",OR(AT323=1,AT323=3))),Sick*W323,0)</f>
        <v>0</v>
      </c>
      <c r="BL323" s="462">
        <f t="shared" ref="BL323:BL386" si="90">IF(AT323=1,SUM(BD323:BK323),0)</f>
        <v>5491.7764719999996</v>
      </c>
      <c r="BM323" s="462">
        <f t="shared" ref="BM323:BM386" si="91">IF(AT323=3,SUM(BD323:BK323),0)</f>
        <v>0</v>
      </c>
      <c r="BN323" s="462">
        <f>IF(AND(AT323=1,AK323="E",AU323&gt;=0.75,AW323=1),HealthBY,IF(AND(AT323=1,AK323="E",AU323&gt;=0.75),HealthBY*P323,IF(AND(AT323=1,AK323="E",AU323&gt;=0.5,AW323=1),PTHealthBY,IF(AND(AT323=1,AK323="E",AU323&gt;=0.5),PTHealthBY*P323,0))))</f>
        <v>5825</v>
      </c>
      <c r="BO323" s="462">
        <f>IF(AND(AT323=3,AK323="E",AV323&gt;=0.75,AW323=1),HealthBY,IF(AND(AT323=3,AK323="E",AV323&gt;=0.75),HealthBY*P323,IF(AND(AT323=3,AK323="E",AV323&gt;=0.5,AW323=1),PTHealthBY,IF(AND(AT323=3,AK323="E",AV323&gt;=0.5),PTHealthBY*P323,0))))</f>
        <v>0</v>
      </c>
      <c r="BP323" s="462">
        <f>IF(AND(AT323&lt;&gt;0,(AX323+BA323)&gt;=MAXSSDIBY),SSDIBY*MAXSSDIBY*P323,IF(AT323&lt;&gt;0,SSDIBY*W323,0))</f>
        <v>1430.8111999999999</v>
      </c>
      <c r="BQ323" s="462">
        <f>IF(AT323&lt;&gt;0,SSHIBY*W323,0)</f>
        <v>334.62520000000001</v>
      </c>
      <c r="BR323" s="462">
        <f>IF(AND(AT323&lt;&gt;0,AN323&lt;&gt;"NE"),VLOOKUP(AN323,Retirement_Rates,4,FALSE)*W323,0)</f>
        <v>2755.4654399999999</v>
      </c>
      <c r="BS323" s="462">
        <f>IF(AND(AT323&lt;&gt;0,AJ323&lt;&gt;"PF"),LifeBY*W323,0)</f>
        <v>166.38949600000001</v>
      </c>
      <c r="BT323" s="462">
        <f>IF(AND(AT323&lt;&gt;0,AM323="Y"),UIBY*W323,0)</f>
        <v>0</v>
      </c>
      <c r="BU323" s="462">
        <f>IF(AND(AT323&lt;&gt;0,N323&lt;&gt;"NR"),DHRBY*W323,0)</f>
        <v>70.61745599999999</v>
      </c>
      <c r="BV323" s="462">
        <f>IF(AT323&lt;&gt;0,WCBY*W323,0)</f>
        <v>800.79272000000003</v>
      </c>
      <c r="BW323" s="462">
        <f>IF(OR(AND(AT323&lt;&gt;0,AJ323&lt;&gt;"PF",AN323&lt;&gt;"NE",AG323&lt;&gt;"A"),AND(AL323="E",OR(AT323=1,AT323=3))),SickBY*W323,0)</f>
        <v>0</v>
      </c>
      <c r="BX323" s="462">
        <f t="shared" ref="BX323:BX386" si="92">IF(AT323=1,SUM(BP323:BW323),0)</f>
        <v>5558.7015119999996</v>
      </c>
      <c r="BY323" s="462">
        <f t="shared" ref="BY323:BY386" si="93">IF(AT323=3,SUM(BP323:BW323),0)</f>
        <v>0</v>
      </c>
      <c r="BZ323" s="462">
        <f t="shared" ref="BZ323:BZ386" si="94">IF(AT323=1,BN323-BB323,0)</f>
        <v>0</v>
      </c>
      <c r="CA323" s="462">
        <f t="shared" ref="CA323:CA386" si="95">IF(AT323=3,BO323-BC323,0)</f>
        <v>0</v>
      </c>
      <c r="CB323" s="462">
        <f t="shared" ref="CB323:CB386" si="96">BP323-BD323</f>
        <v>0</v>
      </c>
      <c r="CC323" s="462">
        <f>IF(AT323&lt;&gt;0,SSHICHG*Y323,0)</f>
        <v>0</v>
      </c>
      <c r="CD323" s="462">
        <f>IF(AND(AT323&lt;&gt;0,AN323&lt;&gt;"NE"),VLOOKUP(AN323,Retirement_Rates,5,FALSE)*Y323,0)</f>
        <v>0</v>
      </c>
      <c r="CE323" s="462">
        <f>IF(AND(AT323&lt;&gt;0,AJ323&lt;&gt;"PF"),LifeCHG*Y323,0)</f>
        <v>0</v>
      </c>
      <c r="CF323" s="462">
        <f>IF(AND(AT323&lt;&gt;0,AM323="Y"),UICHG*Y323,0)</f>
        <v>-113.08023999999999</v>
      </c>
      <c r="CG323" s="462">
        <f>IF(AND(AT323&lt;&gt;0,N323&lt;&gt;"NR"),DHRCHG*Y323,0)</f>
        <v>0</v>
      </c>
      <c r="CH323" s="462">
        <f>IF(AT323&lt;&gt;0,WCCHG*Y323,0)</f>
        <v>180.00528000000003</v>
      </c>
      <c r="CI323" s="462">
        <f>IF(OR(AND(AT323&lt;&gt;0,AJ323&lt;&gt;"PF",AN323&lt;&gt;"NE",AG323&lt;&gt;"A"),AND(AL323="E",OR(AT323=1,AT323=3))),SickCHG*Y323,0)</f>
        <v>0</v>
      </c>
      <c r="CJ323" s="462">
        <f t="shared" ref="CJ323:CJ386" si="97">IF(AT323=1,SUM(CB323:CI323),0)</f>
        <v>66.925040000000038</v>
      </c>
      <c r="CK323" s="462" t="str">
        <f t="shared" ref="CK323:CK386" si="98">IF(AT323=3,SUM(CB323:CI323),"")</f>
        <v/>
      </c>
      <c r="CL323" s="462" t="str">
        <f t="shared" ref="CL323:CL386" si="99">IF(OR(N323="NG",AG323="D"),(T323+U323),"")</f>
        <v/>
      </c>
      <c r="CM323" s="462" t="str">
        <f t="shared" ref="CM323:CM386" si="100">IF(OR(N323="NG",AG323="D"),V323,"")</f>
        <v/>
      </c>
      <c r="CN323" s="462" t="str">
        <f t="shared" ref="CN323:CN386" si="101">E323 &amp; "-" &amp; F323</f>
        <v>0250-05</v>
      </c>
    </row>
    <row r="324" spans="1:92" ht="15" thickBot="1" x14ac:dyDescent="0.35">
      <c r="A324" s="376" t="s">
        <v>161</v>
      </c>
      <c r="B324" s="376" t="s">
        <v>162</v>
      </c>
      <c r="C324" s="376" t="s">
        <v>689</v>
      </c>
      <c r="D324" s="376" t="s">
        <v>690</v>
      </c>
      <c r="E324" s="376" t="s">
        <v>421</v>
      </c>
      <c r="F324" s="382" t="s">
        <v>424</v>
      </c>
      <c r="G324" s="376" t="s">
        <v>951</v>
      </c>
      <c r="H324" s="378"/>
      <c r="I324" s="378"/>
      <c r="J324" s="376" t="s">
        <v>193</v>
      </c>
      <c r="K324" s="376" t="s">
        <v>691</v>
      </c>
      <c r="L324" s="376" t="s">
        <v>170</v>
      </c>
      <c r="M324" s="376" t="s">
        <v>171</v>
      </c>
      <c r="N324" s="376" t="s">
        <v>172</v>
      </c>
      <c r="O324" s="379">
        <v>1</v>
      </c>
      <c r="P324" s="460">
        <v>0</v>
      </c>
      <c r="Q324" s="460">
        <v>0</v>
      </c>
      <c r="R324" s="380">
        <v>80</v>
      </c>
      <c r="S324" s="460">
        <v>0</v>
      </c>
      <c r="T324" s="380">
        <v>1153.48</v>
      </c>
      <c r="U324" s="380">
        <v>0</v>
      </c>
      <c r="V324" s="380">
        <v>729.69</v>
      </c>
      <c r="W324" s="380">
        <v>0</v>
      </c>
      <c r="X324" s="380">
        <v>0</v>
      </c>
      <c r="Y324" s="380">
        <v>0</v>
      </c>
      <c r="Z324" s="380">
        <v>0</v>
      </c>
      <c r="AA324" s="376" t="s">
        <v>692</v>
      </c>
      <c r="AB324" s="376" t="s">
        <v>693</v>
      </c>
      <c r="AC324" s="376" t="s">
        <v>694</v>
      </c>
      <c r="AD324" s="376" t="s">
        <v>324</v>
      </c>
      <c r="AE324" s="376" t="s">
        <v>691</v>
      </c>
      <c r="AF324" s="376" t="s">
        <v>177</v>
      </c>
      <c r="AG324" s="376" t="s">
        <v>178</v>
      </c>
      <c r="AH324" s="381">
        <v>28.89</v>
      </c>
      <c r="AI324" s="381">
        <v>10680.4</v>
      </c>
      <c r="AJ324" s="376" t="s">
        <v>179</v>
      </c>
      <c r="AK324" s="376" t="s">
        <v>180</v>
      </c>
      <c r="AL324" s="376" t="s">
        <v>181</v>
      </c>
      <c r="AM324" s="376" t="s">
        <v>182</v>
      </c>
      <c r="AN324" s="376" t="s">
        <v>68</v>
      </c>
      <c r="AO324" s="379">
        <v>80</v>
      </c>
      <c r="AP324" s="460">
        <v>1</v>
      </c>
      <c r="AQ324" s="460">
        <v>0</v>
      </c>
      <c r="AR324" s="458" t="s">
        <v>183</v>
      </c>
      <c r="AS324" s="462">
        <f t="shared" si="85"/>
        <v>0</v>
      </c>
      <c r="AT324">
        <f t="shared" si="86"/>
        <v>0</v>
      </c>
      <c r="AU324" s="462" t="str">
        <f>IF(AT324=0,"",IF(AND(AT324=1,M324="F",SUMIF(C2:C391,C324,AS2:AS391)&lt;=1),SUMIF(C2:C391,C324,AS2:AS391),IF(AND(AT324=1,M324="F",SUMIF(C2:C391,C324,AS2:AS391)&gt;1),1,"")))</f>
        <v/>
      </c>
      <c r="AV324" s="462" t="str">
        <f>IF(AT324=0,"",IF(AND(AT324=3,M324="F",SUMIF(C2:C391,C324,AS2:AS391)&lt;=1),SUMIF(C2:C391,C324,AS2:AS391),IF(AND(AT324=3,M324="F",SUMIF(C2:C391,C324,AS2:AS391)&gt;1),1,"")))</f>
        <v/>
      </c>
      <c r="AW324" s="462">
        <f>SUMIF(C2:C391,C324,O2:O391)</f>
        <v>4</v>
      </c>
      <c r="AX324" s="462">
        <f>IF(AND(M324="F",AS324&lt;&gt;0),SUMIF(C2:C391,C324,W2:W391),0)</f>
        <v>0</v>
      </c>
      <c r="AY324" s="462" t="str">
        <f t="shared" si="87"/>
        <v/>
      </c>
      <c r="AZ324" s="462" t="str">
        <f t="shared" si="88"/>
        <v/>
      </c>
      <c r="BA324" s="462">
        <f t="shared" si="89"/>
        <v>0</v>
      </c>
      <c r="BB324" s="462">
        <f>IF(AND(AT324=1,AK324="E",AU324&gt;=0.75,AW324=1),Health,IF(AND(AT324=1,AK324="E",AU324&gt;=0.75),Health*P324,IF(AND(AT324=1,AK324="E",AU324&gt;=0.5,AW324=1),PTHealth,IF(AND(AT324=1,AK324="E",AU324&gt;=0.5),PTHealth*P324,0))))</f>
        <v>0</v>
      </c>
      <c r="BC324" s="462">
        <f>IF(AND(AT324=3,AK324="E",AV324&gt;=0.75,AW324=1),Health,IF(AND(AT324=3,AK324="E",AV324&gt;=0.75),Health*P324,IF(AND(AT324=3,AK324="E",AV324&gt;=0.5,AW324=1),PTHealth,IF(AND(AT324=3,AK324="E",AV324&gt;=0.5),PTHealth*P324,0))))</f>
        <v>0</v>
      </c>
      <c r="BD324" s="462">
        <f>IF(AND(AT324&lt;&gt;0,AX324&gt;=MAXSSDI),SSDI*MAXSSDI*P324,IF(AT324&lt;&gt;0,SSDI*W324,0))</f>
        <v>0</v>
      </c>
      <c r="BE324" s="462">
        <f>IF(AT324&lt;&gt;0,SSHI*W324,0)</f>
        <v>0</v>
      </c>
      <c r="BF324" s="462">
        <f>IF(AND(AT324&lt;&gt;0,AN324&lt;&gt;"NE"),VLOOKUP(AN324,Retirement_Rates,3,FALSE)*W324,0)</f>
        <v>0</v>
      </c>
      <c r="BG324" s="462">
        <f>IF(AND(AT324&lt;&gt;0,AJ324&lt;&gt;"PF"),Life*W324,0)</f>
        <v>0</v>
      </c>
      <c r="BH324" s="462">
        <f>IF(AND(AT324&lt;&gt;0,AM324="Y"),UI*W324,0)</f>
        <v>0</v>
      </c>
      <c r="BI324" s="462">
        <f>IF(AND(AT324&lt;&gt;0,N324&lt;&gt;"NR"),DHR*W324,0)</f>
        <v>0</v>
      </c>
      <c r="BJ324" s="462">
        <f>IF(AT324&lt;&gt;0,WC*W324,0)</f>
        <v>0</v>
      </c>
      <c r="BK324" s="462">
        <f>IF(OR(AND(AT324&lt;&gt;0,AJ324&lt;&gt;"PF",AN324&lt;&gt;"NE",AG324&lt;&gt;"A"),AND(AL324="E",OR(AT324=1,AT324=3))),Sick*W324,0)</f>
        <v>0</v>
      </c>
      <c r="BL324" s="462">
        <f t="shared" si="90"/>
        <v>0</v>
      </c>
      <c r="BM324" s="462">
        <f t="shared" si="91"/>
        <v>0</v>
      </c>
      <c r="BN324" s="462">
        <f>IF(AND(AT324=1,AK324="E",AU324&gt;=0.75,AW324=1),HealthBY,IF(AND(AT324=1,AK324="E",AU324&gt;=0.75),HealthBY*P324,IF(AND(AT324=1,AK324="E",AU324&gt;=0.5,AW324=1),PTHealthBY,IF(AND(AT324=1,AK324="E",AU324&gt;=0.5),PTHealthBY*P324,0))))</f>
        <v>0</v>
      </c>
      <c r="BO324" s="462">
        <f>IF(AND(AT324=3,AK324="E",AV324&gt;=0.75,AW324=1),HealthBY,IF(AND(AT324=3,AK324="E",AV324&gt;=0.75),HealthBY*P324,IF(AND(AT324=3,AK324="E",AV324&gt;=0.5,AW324=1),PTHealthBY,IF(AND(AT324=3,AK324="E",AV324&gt;=0.5),PTHealthBY*P324,0))))</f>
        <v>0</v>
      </c>
      <c r="BP324" s="462">
        <f>IF(AND(AT324&lt;&gt;0,(AX324+BA324)&gt;=MAXSSDIBY),SSDIBY*MAXSSDIBY*P324,IF(AT324&lt;&gt;0,SSDIBY*W324,0))</f>
        <v>0</v>
      </c>
      <c r="BQ324" s="462">
        <f>IF(AT324&lt;&gt;0,SSHIBY*W324,0)</f>
        <v>0</v>
      </c>
      <c r="BR324" s="462">
        <f>IF(AND(AT324&lt;&gt;0,AN324&lt;&gt;"NE"),VLOOKUP(AN324,Retirement_Rates,4,FALSE)*W324,0)</f>
        <v>0</v>
      </c>
      <c r="BS324" s="462">
        <f>IF(AND(AT324&lt;&gt;0,AJ324&lt;&gt;"PF"),LifeBY*W324,0)</f>
        <v>0</v>
      </c>
      <c r="BT324" s="462">
        <f>IF(AND(AT324&lt;&gt;0,AM324="Y"),UIBY*W324,0)</f>
        <v>0</v>
      </c>
      <c r="BU324" s="462">
        <f>IF(AND(AT324&lt;&gt;0,N324&lt;&gt;"NR"),DHRBY*W324,0)</f>
        <v>0</v>
      </c>
      <c r="BV324" s="462">
        <f>IF(AT324&lt;&gt;0,WCBY*W324,0)</f>
        <v>0</v>
      </c>
      <c r="BW324" s="462">
        <f>IF(OR(AND(AT324&lt;&gt;0,AJ324&lt;&gt;"PF",AN324&lt;&gt;"NE",AG324&lt;&gt;"A"),AND(AL324="E",OR(AT324=1,AT324=3))),SickBY*W324,0)</f>
        <v>0</v>
      </c>
      <c r="BX324" s="462">
        <f t="shared" si="92"/>
        <v>0</v>
      </c>
      <c r="BY324" s="462">
        <f t="shared" si="93"/>
        <v>0</v>
      </c>
      <c r="BZ324" s="462">
        <f t="shared" si="94"/>
        <v>0</v>
      </c>
      <c r="CA324" s="462">
        <f t="shared" si="95"/>
        <v>0</v>
      </c>
      <c r="CB324" s="462">
        <f t="shared" si="96"/>
        <v>0</v>
      </c>
      <c r="CC324" s="462">
        <f>IF(AT324&lt;&gt;0,SSHICHG*Y324,0)</f>
        <v>0</v>
      </c>
      <c r="CD324" s="462">
        <f>IF(AND(AT324&lt;&gt;0,AN324&lt;&gt;"NE"),VLOOKUP(AN324,Retirement_Rates,5,FALSE)*Y324,0)</f>
        <v>0</v>
      </c>
      <c r="CE324" s="462">
        <f>IF(AND(AT324&lt;&gt;0,AJ324&lt;&gt;"PF"),LifeCHG*Y324,0)</f>
        <v>0</v>
      </c>
      <c r="CF324" s="462">
        <f>IF(AND(AT324&lt;&gt;0,AM324="Y"),UICHG*Y324,0)</f>
        <v>0</v>
      </c>
      <c r="CG324" s="462">
        <f>IF(AND(AT324&lt;&gt;0,N324&lt;&gt;"NR"),DHRCHG*Y324,0)</f>
        <v>0</v>
      </c>
      <c r="CH324" s="462">
        <f>IF(AT324&lt;&gt;0,WCCHG*Y324,0)</f>
        <v>0</v>
      </c>
      <c r="CI324" s="462">
        <f>IF(OR(AND(AT324&lt;&gt;0,AJ324&lt;&gt;"PF",AN324&lt;&gt;"NE",AG324&lt;&gt;"A"),AND(AL324="E",OR(AT324=1,AT324=3))),SickCHG*Y324,0)</f>
        <v>0</v>
      </c>
      <c r="CJ324" s="462">
        <f t="shared" si="97"/>
        <v>0</v>
      </c>
      <c r="CK324" s="462" t="str">
        <f t="shared" si="98"/>
        <v/>
      </c>
      <c r="CL324" s="462" t="str">
        <f t="shared" si="99"/>
        <v/>
      </c>
      <c r="CM324" s="462" t="str">
        <f t="shared" si="100"/>
        <v/>
      </c>
      <c r="CN324" s="462" t="str">
        <f t="shared" si="101"/>
        <v>0250-05</v>
      </c>
    </row>
    <row r="325" spans="1:92" ht="15" thickBot="1" x14ac:dyDescent="0.35">
      <c r="A325" s="376" t="s">
        <v>161</v>
      </c>
      <c r="B325" s="376" t="s">
        <v>162</v>
      </c>
      <c r="C325" s="376" t="s">
        <v>410</v>
      </c>
      <c r="D325" s="376" t="s">
        <v>411</v>
      </c>
      <c r="E325" s="376" t="s">
        <v>421</v>
      </c>
      <c r="F325" s="382" t="s">
        <v>424</v>
      </c>
      <c r="G325" s="376" t="s">
        <v>951</v>
      </c>
      <c r="H325" s="378"/>
      <c r="I325" s="378"/>
      <c r="J325" s="376" t="s">
        <v>193</v>
      </c>
      <c r="K325" s="376" t="s">
        <v>412</v>
      </c>
      <c r="L325" s="376" t="s">
        <v>181</v>
      </c>
      <c r="M325" s="376" t="s">
        <v>171</v>
      </c>
      <c r="N325" s="376" t="s">
        <v>172</v>
      </c>
      <c r="O325" s="379">
        <v>1</v>
      </c>
      <c r="P325" s="460">
        <v>0.67</v>
      </c>
      <c r="Q325" s="460">
        <v>0.67</v>
      </c>
      <c r="R325" s="380">
        <v>80</v>
      </c>
      <c r="S325" s="460">
        <v>0.67</v>
      </c>
      <c r="T325" s="380">
        <v>44187.73</v>
      </c>
      <c r="U325" s="380">
        <v>0</v>
      </c>
      <c r="V325" s="380">
        <v>14549.93</v>
      </c>
      <c r="W325" s="380">
        <v>43619.68</v>
      </c>
      <c r="X325" s="380">
        <v>18185.63</v>
      </c>
      <c r="Y325" s="380">
        <v>43619.68</v>
      </c>
      <c r="Z325" s="380">
        <v>18312.13</v>
      </c>
      <c r="AA325" s="376" t="s">
        <v>413</v>
      </c>
      <c r="AB325" s="376" t="s">
        <v>414</v>
      </c>
      <c r="AC325" s="376" t="s">
        <v>415</v>
      </c>
      <c r="AD325" s="376" t="s">
        <v>170</v>
      </c>
      <c r="AE325" s="376" t="s">
        <v>412</v>
      </c>
      <c r="AF325" s="376" t="s">
        <v>206</v>
      </c>
      <c r="AG325" s="376" t="s">
        <v>178</v>
      </c>
      <c r="AH325" s="381">
        <v>31.3</v>
      </c>
      <c r="AI325" s="379">
        <v>962</v>
      </c>
      <c r="AJ325" s="376" t="s">
        <v>179</v>
      </c>
      <c r="AK325" s="376" t="s">
        <v>180</v>
      </c>
      <c r="AL325" s="376" t="s">
        <v>181</v>
      </c>
      <c r="AM325" s="376" t="s">
        <v>182</v>
      </c>
      <c r="AN325" s="376" t="s">
        <v>68</v>
      </c>
      <c r="AO325" s="379">
        <v>80</v>
      </c>
      <c r="AP325" s="460">
        <v>1</v>
      </c>
      <c r="AQ325" s="460">
        <v>0.67</v>
      </c>
      <c r="AR325" s="458" t="s">
        <v>183</v>
      </c>
      <c r="AS325" s="462">
        <f t="shared" si="85"/>
        <v>0.67</v>
      </c>
      <c r="AT325">
        <f t="shared" si="86"/>
        <v>1</v>
      </c>
      <c r="AU325" s="462">
        <f>IF(AT325=0,"",IF(AND(AT325=1,M325="F",SUMIF(C2:C391,C325,AS2:AS391)&lt;=1),SUMIF(C2:C391,C325,AS2:AS391),IF(AND(AT325=1,M325="F",SUMIF(C2:C391,C325,AS2:AS391)&gt;1),1,"")))</f>
        <v>1</v>
      </c>
      <c r="AV325" s="462" t="str">
        <f>IF(AT325=0,"",IF(AND(AT325=3,M325="F",SUMIF(C2:C391,C325,AS2:AS391)&lt;=1),SUMIF(C2:C391,C325,AS2:AS391),IF(AND(AT325=3,M325="F",SUMIF(C2:C391,C325,AS2:AS391)&gt;1),1,"")))</f>
        <v/>
      </c>
      <c r="AW325" s="462">
        <f>SUMIF(C2:C391,C325,O2:O391)</f>
        <v>2</v>
      </c>
      <c r="AX325" s="462">
        <f>IF(AND(M325="F",AS325&lt;&gt;0),SUMIF(C2:C391,C325,W2:W391),0)</f>
        <v>65104</v>
      </c>
      <c r="AY325" s="462">
        <f t="shared" si="87"/>
        <v>43619.68</v>
      </c>
      <c r="AZ325" s="462" t="str">
        <f t="shared" si="88"/>
        <v/>
      </c>
      <c r="BA325" s="462">
        <f t="shared" si="89"/>
        <v>0</v>
      </c>
      <c r="BB325" s="462">
        <f>IF(AND(AT325=1,AK325="E",AU325&gt;=0.75,AW325=1),Health,IF(AND(AT325=1,AK325="E",AU325&gt;=0.75),Health*P325,IF(AND(AT325=1,AK325="E",AU325&gt;=0.5,AW325=1),PTHealth,IF(AND(AT325=1,AK325="E",AU325&gt;=0.5),PTHealth*P325,0))))</f>
        <v>7805.5000000000009</v>
      </c>
      <c r="BC325" s="462">
        <f>IF(AND(AT325=3,AK325="E",AV325&gt;=0.75,AW325=1),Health,IF(AND(AT325=3,AK325="E",AV325&gt;=0.75),Health*P325,IF(AND(AT325=3,AK325="E",AV325&gt;=0.5,AW325=1),PTHealth,IF(AND(AT325=3,AK325="E",AV325&gt;=0.5),PTHealth*P325,0))))</f>
        <v>0</v>
      </c>
      <c r="BD325" s="462">
        <f>IF(AND(AT325&lt;&gt;0,AX325&gt;=MAXSSDI),SSDI*MAXSSDI*P325,IF(AT325&lt;&gt;0,SSDI*W325,0))</f>
        <v>2704.4201600000001</v>
      </c>
      <c r="BE325" s="462">
        <f>IF(AT325&lt;&gt;0,SSHI*W325,0)</f>
        <v>632.48536000000001</v>
      </c>
      <c r="BF325" s="462">
        <f>IF(AND(AT325&lt;&gt;0,AN325&lt;&gt;"NE"),VLOOKUP(AN325,Retirement_Rates,3,FALSE)*W325,0)</f>
        <v>5208.1897920000001</v>
      </c>
      <c r="BG325" s="462">
        <f>IF(AND(AT325&lt;&gt;0,AJ325&lt;&gt;"PF"),Life*W325,0)</f>
        <v>314.49789279999999</v>
      </c>
      <c r="BH325" s="462">
        <f>IF(AND(AT325&lt;&gt;0,AM325="Y"),UI*W325,0)</f>
        <v>213.73643200000001</v>
      </c>
      <c r="BI325" s="462">
        <f>IF(AND(AT325&lt;&gt;0,N325&lt;&gt;"NR"),DHR*W325,0)</f>
        <v>133.47622079999999</v>
      </c>
      <c r="BJ325" s="462">
        <f>IF(AT325&lt;&gt;0,WC*W325,0)</f>
        <v>1173.3693920000001</v>
      </c>
      <c r="BK325" s="462">
        <f>IF(OR(AND(AT325&lt;&gt;0,AJ325&lt;&gt;"PF",AN325&lt;&gt;"NE",AG325&lt;&gt;"A"),AND(AL325="E",OR(AT325=1,AT325=3))),Sick*W325,0)</f>
        <v>0</v>
      </c>
      <c r="BL325" s="462">
        <f t="shared" si="90"/>
        <v>10380.175249600001</v>
      </c>
      <c r="BM325" s="462">
        <f t="shared" si="91"/>
        <v>0</v>
      </c>
      <c r="BN325" s="462">
        <f>IF(AND(AT325=1,AK325="E",AU325&gt;=0.75,AW325=1),HealthBY,IF(AND(AT325=1,AK325="E",AU325&gt;=0.75),HealthBY*P325,IF(AND(AT325=1,AK325="E",AU325&gt;=0.5,AW325=1),PTHealthBY,IF(AND(AT325=1,AK325="E",AU325&gt;=0.5),PTHealthBY*P325,0))))</f>
        <v>7805.5000000000009</v>
      </c>
      <c r="BO325" s="462">
        <f>IF(AND(AT325=3,AK325="E",AV325&gt;=0.75,AW325=1),HealthBY,IF(AND(AT325=3,AK325="E",AV325&gt;=0.75),HealthBY*P325,IF(AND(AT325=3,AK325="E",AV325&gt;=0.5,AW325=1),PTHealthBY,IF(AND(AT325=3,AK325="E",AV325&gt;=0.5),PTHealthBY*P325,0))))</f>
        <v>0</v>
      </c>
      <c r="BP325" s="462">
        <f>IF(AND(AT325&lt;&gt;0,(AX325+BA325)&gt;=MAXSSDIBY),SSDIBY*MAXSSDIBY*P325,IF(AT325&lt;&gt;0,SSDIBY*W325,0))</f>
        <v>2704.4201600000001</v>
      </c>
      <c r="BQ325" s="462">
        <f>IF(AT325&lt;&gt;0,SSHIBY*W325,0)</f>
        <v>632.48536000000001</v>
      </c>
      <c r="BR325" s="462">
        <f>IF(AND(AT325&lt;&gt;0,AN325&lt;&gt;"NE"),VLOOKUP(AN325,Retirement_Rates,4,FALSE)*W325,0)</f>
        <v>5208.1897920000001</v>
      </c>
      <c r="BS325" s="462">
        <f>IF(AND(AT325&lt;&gt;0,AJ325&lt;&gt;"PF"),LifeBY*W325,0)</f>
        <v>314.49789279999999</v>
      </c>
      <c r="BT325" s="462">
        <f>IF(AND(AT325&lt;&gt;0,AM325="Y"),UIBY*W325,0)</f>
        <v>0</v>
      </c>
      <c r="BU325" s="462">
        <f>IF(AND(AT325&lt;&gt;0,N325&lt;&gt;"NR"),DHRBY*W325,0)</f>
        <v>133.47622079999999</v>
      </c>
      <c r="BV325" s="462">
        <f>IF(AT325&lt;&gt;0,WCBY*W325,0)</f>
        <v>1513.6028960000001</v>
      </c>
      <c r="BW325" s="462">
        <f>IF(OR(AND(AT325&lt;&gt;0,AJ325&lt;&gt;"PF",AN325&lt;&gt;"NE",AG325&lt;&gt;"A"),AND(AL325="E",OR(AT325=1,AT325=3))),SickBY*W325,0)</f>
        <v>0</v>
      </c>
      <c r="BX325" s="462">
        <f t="shared" si="92"/>
        <v>10506.672321600001</v>
      </c>
      <c r="BY325" s="462">
        <f t="shared" si="93"/>
        <v>0</v>
      </c>
      <c r="BZ325" s="462">
        <f t="shared" si="94"/>
        <v>0</v>
      </c>
      <c r="CA325" s="462">
        <f t="shared" si="95"/>
        <v>0</v>
      </c>
      <c r="CB325" s="462">
        <f t="shared" si="96"/>
        <v>0</v>
      </c>
      <c r="CC325" s="462">
        <f>IF(AT325&lt;&gt;0,SSHICHG*Y325,0)</f>
        <v>0</v>
      </c>
      <c r="CD325" s="462">
        <f>IF(AND(AT325&lt;&gt;0,AN325&lt;&gt;"NE"),VLOOKUP(AN325,Retirement_Rates,5,FALSE)*Y325,0)</f>
        <v>0</v>
      </c>
      <c r="CE325" s="462">
        <f>IF(AND(AT325&lt;&gt;0,AJ325&lt;&gt;"PF"),LifeCHG*Y325,0)</f>
        <v>0</v>
      </c>
      <c r="CF325" s="462">
        <f>IF(AND(AT325&lt;&gt;0,AM325="Y"),UICHG*Y325,0)</f>
        <v>-213.73643200000001</v>
      </c>
      <c r="CG325" s="462">
        <f>IF(AND(AT325&lt;&gt;0,N325&lt;&gt;"NR"),DHRCHG*Y325,0)</f>
        <v>0</v>
      </c>
      <c r="CH325" s="462">
        <f>IF(AT325&lt;&gt;0,WCCHG*Y325,0)</f>
        <v>340.23350400000004</v>
      </c>
      <c r="CI325" s="462">
        <f>IF(OR(AND(AT325&lt;&gt;0,AJ325&lt;&gt;"PF",AN325&lt;&gt;"NE",AG325&lt;&gt;"A"),AND(AL325="E",OR(AT325=1,AT325=3))),SickCHG*Y325,0)</f>
        <v>0</v>
      </c>
      <c r="CJ325" s="462">
        <f t="shared" si="97"/>
        <v>126.49707200000003</v>
      </c>
      <c r="CK325" s="462" t="str">
        <f t="shared" si="98"/>
        <v/>
      </c>
      <c r="CL325" s="462" t="str">
        <f t="shared" si="99"/>
        <v/>
      </c>
      <c r="CM325" s="462" t="str">
        <f t="shared" si="100"/>
        <v/>
      </c>
      <c r="CN325" s="462" t="str">
        <f t="shared" si="101"/>
        <v>0250-05</v>
      </c>
    </row>
    <row r="326" spans="1:92" ht="15" thickBot="1" x14ac:dyDescent="0.35">
      <c r="A326" s="376" t="s">
        <v>161</v>
      </c>
      <c r="B326" s="376" t="s">
        <v>162</v>
      </c>
      <c r="C326" s="376" t="s">
        <v>437</v>
      </c>
      <c r="D326" s="376" t="s">
        <v>438</v>
      </c>
      <c r="E326" s="376" t="s">
        <v>428</v>
      </c>
      <c r="F326" s="377" t="s">
        <v>166</v>
      </c>
      <c r="G326" s="376" t="s">
        <v>951</v>
      </c>
      <c r="H326" s="378"/>
      <c r="I326" s="378"/>
      <c r="J326" s="376" t="s">
        <v>193</v>
      </c>
      <c r="K326" s="376" t="s">
        <v>439</v>
      </c>
      <c r="L326" s="376" t="s">
        <v>231</v>
      </c>
      <c r="M326" s="376" t="s">
        <v>171</v>
      </c>
      <c r="N326" s="376" t="s">
        <v>172</v>
      </c>
      <c r="O326" s="379">
        <v>1</v>
      </c>
      <c r="P326" s="460">
        <v>0.4</v>
      </c>
      <c r="Q326" s="460">
        <v>0.4</v>
      </c>
      <c r="R326" s="380">
        <v>80</v>
      </c>
      <c r="S326" s="460">
        <v>0.4</v>
      </c>
      <c r="T326" s="380">
        <v>12905.06</v>
      </c>
      <c r="U326" s="380">
        <v>0</v>
      </c>
      <c r="V326" s="380">
        <v>7243.28</v>
      </c>
      <c r="W326" s="380">
        <v>16074.24</v>
      </c>
      <c r="X326" s="380">
        <v>8485.17</v>
      </c>
      <c r="Y326" s="380">
        <v>16074.24</v>
      </c>
      <c r="Z326" s="380">
        <v>8531.7900000000009</v>
      </c>
      <c r="AA326" s="376" t="s">
        <v>440</v>
      </c>
      <c r="AB326" s="376" t="s">
        <v>441</v>
      </c>
      <c r="AC326" s="376" t="s">
        <v>341</v>
      </c>
      <c r="AD326" s="376" t="s">
        <v>176</v>
      </c>
      <c r="AE326" s="376" t="s">
        <v>439</v>
      </c>
      <c r="AF326" s="376" t="s">
        <v>236</v>
      </c>
      <c r="AG326" s="376" t="s">
        <v>178</v>
      </c>
      <c r="AH326" s="381">
        <v>19.32</v>
      </c>
      <c r="AI326" s="381">
        <v>4860.5</v>
      </c>
      <c r="AJ326" s="376" t="s">
        <v>179</v>
      </c>
      <c r="AK326" s="376" t="s">
        <v>180</v>
      </c>
      <c r="AL326" s="376" t="s">
        <v>181</v>
      </c>
      <c r="AM326" s="376" t="s">
        <v>182</v>
      </c>
      <c r="AN326" s="376" t="s">
        <v>68</v>
      </c>
      <c r="AO326" s="379">
        <v>80</v>
      </c>
      <c r="AP326" s="460">
        <v>1</v>
      </c>
      <c r="AQ326" s="460">
        <v>0.4</v>
      </c>
      <c r="AR326" s="458" t="s">
        <v>183</v>
      </c>
      <c r="AS326" s="462">
        <f t="shared" si="85"/>
        <v>0.4</v>
      </c>
      <c r="AT326">
        <f t="shared" si="86"/>
        <v>1</v>
      </c>
      <c r="AU326" s="462">
        <f>IF(AT326=0,"",IF(AND(AT326=1,M326="F",SUMIF(C2:C391,C326,AS2:AS391)&lt;=1),SUMIF(C2:C391,C326,AS2:AS391),IF(AND(AT326=1,M326="F",SUMIF(C2:C391,C326,AS2:AS391)&gt;1),1,"")))</f>
        <v>1</v>
      </c>
      <c r="AV326" s="462" t="str">
        <f>IF(AT326=0,"",IF(AND(AT326=3,M326="F",SUMIF(C2:C391,C326,AS2:AS391)&lt;=1),SUMIF(C2:C391,C326,AS2:AS391),IF(AND(AT326=3,M326="F",SUMIF(C2:C391,C326,AS2:AS391)&gt;1),1,"")))</f>
        <v/>
      </c>
      <c r="AW326" s="462">
        <f>SUMIF(C2:C391,C326,O2:O391)</f>
        <v>3</v>
      </c>
      <c r="AX326" s="462">
        <f>IF(AND(M326="F",AS326&lt;&gt;0),SUMIF(C2:C391,C326,W2:W391),0)</f>
        <v>40185.599999999999</v>
      </c>
      <c r="AY326" s="462">
        <f t="shared" si="87"/>
        <v>16074.24</v>
      </c>
      <c r="AZ326" s="462" t="str">
        <f t="shared" si="88"/>
        <v/>
      </c>
      <c r="BA326" s="462">
        <f t="shared" si="89"/>
        <v>0</v>
      </c>
      <c r="BB326" s="462">
        <f>IF(AND(AT326=1,AK326="E",AU326&gt;=0.75,AW326=1),Health,IF(AND(AT326=1,AK326="E",AU326&gt;=0.75),Health*P326,IF(AND(AT326=1,AK326="E",AU326&gt;=0.5,AW326=1),PTHealth,IF(AND(AT326=1,AK326="E",AU326&gt;=0.5),PTHealth*P326,0))))</f>
        <v>4660</v>
      </c>
      <c r="BC326" s="462">
        <f>IF(AND(AT326=3,AK326="E",AV326&gt;=0.75,AW326=1),Health,IF(AND(AT326=3,AK326="E",AV326&gt;=0.75),Health*P326,IF(AND(AT326=3,AK326="E",AV326&gt;=0.5,AW326=1),PTHealth,IF(AND(AT326=3,AK326="E",AV326&gt;=0.5),PTHealth*P326,0))))</f>
        <v>0</v>
      </c>
      <c r="BD326" s="462">
        <f>IF(AND(AT326&lt;&gt;0,AX326&gt;=MAXSSDI),SSDI*MAXSSDI*P326,IF(AT326&lt;&gt;0,SSDI*W326,0))</f>
        <v>996.60288000000003</v>
      </c>
      <c r="BE326" s="462">
        <f>IF(AT326&lt;&gt;0,SSHI*W326,0)</f>
        <v>233.07648</v>
      </c>
      <c r="BF326" s="462">
        <f>IF(AND(AT326&lt;&gt;0,AN326&lt;&gt;"NE"),VLOOKUP(AN326,Retirement_Rates,3,FALSE)*W326,0)</f>
        <v>1919.2642560000002</v>
      </c>
      <c r="BG326" s="462">
        <f>IF(AND(AT326&lt;&gt;0,AJ326&lt;&gt;"PF"),Life*W326,0)</f>
        <v>115.8952704</v>
      </c>
      <c r="BH326" s="462">
        <f>IF(AND(AT326&lt;&gt;0,AM326="Y"),UI*W326,0)</f>
        <v>78.763775999999993</v>
      </c>
      <c r="BI326" s="462">
        <f>IF(AND(AT326&lt;&gt;0,N326&lt;&gt;"NR"),DHR*W326,0)</f>
        <v>49.187174399999996</v>
      </c>
      <c r="BJ326" s="462">
        <f>IF(AT326&lt;&gt;0,WC*W326,0)</f>
        <v>432.39705600000002</v>
      </c>
      <c r="BK326" s="462">
        <f>IF(OR(AND(AT326&lt;&gt;0,AJ326&lt;&gt;"PF",AN326&lt;&gt;"NE",AG326&lt;&gt;"A"),AND(AL326="E",OR(AT326=1,AT326=3))),Sick*W326,0)</f>
        <v>0</v>
      </c>
      <c r="BL326" s="462">
        <f t="shared" si="90"/>
        <v>3825.1868928000004</v>
      </c>
      <c r="BM326" s="462">
        <f t="shared" si="91"/>
        <v>0</v>
      </c>
      <c r="BN326" s="462">
        <f>IF(AND(AT326=1,AK326="E",AU326&gt;=0.75,AW326=1),HealthBY,IF(AND(AT326=1,AK326="E",AU326&gt;=0.75),HealthBY*P326,IF(AND(AT326=1,AK326="E",AU326&gt;=0.5,AW326=1),PTHealthBY,IF(AND(AT326=1,AK326="E",AU326&gt;=0.5),PTHealthBY*P326,0))))</f>
        <v>4660</v>
      </c>
      <c r="BO326" s="462">
        <f>IF(AND(AT326=3,AK326="E",AV326&gt;=0.75,AW326=1),HealthBY,IF(AND(AT326=3,AK326="E",AV326&gt;=0.75),HealthBY*P326,IF(AND(AT326=3,AK326="E",AV326&gt;=0.5,AW326=1),PTHealthBY,IF(AND(AT326=3,AK326="E",AV326&gt;=0.5),PTHealthBY*P326,0))))</f>
        <v>0</v>
      </c>
      <c r="BP326" s="462">
        <f>IF(AND(AT326&lt;&gt;0,(AX326+BA326)&gt;=MAXSSDIBY),SSDIBY*MAXSSDIBY*P326,IF(AT326&lt;&gt;0,SSDIBY*W326,0))</f>
        <v>996.60288000000003</v>
      </c>
      <c r="BQ326" s="462">
        <f>IF(AT326&lt;&gt;0,SSHIBY*W326,0)</f>
        <v>233.07648</v>
      </c>
      <c r="BR326" s="462">
        <f>IF(AND(AT326&lt;&gt;0,AN326&lt;&gt;"NE"),VLOOKUP(AN326,Retirement_Rates,4,FALSE)*W326,0)</f>
        <v>1919.2642560000002</v>
      </c>
      <c r="BS326" s="462">
        <f>IF(AND(AT326&lt;&gt;0,AJ326&lt;&gt;"PF"),LifeBY*W326,0)</f>
        <v>115.8952704</v>
      </c>
      <c r="BT326" s="462">
        <f>IF(AND(AT326&lt;&gt;0,AM326="Y"),UIBY*W326,0)</f>
        <v>0</v>
      </c>
      <c r="BU326" s="462">
        <f>IF(AND(AT326&lt;&gt;0,N326&lt;&gt;"NR"),DHRBY*W326,0)</f>
        <v>49.187174399999996</v>
      </c>
      <c r="BV326" s="462">
        <f>IF(AT326&lt;&gt;0,WCBY*W326,0)</f>
        <v>557.77612799999997</v>
      </c>
      <c r="BW326" s="462">
        <f>IF(OR(AND(AT326&lt;&gt;0,AJ326&lt;&gt;"PF",AN326&lt;&gt;"NE",AG326&lt;&gt;"A"),AND(AL326="E",OR(AT326=1,AT326=3))),SickBY*W326,0)</f>
        <v>0</v>
      </c>
      <c r="BX326" s="462">
        <f t="shared" si="92"/>
        <v>3871.8021888000003</v>
      </c>
      <c r="BY326" s="462">
        <f t="shared" si="93"/>
        <v>0</v>
      </c>
      <c r="BZ326" s="462">
        <f t="shared" si="94"/>
        <v>0</v>
      </c>
      <c r="CA326" s="462">
        <f t="shared" si="95"/>
        <v>0</v>
      </c>
      <c r="CB326" s="462">
        <f t="shared" si="96"/>
        <v>0</v>
      </c>
      <c r="CC326" s="462">
        <f>IF(AT326&lt;&gt;0,SSHICHG*Y326,0)</f>
        <v>0</v>
      </c>
      <c r="CD326" s="462">
        <f>IF(AND(AT326&lt;&gt;0,AN326&lt;&gt;"NE"),VLOOKUP(AN326,Retirement_Rates,5,FALSE)*Y326,0)</f>
        <v>0</v>
      </c>
      <c r="CE326" s="462">
        <f>IF(AND(AT326&lt;&gt;0,AJ326&lt;&gt;"PF"),LifeCHG*Y326,0)</f>
        <v>0</v>
      </c>
      <c r="CF326" s="462">
        <f>IF(AND(AT326&lt;&gt;0,AM326="Y"),UICHG*Y326,0)</f>
        <v>-78.763775999999993</v>
      </c>
      <c r="CG326" s="462">
        <f>IF(AND(AT326&lt;&gt;0,N326&lt;&gt;"NR"),DHRCHG*Y326,0)</f>
        <v>0</v>
      </c>
      <c r="CH326" s="462">
        <f>IF(AT326&lt;&gt;0,WCCHG*Y326,0)</f>
        <v>125.37907200000002</v>
      </c>
      <c r="CI326" s="462">
        <f>IF(OR(AND(AT326&lt;&gt;0,AJ326&lt;&gt;"PF",AN326&lt;&gt;"NE",AG326&lt;&gt;"A"),AND(AL326="E",OR(AT326=1,AT326=3))),SickCHG*Y326,0)</f>
        <v>0</v>
      </c>
      <c r="CJ326" s="462">
        <f t="shared" si="97"/>
        <v>46.615296000000029</v>
      </c>
      <c r="CK326" s="462" t="str">
        <f t="shared" si="98"/>
        <v/>
      </c>
      <c r="CL326" s="462" t="str">
        <f t="shared" si="99"/>
        <v/>
      </c>
      <c r="CM326" s="462" t="str">
        <f t="shared" si="100"/>
        <v/>
      </c>
      <c r="CN326" s="462" t="str">
        <f t="shared" si="101"/>
        <v>0348-00</v>
      </c>
    </row>
    <row r="327" spans="1:92" ht="15" thickBot="1" x14ac:dyDescent="0.35">
      <c r="A327" s="376" t="s">
        <v>161</v>
      </c>
      <c r="B327" s="376" t="s">
        <v>162</v>
      </c>
      <c r="C327" s="376" t="s">
        <v>995</v>
      </c>
      <c r="D327" s="376" t="s">
        <v>438</v>
      </c>
      <c r="E327" s="376" t="s">
        <v>428</v>
      </c>
      <c r="F327" s="377" t="s">
        <v>166</v>
      </c>
      <c r="G327" s="376" t="s">
        <v>951</v>
      </c>
      <c r="H327" s="378"/>
      <c r="I327" s="378"/>
      <c r="J327" s="376" t="s">
        <v>168</v>
      </c>
      <c r="K327" s="376" t="s">
        <v>439</v>
      </c>
      <c r="L327" s="376" t="s">
        <v>231</v>
      </c>
      <c r="M327" s="376" t="s">
        <v>171</v>
      </c>
      <c r="N327" s="376" t="s">
        <v>172</v>
      </c>
      <c r="O327" s="379">
        <v>1</v>
      </c>
      <c r="P327" s="460">
        <v>1</v>
      </c>
      <c r="Q327" s="460">
        <v>1</v>
      </c>
      <c r="R327" s="380">
        <v>80</v>
      </c>
      <c r="S327" s="460">
        <v>1</v>
      </c>
      <c r="T327" s="380">
        <v>42048.26</v>
      </c>
      <c r="U327" s="380">
        <v>0</v>
      </c>
      <c r="V327" s="380">
        <v>21238</v>
      </c>
      <c r="W327" s="380">
        <v>40892.800000000003</v>
      </c>
      <c r="X327" s="380">
        <v>21381.23</v>
      </c>
      <c r="Y327" s="380">
        <v>40892.800000000003</v>
      </c>
      <c r="Z327" s="380">
        <v>21499.83</v>
      </c>
      <c r="AA327" s="376" t="s">
        <v>996</v>
      </c>
      <c r="AB327" s="376" t="s">
        <v>997</v>
      </c>
      <c r="AC327" s="376" t="s">
        <v>998</v>
      </c>
      <c r="AD327" s="376" t="s">
        <v>231</v>
      </c>
      <c r="AE327" s="376" t="s">
        <v>439</v>
      </c>
      <c r="AF327" s="376" t="s">
        <v>236</v>
      </c>
      <c r="AG327" s="376" t="s">
        <v>178</v>
      </c>
      <c r="AH327" s="381">
        <v>19.66</v>
      </c>
      <c r="AI327" s="381">
        <v>10621.9</v>
      </c>
      <c r="AJ327" s="376" t="s">
        <v>179</v>
      </c>
      <c r="AK327" s="376" t="s">
        <v>180</v>
      </c>
      <c r="AL327" s="376" t="s">
        <v>181</v>
      </c>
      <c r="AM327" s="376" t="s">
        <v>182</v>
      </c>
      <c r="AN327" s="376" t="s">
        <v>68</v>
      </c>
      <c r="AO327" s="379">
        <v>80</v>
      </c>
      <c r="AP327" s="460">
        <v>1</v>
      </c>
      <c r="AQ327" s="460">
        <v>1</v>
      </c>
      <c r="AR327" s="458" t="s">
        <v>183</v>
      </c>
      <c r="AS327" s="462">
        <f t="shared" si="85"/>
        <v>1</v>
      </c>
      <c r="AT327">
        <f t="shared" si="86"/>
        <v>1</v>
      </c>
      <c r="AU327" s="462">
        <f>IF(AT327=0,"",IF(AND(AT327=1,M327="F",SUMIF(C2:C391,C327,AS2:AS391)&lt;=1),SUMIF(C2:C391,C327,AS2:AS391),IF(AND(AT327=1,M327="F",SUMIF(C2:C391,C327,AS2:AS391)&gt;1),1,"")))</f>
        <v>1</v>
      </c>
      <c r="AV327" s="462" t="str">
        <f>IF(AT327=0,"",IF(AND(AT327=3,M327="F",SUMIF(C2:C391,C327,AS2:AS391)&lt;=1),SUMIF(C2:C391,C327,AS2:AS391),IF(AND(AT327=3,M327="F",SUMIF(C2:C391,C327,AS2:AS391)&gt;1),1,"")))</f>
        <v/>
      </c>
      <c r="AW327" s="462">
        <f>SUMIF(C2:C391,C327,O2:O391)</f>
        <v>1</v>
      </c>
      <c r="AX327" s="462">
        <f>IF(AND(M327="F",AS327&lt;&gt;0),SUMIF(C2:C391,C327,W2:W391),0)</f>
        <v>40892.800000000003</v>
      </c>
      <c r="AY327" s="462">
        <f t="shared" si="87"/>
        <v>40892.800000000003</v>
      </c>
      <c r="AZ327" s="462" t="str">
        <f t="shared" si="88"/>
        <v/>
      </c>
      <c r="BA327" s="462">
        <f t="shared" si="89"/>
        <v>0</v>
      </c>
      <c r="BB327" s="462">
        <f>IF(AND(AT327=1,AK327="E",AU327&gt;=0.75,AW327=1),Health,IF(AND(AT327=1,AK327="E",AU327&gt;=0.75),Health*P327,IF(AND(AT327=1,AK327="E",AU327&gt;=0.5,AW327=1),PTHealth,IF(AND(AT327=1,AK327="E",AU327&gt;=0.5),PTHealth*P327,0))))</f>
        <v>11650</v>
      </c>
      <c r="BC327" s="462">
        <f>IF(AND(AT327=3,AK327="E",AV327&gt;=0.75,AW327=1),Health,IF(AND(AT327=3,AK327="E",AV327&gt;=0.75),Health*P327,IF(AND(AT327=3,AK327="E",AV327&gt;=0.5,AW327=1),PTHealth,IF(AND(AT327=3,AK327="E",AV327&gt;=0.5),PTHealth*P327,0))))</f>
        <v>0</v>
      </c>
      <c r="BD327" s="462">
        <f>IF(AND(AT327&lt;&gt;0,AX327&gt;=MAXSSDI),SSDI*MAXSSDI*P327,IF(AT327&lt;&gt;0,SSDI*W327,0))</f>
        <v>2535.3536000000004</v>
      </c>
      <c r="BE327" s="462">
        <f>IF(AT327&lt;&gt;0,SSHI*W327,0)</f>
        <v>592.94560000000013</v>
      </c>
      <c r="BF327" s="462">
        <f>IF(AND(AT327&lt;&gt;0,AN327&lt;&gt;"NE"),VLOOKUP(AN327,Retirement_Rates,3,FALSE)*W327,0)</f>
        <v>4882.6003200000005</v>
      </c>
      <c r="BG327" s="462">
        <f>IF(AND(AT327&lt;&gt;0,AJ327&lt;&gt;"PF"),Life*W327,0)</f>
        <v>294.83708800000005</v>
      </c>
      <c r="BH327" s="462">
        <f>IF(AND(AT327&lt;&gt;0,AM327="Y"),UI*W327,0)</f>
        <v>200.37472</v>
      </c>
      <c r="BI327" s="462">
        <f>IF(AND(AT327&lt;&gt;0,N327&lt;&gt;"NR"),DHR*W327,0)</f>
        <v>125.131968</v>
      </c>
      <c r="BJ327" s="462">
        <f>IF(AT327&lt;&gt;0,WC*W327,0)</f>
        <v>1100.0163200000002</v>
      </c>
      <c r="BK327" s="462">
        <f>IF(OR(AND(AT327&lt;&gt;0,AJ327&lt;&gt;"PF",AN327&lt;&gt;"NE",AG327&lt;&gt;"A"),AND(AL327="E",OR(AT327=1,AT327=3))),Sick*W327,0)</f>
        <v>0</v>
      </c>
      <c r="BL327" s="462">
        <f t="shared" si="90"/>
        <v>9731.2596160000012</v>
      </c>
      <c r="BM327" s="462">
        <f t="shared" si="91"/>
        <v>0</v>
      </c>
      <c r="BN327" s="462">
        <f>IF(AND(AT327=1,AK327="E",AU327&gt;=0.75,AW327=1),HealthBY,IF(AND(AT327=1,AK327="E",AU327&gt;=0.75),HealthBY*P327,IF(AND(AT327=1,AK327="E",AU327&gt;=0.5,AW327=1),PTHealthBY,IF(AND(AT327=1,AK327="E",AU327&gt;=0.5),PTHealthBY*P327,0))))</f>
        <v>11650</v>
      </c>
      <c r="BO327" s="462">
        <f>IF(AND(AT327=3,AK327="E",AV327&gt;=0.75,AW327=1),HealthBY,IF(AND(AT327=3,AK327="E",AV327&gt;=0.75),HealthBY*P327,IF(AND(AT327=3,AK327="E",AV327&gt;=0.5,AW327=1),PTHealthBY,IF(AND(AT327=3,AK327="E",AV327&gt;=0.5),PTHealthBY*P327,0))))</f>
        <v>0</v>
      </c>
      <c r="BP327" s="462">
        <f>IF(AND(AT327&lt;&gt;0,(AX327+BA327)&gt;=MAXSSDIBY),SSDIBY*MAXSSDIBY*P327,IF(AT327&lt;&gt;0,SSDIBY*W327,0))</f>
        <v>2535.3536000000004</v>
      </c>
      <c r="BQ327" s="462">
        <f>IF(AT327&lt;&gt;0,SSHIBY*W327,0)</f>
        <v>592.94560000000013</v>
      </c>
      <c r="BR327" s="462">
        <f>IF(AND(AT327&lt;&gt;0,AN327&lt;&gt;"NE"),VLOOKUP(AN327,Retirement_Rates,4,FALSE)*W327,0)</f>
        <v>4882.6003200000005</v>
      </c>
      <c r="BS327" s="462">
        <f>IF(AND(AT327&lt;&gt;0,AJ327&lt;&gt;"PF"),LifeBY*W327,0)</f>
        <v>294.83708800000005</v>
      </c>
      <c r="BT327" s="462">
        <f>IF(AND(AT327&lt;&gt;0,AM327="Y"),UIBY*W327,0)</f>
        <v>0</v>
      </c>
      <c r="BU327" s="462">
        <f>IF(AND(AT327&lt;&gt;0,N327&lt;&gt;"NR"),DHRBY*W327,0)</f>
        <v>125.131968</v>
      </c>
      <c r="BV327" s="462">
        <f>IF(AT327&lt;&gt;0,WCBY*W327,0)</f>
        <v>1418.9801600000001</v>
      </c>
      <c r="BW327" s="462">
        <f>IF(OR(AND(AT327&lt;&gt;0,AJ327&lt;&gt;"PF",AN327&lt;&gt;"NE",AG327&lt;&gt;"A"),AND(AL327="E",OR(AT327=1,AT327=3))),SickBY*W327,0)</f>
        <v>0</v>
      </c>
      <c r="BX327" s="462">
        <f t="shared" si="92"/>
        <v>9849.8487359999999</v>
      </c>
      <c r="BY327" s="462">
        <f t="shared" si="93"/>
        <v>0</v>
      </c>
      <c r="BZ327" s="462">
        <f t="shared" si="94"/>
        <v>0</v>
      </c>
      <c r="CA327" s="462">
        <f t="shared" si="95"/>
        <v>0</v>
      </c>
      <c r="CB327" s="462">
        <f t="shared" si="96"/>
        <v>0</v>
      </c>
      <c r="CC327" s="462">
        <f>IF(AT327&lt;&gt;0,SSHICHG*Y327,0)</f>
        <v>0</v>
      </c>
      <c r="CD327" s="462">
        <f>IF(AND(AT327&lt;&gt;0,AN327&lt;&gt;"NE"),VLOOKUP(AN327,Retirement_Rates,5,FALSE)*Y327,0)</f>
        <v>0</v>
      </c>
      <c r="CE327" s="462">
        <f>IF(AND(AT327&lt;&gt;0,AJ327&lt;&gt;"PF"),LifeCHG*Y327,0)</f>
        <v>0</v>
      </c>
      <c r="CF327" s="462">
        <f>IF(AND(AT327&lt;&gt;0,AM327="Y"),UICHG*Y327,0)</f>
        <v>-200.37472</v>
      </c>
      <c r="CG327" s="462">
        <f>IF(AND(AT327&lt;&gt;0,N327&lt;&gt;"NR"),DHRCHG*Y327,0)</f>
        <v>0</v>
      </c>
      <c r="CH327" s="462">
        <f>IF(AT327&lt;&gt;0,WCCHG*Y327,0)</f>
        <v>318.96384000000006</v>
      </c>
      <c r="CI327" s="462">
        <f>IF(OR(AND(AT327&lt;&gt;0,AJ327&lt;&gt;"PF",AN327&lt;&gt;"NE",AG327&lt;&gt;"A"),AND(AL327="E",OR(AT327=1,AT327=3))),SickCHG*Y327,0)</f>
        <v>0</v>
      </c>
      <c r="CJ327" s="462">
        <f t="shared" si="97"/>
        <v>118.58912000000007</v>
      </c>
      <c r="CK327" s="462" t="str">
        <f t="shared" si="98"/>
        <v/>
      </c>
      <c r="CL327" s="462" t="str">
        <f t="shared" si="99"/>
        <v/>
      </c>
      <c r="CM327" s="462" t="str">
        <f t="shared" si="100"/>
        <v/>
      </c>
      <c r="CN327" s="462" t="str">
        <f t="shared" si="101"/>
        <v>0348-00</v>
      </c>
    </row>
    <row r="328" spans="1:92" ht="15" thickBot="1" x14ac:dyDescent="0.35">
      <c r="A328" s="376" t="s">
        <v>161</v>
      </c>
      <c r="B328" s="376" t="s">
        <v>162</v>
      </c>
      <c r="C328" s="376" t="s">
        <v>611</v>
      </c>
      <c r="D328" s="376" t="s">
        <v>438</v>
      </c>
      <c r="E328" s="376" t="s">
        <v>428</v>
      </c>
      <c r="F328" s="377" t="s">
        <v>166</v>
      </c>
      <c r="G328" s="376" t="s">
        <v>951</v>
      </c>
      <c r="H328" s="378"/>
      <c r="I328" s="378"/>
      <c r="J328" s="376" t="s">
        <v>193</v>
      </c>
      <c r="K328" s="376" t="s">
        <v>439</v>
      </c>
      <c r="L328" s="376" t="s">
        <v>231</v>
      </c>
      <c r="M328" s="376" t="s">
        <v>171</v>
      </c>
      <c r="N328" s="376" t="s">
        <v>172</v>
      </c>
      <c r="O328" s="379">
        <v>1</v>
      </c>
      <c r="P328" s="460">
        <v>0.75</v>
      </c>
      <c r="Q328" s="460">
        <v>0.75</v>
      </c>
      <c r="R328" s="380">
        <v>80</v>
      </c>
      <c r="S328" s="460">
        <v>0.75</v>
      </c>
      <c r="T328" s="380">
        <v>31442.35</v>
      </c>
      <c r="U328" s="380">
        <v>0</v>
      </c>
      <c r="V328" s="380">
        <v>15920.06</v>
      </c>
      <c r="W328" s="380">
        <v>30669.599999999999</v>
      </c>
      <c r="X328" s="380">
        <v>16035.92</v>
      </c>
      <c r="Y328" s="380">
        <v>30669.599999999999</v>
      </c>
      <c r="Z328" s="380">
        <v>16124.87</v>
      </c>
      <c r="AA328" s="376" t="s">
        <v>612</v>
      </c>
      <c r="AB328" s="376" t="s">
        <v>613</v>
      </c>
      <c r="AC328" s="376" t="s">
        <v>614</v>
      </c>
      <c r="AD328" s="376" t="s">
        <v>615</v>
      </c>
      <c r="AE328" s="376" t="s">
        <v>439</v>
      </c>
      <c r="AF328" s="376" t="s">
        <v>236</v>
      </c>
      <c r="AG328" s="376" t="s">
        <v>178</v>
      </c>
      <c r="AH328" s="381">
        <v>19.66</v>
      </c>
      <c r="AI328" s="381">
        <v>6771.6</v>
      </c>
      <c r="AJ328" s="376" t="s">
        <v>179</v>
      </c>
      <c r="AK328" s="376" t="s">
        <v>180</v>
      </c>
      <c r="AL328" s="376" t="s">
        <v>181</v>
      </c>
      <c r="AM328" s="376" t="s">
        <v>182</v>
      </c>
      <c r="AN328" s="376" t="s">
        <v>68</v>
      </c>
      <c r="AO328" s="379">
        <v>80</v>
      </c>
      <c r="AP328" s="460">
        <v>1</v>
      </c>
      <c r="AQ328" s="460">
        <v>0.75</v>
      </c>
      <c r="AR328" s="458" t="s">
        <v>183</v>
      </c>
      <c r="AS328" s="462">
        <f t="shared" si="85"/>
        <v>0.75</v>
      </c>
      <c r="AT328">
        <f t="shared" si="86"/>
        <v>1</v>
      </c>
      <c r="AU328" s="462">
        <f>IF(AT328=0,"",IF(AND(AT328=1,M328="F",SUMIF(C2:C391,C328,AS2:AS391)&lt;=1),SUMIF(C2:C391,C328,AS2:AS391),IF(AND(AT328=1,M328="F",SUMIF(C2:C391,C328,AS2:AS391)&gt;1),1,"")))</f>
        <v>1</v>
      </c>
      <c r="AV328" s="462" t="str">
        <f>IF(AT328=0,"",IF(AND(AT328=3,M328="F",SUMIF(C2:C391,C328,AS2:AS391)&lt;=1),SUMIF(C2:C391,C328,AS2:AS391),IF(AND(AT328=3,M328="F",SUMIF(C2:C391,C328,AS2:AS391)&gt;1),1,"")))</f>
        <v/>
      </c>
      <c r="AW328" s="462">
        <f>SUMIF(C2:C391,C328,O2:O391)</f>
        <v>2</v>
      </c>
      <c r="AX328" s="462">
        <f>IF(AND(M328="F",AS328&lt;&gt;0),SUMIF(C2:C391,C328,W2:W391),0)</f>
        <v>40892.800000000003</v>
      </c>
      <c r="AY328" s="462">
        <f t="shared" si="87"/>
        <v>30669.599999999999</v>
      </c>
      <c r="AZ328" s="462" t="str">
        <f t="shared" si="88"/>
        <v/>
      </c>
      <c r="BA328" s="462">
        <f t="shared" si="89"/>
        <v>0</v>
      </c>
      <c r="BB328" s="462">
        <f>IF(AND(AT328=1,AK328="E",AU328&gt;=0.75,AW328=1),Health,IF(AND(AT328=1,AK328="E",AU328&gt;=0.75),Health*P328,IF(AND(AT328=1,AK328="E",AU328&gt;=0.5,AW328=1),PTHealth,IF(AND(AT328=1,AK328="E",AU328&gt;=0.5),PTHealth*P328,0))))</f>
        <v>8737.5</v>
      </c>
      <c r="BC328" s="462">
        <f>IF(AND(AT328=3,AK328="E",AV328&gt;=0.75,AW328=1),Health,IF(AND(AT328=3,AK328="E",AV328&gt;=0.75),Health*P328,IF(AND(AT328=3,AK328="E",AV328&gt;=0.5,AW328=1),PTHealth,IF(AND(AT328=3,AK328="E",AV328&gt;=0.5),PTHealth*P328,0))))</f>
        <v>0</v>
      </c>
      <c r="BD328" s="462">
        <f>IF(AND(AT328&lt;&gt;0,AX328&gt;=MAXSSDI),SSDI*MAXSSDI*P328,IF(AT328&lt;&gt;0,SSDI*W328,0))</f>
        <v>1901.5151999999998</v>
      </c>
      <c r="BE328" s="462">
        <f>IF(AT328&lt;&gt;0,SSHI*W328,0)</f>
        <v>444.70920000000001</v>
      </c>
      <c r="BF328" s="462">
        <f>IF(AND(AT328&lt;&gt;0,AN328&lt;&gt;"NE"),VLOOKUP(AN328,Retirement_Rates,3,FALSE)*W328,0)</f>
        <v>3661.9502400000001</v>
      </c>
      <c r="BG328" s="462">
        <f>IF(AND(AT328&lt;&gt;0,AJ328&lt;&gt;"PF"),Life*W328,0)</f>
        <v>221.127816</v>
      </c>
      <c r="BH328" s="462">
        <f>IF(AND(AT328&lt;&gt;0,AM328="Y"),UI*W328,0)</f>
        <v>150.28103999999999</v>
      </c>
      <c r="BI328" s="462">
        <f>IF(AND(AT328&lt;&gt;0,N328&lt;&gt;"NR"),DHR*W328,0)</f>
        <v>93.848975999999993</v>
      </c>
      <c r="BJ328" s="462">
        <f>IF(AT328&lt;&gt;0,WC*W328,0)</f>
        <v>825.01224000000002</v>
      </c>
      <c r="BK328" s="462">
        <f>IF(OR(AND(AT328&lt;&gt;0,AJ328&lt;&gt;"PF",AN328&lt;&gt;"NE",AG328&lt;&gt;"A"),AND(AL328="E",OR(AT328=1,AT328=3))),Sick*W328,0)</f>
        <v>0</v>
      </c>
      <c r="BL328" s="462">
        <f t="shared" si="90"/>
        <v>7298.4447120000004</v>
      </c>
      <c r="BM328" s="462">
        <f t="shared" si="91"/>
        <v>0</v>
      </c>
      <c r="BN328" s="462">
        <f>IF(AND(AT328=1,AK328="E",AU328&gt;=0.75,AW328=1),HealthBY,IF(AND(AT328=1,AK328="E",AU328&gt;=0.75),HealthBY*P328,IF(AND(AT328=1,AK328="E",AU328&gt;=0.5,AW328=1),PTHealthBY,IF(AND(AT328=1,AK328="E",AU328&gt;=0.5),PTHealthBY*P328,0))))</f>
        <v>8737.5</v>
      </c>
      <c r="BO328" s="462">
        <f>IF(AND(AT328=3,AK328="E",AV328&gt;=0.75,AW328=1),HealthBY,IF(AND(AT328=3,AK328="E",AV328&gt;=0.75),HealthBY*P328,IF(AND(AT328=3,AK328="E",AV328&gt;=0.5,AW328=1),PTHealthBY,IF(AND(AT328=3,AK328="E",AV328&gt;=0.5),PTHealthBY*P328,0))))</f>
        <v>0</v>
      </c>
      <c r="BP328" s="462">
        <f>IF(AND(AT328&lt;&gt;0,(AX328+BA328)&gt;=MAXSSDIBY),SSDIBY*MAXSSDIBY*P328,IF(AT328&lt;&gt;0,SSDIBY*W328,0))</f>
        <v>1901.5151999999998</v>
      </c>
      <c r="BQ328" s="462">
        <f>IF(AT328&lt;&gt;0,SSHIBY*W328,0)</f>
        <v>444.70920000000001</v>
      </c>
      <c r="BR328" s="462">
        <f>IF(AND(AT328&lt;&gt;0,AN328&lt;&gt;"NE"),VLOOKUP(AN328,Retirement_Rates,4,FALSE)*W328,0)</f>
        <v>3661.9502400000001</v>
      </c>
      <c r="BS328" s="462">
        <f>IF(AND(AT328&lt;&gt;0,AJ328&lt;&gt;"PF"),LifeBY*W328,0)</f>
        <v>221.127816</v>
      </c>
      <c r="BT328" s="462">
        <f>IF(AND(AT328&lt;&gt;0,AM328="Y"),UIBY*W328,0)</f>
        <v>0</v>
      </c>
      <c r="BU328" s="462">
        <f>IF(AND(AT328&lt;&gt;0,N328&lt;&gt;"NR"),DHRBY*W328,0)</f>
        <v>93.848975999999993</v>
      </c>
      <c r="BV328" s="462">
        <f>IF(AT328&lt;&gt;0,WCBY*W328,0)</f>
        <v>1064.2351200000001</v>
      </c>
      <c r="BW328" s="462">
        <f>IF(OR(AND(AT328&lt;&gt;0,AJ328&lt;&gt;"PF",AN328&lt;&gt;"NE",AG328&lt;&gt;"A"),AND(AL328="E",OR(AT328=1,AT328=3))),SickBY*W328,0)</f>
        <v>0</v>
      </c>
      <c r="BX328" s="462">
        <f t="shared" si="92"/>
        <v>7387.3865520000008</v>
      </c>
      <c r="BY328" s="462">
        <f t="shared" si="93"/>
        <v>0</v>
      </c>
      <c r="BZ328" s="462">
        <f t="shared" si="94"/>
        <v>0</v>
      </c>
      <c r="CA328" s="462">
        <f t="shared" si="95"/>
        <v>0</v>
      </c>
      <c r="CB328" s="462">
        <f t="shared" si="96"/>
        <v>0</v>
      </c>
      <c r="CC328" s="462">
        <f>IF(AT328&lt;&gt;0,SSHICHG*Y328,0)</f>
        <v>0</v>
      </c>
      <c r="CD328" s="462">
        <f>IF(AND(AT328&lt;&gt;0,AN328&lt;&gt;"NE"),VLOOKUP(AN328,Retirement_Rates,5,FALSE)*Y328,0)</f>
        <v>0</v>
      </c>
      <c r="CE328" s="462">
        <f>IF(AND(AT328&lt;&gt;0,AJ328&lt;&gt;"PF"),LifeCHG*Y328,0)</f>
        <v>0</v>
      </c>
      <c r="CF328" s="462">
        <f>IF(AND(AT328&lt;&gt;0,AM328="Y"),UICHG*Y328,0)</f>
        <v>-150.28103999999999</v>
      </c>
      <c r="CG328" s="462">
        <f>IF(AND(AT328&lt;&gt;0,N328&lt;&gt;"NR"),DHRCHG*Y328,0)</f>
        <v>0</v>
      </c>
      <c r="CH328" s="462">
        <f>IF(AT328&lt;&gt;0,WCCHG*Y328,0)</f>
        <v>239.22288000000003</v>
      </c>
      <c r="CI328" s="462">
        <f>IF(OR(AND(AT328&lt;&gt;0,AJ328&lt;&gt;"PF",AN328&lt;&gt;"NE",AG328&lt;&gt;"A"),AND(AL328="E",OR(AT328=1,AT328=3))),SickCHG*Y328,0)</f>
        <v>0</v>
      </c>
      <c r="CJ328" s="462">
        <f t="shared" si="97"/>
        <v>88.941840000000042</v>
      </c>
      <c r="CK328" s="462" t="str">
        <f t="shared" si="98"/>
        <v/>
      </c>
      <c r="CL328" s="462" t="str">
        <f t="shared" si="99"/>
        <v/>
      </c>
      <c r="CM328" s="462" t="str">
        <f t="shared" si="100"/>
        <v/>
      </c>
      <c r="CN328" s="462" t="str">
        <f t="shared" si="101"/>
        <v>0348-00</v>
      </c>
    </row>
    <row r="329" spans="1:92" ht="15" thickBot="1" x14ac:dyDescent="0.35">
      <c r="A329" s="376" t="s">
        <v>161</v>
      </c>
      <c r="B329" s="376" t="s">
        <v>162</v>
      </c>
      <c r="C329" s="376" t="s">
        <v>999</v>
      </c>
      <c r="D329" s="376" t="s">
        <v>460</v>
      </c>
      <c r="E329" s="376" t="s">
        <v>428</v>
      </c>
      <c r="F329" s="377" t="s">
        <v>166</v>
      </c>
      <c r="G329" s="376" t="s">
        <v>951</v>
      </c>
      <c r="H329" s="378"/>
      <c r="I329" s="378"/>
      <c r="J329" s="376" t="s">
        <v>168</v>
      </c>
      <c r="K329" s="376" t="s">
        <v>461</v>
      </c>
      <c r="L329" s="376" t="s">
        <v>240</v>
      </c>
      <c r="M329" s="376" t="s">
        <v>171</v>
      </c>
      <c r="N329" s="376" t="s">
        <v>172</v>
      </c>
      <c r="O329" s="379">
        <v>1</v>
      </c>
      <c r="P329" s="460">
        <v>1</v>
      </c>
      <c r="Q329" s="460">
        <v>1</v>
      </c>
      <c r="R329" s="380">
        <v>80</v>
      </c>
      <c r="S329" s="460">
        <v>1</v>
      </c>
      <c r="T329" s="380">
        <v>47955.59</v>
      </c>
      <c r="U329" s="380">
        <v>0</v>
      </c>
      <c r="V329" s="380">
        <v>22223.89</v>
      </c>
      <c r="W329" s="380">
        <v>48193.599999999999</v>
      </c>
      <c r="X329" s="380">
        <v>23118.59</v>
      </c>
      <c r="Y329" s="380">
        <v>48193.599999999999</v>
      </c>
      <c r="Z329" s="380">
        <v>23258.36</v>
      </c>
      <c r="AA329" s="376" t="s">
        <v>1000</v>
      </c>
      <c r="AB329" s="376" t="s">
        <v>1001</v>
      </c>
      <c r="AC329" s="376" t="s">
        <v>1002</v>
      </c>
      <c r="AD329" s="376" t="s">
        <v>1003</v>
      </c>
      <c r="AE329" s="376" t="s">
        <v>461</v>
      </c>
      <c r="AF329" s="376" t="s">
        <v>244</v>
      </c>
      <c r="AG329" s="376" t="s">
        <v>178</v>
      </c>
      <c r="AH329" s="381">
        <v>23.17</v>
      </c>
      <c r="AI329" s="381">
        <v>10047.4</v>
      </c>
      <c r="AJ329" s="376" t="s">
        <v>179</v>
      </c>
      <c r="AK329" s="376" t="s">
        <v>180</v>
      </c>
      <c r="AL329" s="376" t="s">
        <v>181</v>
      </c>
      <c r="AM329" s="376" t="s">
        <v>182</v>
      </c>
      <c r="AN329" s="376" t="s">
        <v>68</v>
      </c>
      <c r="AO329" s="379">
        <v>80</v>
      </c>
      <c r="AP329" s="460">
        <v>1</v>
      </c>
      <c r="AQ329" s="460">
        <v>1</v>
      </c>
      <c r="AR329" s="458" t="s">
        <v>183</v>
      </c>
      <c r="AS329" s="462">
        <f t="shared" si="85"/>
        <v>1</v>
      </c>
      <c r="AT329">
        <f t="shared" si="86"/>
        <v>1</v>
      </c>
      <c r="AU329" s="462">
        <f>IF(AT329=0,"",IF(AND(AT329=1,M329="F",SUMIF(C2:C391,C329,AS2:AS391)&lt;=1),SUMIF(C2:C391,C329,AS2:AS391),IF(AND(AT329=1,M329="F",SUMIF(C2:C391,C329,AS2:AS391)&gt;1),1,"")))</f>
        <v>1</v>
      </c>
      <c r="AV329" s="462" t="str">
        <f>IF(AT329=0,"",IF(AND(AT329=3,M329="F",SUMIF(C2:C391,C329,AS2:AS391)&lt;=1),SUMIF(C2:C391,C329,AS2:AS391),IF(AND(AT329=3,M329="F",SUMIF(C2:C391,C329,AS2:AS391)&gt;1),1,"")))</f>
        <v/>
      </c>
      <c r="AW329" s="462">
        <f>SUMIF(C2:C391,C329,O2:O391)</f>
        <v>1</v>
      </c>
      <c r="AX329" s="462">
        <f>IF(AND(M329="F",AS329&lt;&gt;0),SUMIF(C2:C391,C329,W2:W391),0)</f>
        <v>48193.599999999999</v>
      </c>
      <c r="AY329" s="462">
        <f t="shared" si="87"/>
        <v>48193.599999999999</v>
      </c>
      <c r="AZ329" s="462" t="str">
        <f t="shared" si="88"/>
        <v/>
      </c>
      <c r="BA329" s="462">
        <f t="shared" si="89"/>
        <v>0</v>
      </c>
      <c r="BB329" s="462">
        <f>IF(AND(AT329=1,AK329="E",AU329&gt;=0.75,AW329=1),Health,IF(AND(AT329=1,AK329="E",AU329&gt;=0.75),Health*P329,IF(AND(AT329=1,AK329="E",AU329&gt;=0.5,AW329=1),PTHealth,IF(AND(AT329=1,AK329="E",AU329&gt;=0.5),PTHealth*P329,0))))</f>
        <v>11650</v>
      </c>
      <c r="BC329" s="462">
        <f>IF(AND(AT329=3,AK329="E",AV329&gt;=0.75,AW329=1),Health,IF(AND(AT329=3,AK329="E",AV329&gt;=0.75),Health*P329,IF(AND(AT329=3,AK329="E",AV329&gt;=0.5,AW329=1),PTHealth,IF(AND(AT329=3,AK329="E",AV329&gt;=0.5),PTHealth*P329,0))))</f>
        <v>0</v>
      </c>
      <c r="BD329" s="462">
        <f>IF(AND(AT329&lt;&gt;0,AX329&gt;=MAXSSDI),SSDI*MAXSSDI*P329,IF(AT329&lt;&gt;0,SSDI*W329,0))</f>
        <v>2988.0032000000001</v>
      </c>
      <c r="BE329" s="462">
        <f>IF(AT329&lt;&gt;0,SSHI*W329,0)</f>
        <v>698.80719999999997</v>
      </c>
      <c r="BF329" s="462">
        <f>IF(AND(AT329&lt;&gt;0,AN329&lt;&gt;"NE"),VLOOKUP(AN329,Retirement_Rates,3,FALSE)*W329,0)</f>
        <v>5754.3158400000002</v>
      </c>
      <c r="BG329" s="462">
        <f>IF(AND(AT329&lt;&gt;0,AJ329&lt;&gt;"PF"),Life*W329,0)</f>
        <v>347.47585600000002</v>
      </c>
      <c r="BH329" s="462">
        <f>IF(AND(AT329&lt;&gt;0,AM329="Y"),UI*W329,0)</f>
        <v>236.14863999999997</v>
      </c>
      <c r="BI329" s="462">
        <f>IF(AND(AT329&lt;&gt;0,N329&lt;&gt;"NR"),DHR*W329,0)</f>
        <v>147.47241599999998</v>
      </c>
      <c r="BJ329" s="462">
        <f>IF(AT329&lt;&gt;0,WC*W329,0)</f>
        <v>1296.4078400000001</v>
      </c>
      <c r="BK329" s="462">
        <f>IF(OR(AND(AT329&lt;&gt;0,AJ329&lt;&gt;"PF",AN329&lt;&gt;"NE",AG329&lt;&gt;"A"),AND(AL329="E",OR(AT329=1,AT329=3))),Sick*W329,0)</f>
        <v>0</v>
      </c>
      <c r="BL329" s="462">
        <f t="shared" si="90"/>
        <v>11468.630992000002</v>
      </c>
      <c r="BM329" s="462">
        <f t="shared" si="91"/>
        <v>0</v>
      </c>
      <c r="BN329" s="462">
        <f>IF(AND(AT329=1,AK329="E",AU329&gt;=0.75,AW329=1),HealthBY,IF(AND(AT329=1,AK329="E",AU329&gt;=0.75),HealthBY*P329,IF(AND(AT329=1,AK329="E",AU329&gt;=0.5,AW329=1),PTHealthBY,IF(AND(AT329=1,AK329="E",AU329&gt;=0.5),PTHealthBY*P329,0))))</f>
        <v>11650</v>
      </c>
      <c r="BO329" s="462">
        <f>IF(AND(AT329=3,AK329="E",AV329&gt;=0.75,AW329=1),HealthBY,IF(AND(AT329=3,AK329="E",AV329&gt;=0.75),HealthBY*P329,IF(AND(AT329=3,AK329="E",AV329&gt;=0.5,AW329=1),PTHealthBY,IF(AND(AT329=3,AK329="E",AV329&gt;=0.5),PTHealthBY*P329,0))))</f>
        <v>0</v>
      </c>
      <c r="BP329" s="462">
        <f>IF(AND(AT329&lt;&gt;0,(AX329+BA329)&gt;=MAXSSDIBY),SSDIBY*MAXSSDIBY*P329,IF(AT329&lt;&gt;0,SSDIBY*W329,0))</f>
        <v>2988.0032000000001</v>
      </c>
      <c r="BQ329" s="462">
        <f>IF(AT329&lt;&gt;0,SSHIBY*W329,0)</f>
        <v>698.80719999999997</v>
      </c>
      <c r="BR329" s="462">
        <f>IF(AND(AT329&lt;&gt;0,AN329&lt;&gt;"NE"),VLOOKUP(AN329,Retirement_Rates,4,FALSE)*W329,0)</f>
        <v>5754.3158400000002</v>
      </c>
      <c r="BS329" s="462">
        <f>IF(AND(AT329&lt;&gt;0,AJ329&lt;&gt;"PF"),LifeBY*W329,0)</f>
        <v>347.47585600000002</v>
      </c>
      <c r="BT329" s="462">
        <f>IF(AND(AT329&lt;&gt;0,AM329="Y"),UIBY*W329,0)</f>
        <v>0</v>
      </c>
      <c r="BU329" s="462">
        <f>IF(AND(AT329&lt;&gt;0,N329&lt;&gt;"NR"),DHRBY*W329,0)</f>
        <v>147.47241599999998</v>
      </c>
      <c r="BV329" s="462">
        <f>IF(AT329&lt;&gt;0,WCBY*W329,0)</f>
        <v>1672.31792</v>
      </c>
      <c r="BW329" s="462">
        <f>IF(OR(AND(AT329&lt;&gt;0,AJ329&lt;&gt;"PF",AN329&lt;&gt;"NE",AG329&lt;&gt;"A"),AND(AL329="E",OR(AT329=1,AT329=3))),SickBY*W329,0)</f>
        <v>0</v>
      </c>
      <c r="BX329" s="462">
        <f t="shared" si="92"/>
        <v>11608.392432000002</v>
      </c>
      <c r="BY329" s="462">
        <f t="shared" si="93"/>
        <v>0</v>
      </c>
      <c r="BZ329" s="462">
        <f t="shared" si="94"/>
        <v>0</v>
      </c>
      <c r="CA329" s="462">
        <f t="shared" si="95"/>
        <v>0</v>
      </c>
      <c r="CB329" s="462">
        <f t="shared" si="96"/>
        <v>0</v>
      </c>
      <c r="CC329" s="462">
        <f>IF(AT329&lt;&gt;0,SSHICHG*Y329,0)</f>
        <v>0</v>
      </c>
      <c r="CD329" s="462">
        <f>IF(AND(AT329&lt;&gt;0,AN329&lt;&gt;"NE"),VLOOKUP(AN329,Retirement_Rates,5,FALSE)*Y329,0)</f>
        <v>0</v>
      </c>
      <c r="CE329" s="462">
        <f>IF(AND(AT329&lt;&gt;0,AJ329&lt;&gt;"PF"),LifeCHG*Y329,0)</f>
        <v>0</v>
      </c>
      <c r="CF329" s="462">
        <f>IF(AND(AT329&lt;&gt;0,AM329="Y"),UICHG*Y329,0)</f>
        <v>-236.14863999999997</v>
      </c>
      <c r="CG329" s="462">
        <f>IF(AND(AT329&lt;&gt;0,N329&lt;&gt;"NR"),DHRCHG*Y329,0)</f>
        <v>0</v>
      </c>
      <c r="CH329" s="462">
        <f>IF(AT329&lt;&gt;0,WCCHG*Y329,0)</f>
        <v>375.91008000000005</v>
      </c>
      <c r="CI329" s="462">
        <f>IF(OR(AND(AT329&lt;&gt;0,AJ329&lt;&gt;"PF",AN329&lt;&gt;"NE",AG329&lt;&gt;"A"),AND(AL329="E",OR(AT329=1,AT329=3))),SickCHG*Y329,0)</f>
        <v>0</v>
      </c>
      <c r="CJ329" s="462">
        <f t="shared" si="97"/>
        <v>139.76144000000008</v>
      </c>
      <c r="CK329" s="462" t="str">
        <f t="shared" si="98"/>
        <v/>
      </c>
      <c r="CL329" s="462" t="str">
        <f t="shared" si="99"/>
        <v/>
      </c>
      <c r="CM329" s="462" t="str">
        <f t="shared" si="100"/>
        <v/>
      </c>
      <c r="CN329" s="462" t="str">
        <f t="shared" si="101"/>
        <v>0348-00</v>
      </c>
    </row>
    <row r="330" spans="1:92" ht="15" thickBot="1" x14ac:dyDescent="0.35">
      <c r="A330" s="376" t="s">
        <v>161</v>
      </c>
      <c r="B330" s="376" t="s">
        <v>162</v>
      </c>
      <c r="C330" s="376" t="s">
        <v>626</v>
      </c>
      <c r="D330" s="376" t="s">
        <v>627</v>
      </c>
      <c r="E330" s="376" t="s">
        <v>428</v>
      </c>
      <c r="F330" s="377" t="s">
        <v>166</v>
      </c>
      <c r="G330" s="376" t="s">
        <v>951</v>
      </c>
      <c r="H330" s="378"/>
      <c r="I330" s="378"/>
      <c r="J330" s="376" t="s">
        <v>193</v>
      </c>
      <c r="K330" s="376" t="s">
        <v>628</v>
      </c>
      <c r="L330" s="376" t="s">
        <v>240</v>
      </c>
      <c r="M330" s="376" t="s">
        <v>171</v>
      </c>
      <c r="N330" s="376" t="s">
        <v>172</v>
      </c>
      <c r="O330" s="379">
        <v>1</v>
      </c>
      <c r="P330" s="460">
        <v>0.25</v>
      </c>
      <c r="Q330" s="460">
        <v>0.25</v>
      </c>
      <c r="R330" s="380">
        <v>80</v>
      </c>
      <c r="S330" s="460">
        <v>0.25</v>
      </c>
      <c r="T330" s="380">
        <v>11772.58</v>
      </c>
      <c r="U330" s="380">
        <v>0</v>
      </c>
      <c r="V330" s="380">
        <v>5546.87</v>
      </c>
      <c r="W330" s="380">
        <v>11559.6</v>
      </c>
      <c r="X330" s="380">
        <v>5663.32</v>
      </c>
      <c r="Y330" s="380">
        <v>11559.6</v>
      </c>
      <c r="Z330" s="380">
        <v>5696.85</v>
      </c>
      <c r="AA330" s="376" t="s">
        <v>629</v>
      </c>
      <c r="AB330" s="376" t="s">
        <v>543</v>
      </c>
      <c r="AC330" s="376" t="s">
        <v>630</v>
      </c>
      <c r="AD330" s="376" t="s">
        <v>180</v>
      </c>
      <c r="AE330" s="376" t="s">
        <v>628</v>
      </c>
      <c r="AF330" s="376" t="s">
        <v>244</v>
      </c>
      <c r="AG330" s="376" t="s">
        <v>178</v>
      </c>
      <c r="AH330" s="381">
        <v>22.23</v>
      </c>
      <c r="AI330" s="381">
        <v>25918.3</v>
      </c>
      <c r="AJ330" s="376" t="s">
        <v>179</v>
      </c>
      <c r="AK330" s="376" t="s">
        <v>180</v>
      </c>
      <c r="AL330" s="376" t="s">
        <v>181</v>
      </c>
      <c r="AM330" s="376" t="s">
        <v>182</v>
      </c>
      <c r="AN330" s="376" t="s">
        <v>68</v>
      </c>
      <c r="AO330" s="379">
        <v>80</v>
      </c>
      <c r="AP330" s="460">
        <v>1</v>
      </c>
      <c r="AQ330" s="460">
        <v>0.25</v>
      </c>
      <c r="AR330" s="458" t="s">
        <v>183</v>
      </c>
      <c r="AS330" s="462">
        <f t="shared" si="85"/>
        <v>0.25</v>
      </c>
      <c r="AT330">
        <f t="shared" si="86"/>
        <v>1</v>
      </c>
      <c r="AU330" s="462">
        <f>IF(AT330=0,"",IF(AND(AT330=1,M330="F",SUMIF(C2:C391,C330,AS2:AS391)&lt;=1),SUMIF(C2:C391,C330,AS2:AS391),IF(AND(AT330=1,M330="F",SUMIF(C2:C391,C330,AS2:AS391)&gt;1),1,"")))</f>
        <v>1</v>
      </c>
      <c r="AV330" s="462" t="str">
        <f>IF(AT330=0,"",IF(AND(AT330=3,M330="F",SUMIF(C2:C391,C330,AS2:AS391)&lt;=1),SUMIF(C2:C391,C330,AS2:AS391),IF(AND(AT330=3,M330="F",SUMIF(C2:C391,C330,AS2:AS391)&gt;1),1,"")))</f>
        <v/>
      </c>
      <c r="AW330" s="462">
        <f>SUMIF(C2:C391,C330,O2:O391)</f>
        <v>2</v>
      </c>
      <c r="AX330" s="462">
        <f>IF(AND(M330="F",AS330&lt;&gt;0),SUMIF(C2:C391,C330,W2:W391),0)</f>
        <v>46238.400000000001</v>
      </c>
      <c r="AY330" s="462">
        <f t="shared" si="87"/>
        <v>11559.6</v>
      </c>
      <c r="AZ330" s="462" t="str">
        <f t="shared" si="88"/>
        <v/>
      </c>
      <c r="BA330" s="462">
        <f t="shared" si="89"/>
        <v>0</v>
      </c>
      <c r="BB330" s="462">
        <f>IF(AND(AT330=1,AK330="E",AU330&gt;=0.75,AW330=1),Health,IF(AND(AT330=1,AK330="E",AU330&gt;=0.75),Health*P330,IF(AND(AT330=1,AK330="E",AU330&gt;=0.5,AW330=1),PTHealth,IF(AND(AT330=1,AK330="E",AU330&gt;=0.5),PTHealth*P330,0))))</f>
        <v>2912.5</v>
      </c>
      <c r="BC330" s="462">
        <f>IF(AND(AT330=3,AK330="E",AV330&gt;=0.75,AW330=1),Health,IF(AND(AT330=3,AK330="E",AV330&gt;=0.75),Health*P330,IF(AND(AT330=3,AK330="E",AV330&gt;=0.5,AW330=1),PTHealth,IF(AND(AT330=3,AK330="E",AV330&gt;=0.5),PTHealth*P330,0))))</f>
        <v>0</v>
      </c>
      <c r="BD330" s="462">
        <f>IF(AND(AT330&lt;&gt;0,AX330&gt;=MAXSSDI),SSDI*MAXSSDI*P330,IF(AT330&lt;&gt;0,SSDI*W330,0))</f>
        <v>716.6952</v>
      </c>
      <c r="BE330" s="462">
        <f>IF(AT330&lt;&gt;0,SSHI*W330,0)</f>
        <v>167.61420000000001</v>
      </c>
      <c r="BF330" s="462">
        <f>IF(AND(AT330&lt;&gt;0,AN330&lt;&gt;"NE"),VLOOKUP(AN330,Retirement_Rates,3,FALSE)*W330,0)</f>
        <v>1380.2162400000002</v>
      </c>
      <c r="BG330" s="462">
        <f>IF(AND(AT330&lt;&gt;0,AJ330&lt;&gt;"PF"),Life*W330,0)</f>
        <v>83.344716000000005</v>
      </c>
      <c r="BH330" s="462">
        <f>IF(AND(AT330&lt;&gt;0,AM330="Y"),UI*W330,0)</f>
        <v>56.642040000000001</v>
      </c>
      <c r="BI330" s="462">
        <f>IF(AND(AT330&lt;&gt;0,N330&lt;&gt;"NR"),DHR*W330,0)</f>
        <v>35.372375999999996</v>
      </c>
      <c r="BJ330" s="462">
        <f>IF(AT330&lt;&gt;0,WC*W330,0)</f>
        <v>310.95323999999999</v>
      </c>
      <c r="BK330" s="462">
        <f>IF(OR(AND(AT330&lt;&gt;0,AJ330&lt;&gt;"PF",AN330&lt;&gt;"NE",AG330&lt;&gt;"A"),AND(AL330="E",OR(AT330=1,AT330=3))),Sick*W330,0)</f>
        <v>0</v>
      </c>
      <c r="BL330" s="462">
        <f t="shared" si="90"/>
        <v>2750.8380120000002</v>
      </c>
      <c r="BM330" s="462">
        <f t="shared" si="91"/>
        <v>0</v>
      </c>
      <c r="BN330" s="462">
        <f>IF(AND(AT330=1,AK330="E",AU330&gt;=0.75,AW330=1),HealthBY,IF(AND(AT330=1,AK330="E",AU330&gt;=0.75),HealthBY*P330,IF(AND(AT330=1,AK330="E",AU330&gt;=0.5,AW330=1),PTHealthBY,IF(AND(AT330=1,AK330="E",AU330&gt;=0.5),PTHealthBY*P330,0))))</f>
        <v>2912.5</v>
      </c>
      <c r="BO330" s="462">
        <f>IF(AND(AT330=3,AK330="E",AV330&gt;=0.75,AW330=1),HealthBY,IF(AND(AT330=3,AK330="E",AV330&gt;=0.75),HealthBY*P330,IF(AND(AT330=3,AK330="E",AV330&gt;=0.5,AW330=1),PTHealthBY,IF(AND(AT330=3,AK330="E",AV330&gt;=0.5),PTHealthBY*P330,0))))</f>
        <v>0</v>
      </c>
      <c r="BP330" s="462">
        <f>IF(AND(AT330&lt;&gt;0,(AX330+BA330)&gt;=MAXSSDIBY),SSDIBY*MAXSSDIBY*P330,IF(AT330&lt;&gt;0,SSDIBY*W330,0))</f>
        <v>716.6952</v>
      </c>
      <c r="BQ330" s="462">
        <f>IF(AT330&lt;&gt;0,SSHIBY*W330,0)</f>
        <v>167.61420000000001</v>
      </c>
      <c r="BR330" s="462">
        <f>IF(AND(AT330&lt;&gt;0,AN330&lt;&gt;"NE"),VLOOKUP(AN330,Retirement_Rates,4,FALSE)*W330,0)</f>
        <v>1380.2162400000002</v>
      </c>
      <c r="BS330" s="462">
        <f>IF(AND(AT330&lt;&gt;0,AJ330&lt;&gt;"PF"),LifeBY*W330,0)</f>
        <v>83.344716000000005</v>
      </c>
      <c r="BT330" s="462">
        <f>IF(AND(AT330&lt;&gt;0,AM330="Y"),UIBY*W330,0)</f>
        <v>0</v>
      </c>
      <c r="BU330" s="462">
        <f>IF(AND(AT330&lt;&gt;0,N330&lt;&gt;"NR"),DHRBY*W330,0)</f>
        <v>35.372375999999996</v>
      </c>
      <c r="BV330" s="462">
        <f>IF(AT330&lt;&gt;0,WCBY*W330,0)</f>
        <v>401.11812000000003</v>
      </c>
      <c r="BW330" s="462">
        <f>IF(OR(AND(AT330&lt;&gt;0,AJ330&lt;&gt;"PF",AN330&lt;&gt;"NE",AG330&lt;&gt;"A"),AND(AL330="E",OR(AT330=1,AT330=3))),SickBY*W330,0)</f>
        <v>0</v>
      </c>
      <c r="BX330" s="462">
        <f t="shared" si="92"/>
        <v>2784.3608520000002</v>
      </c>
      <c r="BY330" s="462">
        <f t="shared" si="93"/>
        <v>0</v>
      </c>
      <c r="BZ330" s="462">
        <f t="shared" si="94"/>
        <v>0</v>
      </c>
      <c r="CA330" s="462">
        <f t="shared" si="95"/>
        <v>0</v>
      </c>
      <c r="CB330" s="462">
        <f t="shared" si="96"/>
        <v>0</v>
      </c>
      <c r="CC330" s="462">
        <f>IF(AT330&lt;&gt;0,SSHICHG*Y330,0)</f>
        <v>0</v>
      </c>
      <c r="CD330" s="462">
        <f>IF(AND(AT330&lt;&gt;0,AN330&lt;&gt;"NE"),VLOOKUP(AN330,Retirement_Rates,5,FALSE)*Y330,0)</f>
        <v>0</v>
      </c>
      <c r="CE330" s="462">
        <f>IF(AND(AT330&lt;&gt;0,AJ330&lt;&gt;"PF"),LifeCHG*Y330,0)</f>
        <v>0</v>
      </c>
      <c r="CF330" s="462">
        <f>IF(AND(AT330&lt;&gt;0,AM330="Y"),UICHG*Y330,0)</f>
        <v>-56.642040000000001</v>
      </c>
      <c r="CG330" s="462">
        <f>IF(AND(AT330&lt;&gt;0,N330&lt;&gt;"NR"),DHRCHG*Y330,0)</f>
        <v>0</v>
      </c>
      <c r="CH330" s="462">
        <f>IF(AT330&lt;&gt;0,WCCHG*Y330,0)</f>
        <v>90.164880000000025</v>
      </c>
      <c r="CI330" s="462">
        <f>IF(OR(AND(AT330&lt;&gt;0,AJ330&lt;&gt;"PF",AN330&lt;&gt;"NE",AG330&lt;&gt;"A"),AND(AL330="E",OR(AT330=1,AT330=3))),SickCHG*Y330,0)</f>
        <v>0</v>
      </c>
      <c r="CJ330" s="462">
        <f t="shared" si="97"/>
        <v>33.522840000000024</v>
      </c>
      <c r="CK330" s="462" t="str">
        <f t="shared" si="98"/>
        <v/>
      </c>
      <c r="CL330" s="462" t="str">
        <f t="shared" si="99"/>
        <v/>
      </c>
      <c r="CM330" s="462" t="str">
        <f t="shared" si="100"/>
        <v/>
      </c>
      <c r="CN330" s="462" t="str">
        <f t="shared" si="101"/>
        <v>0348-00</v>
      </c>
    </row>
    <row r="331" spans="1:92" ht="15" thickBot="1" x14ac:dyDescent="0.35">
      <c r="A331" s="376" t="s">
        <v>161</v>
      </c>
      <c r="B331" s="376" t="s">
        <v>162</v>
      </c>
      <c r="C331" s="376" t="s">
        <v>1004</v>
      </c>
      <c r="D331" s="376" t="s">
        <v>221</v>
      </c>
      <c r="E331" s="376" t="s">
        <v>428</v>
      </c>
      <c r="F331" s="377" t="s">
        <v>166</v>
      </c>
      <c r="G331" s="376" t="s">
        <v>951</v>
      </c>
      <c r="H331" s="378"/>
      <c r="I331" s="378"/>
      <c r="J331" s="376" t="s">
        <v>168</v>
      </c>
      <c r="K331" s="376" t="s">
        <v>222</v>
      </c>
      <c r="L331" s="376" t="s">
        <v>166</v>
      </c>
      <c r="M331" s="376" t="s">
        <v>225</v>
      </c>
      <c r="N331" s="376" t="s">
        <v>223</v>
      </c>
      <c r="O331" s="379">
        <v>0</v>
      </c>
      <c r="P331" s="460">
        <v>1</v>
      </c>
      <c r="Q331" s="460">
        <v>0</v>
      </c>
      <c r="R331" s="380">
        <v>0</v>
      </c>
      <c r="S331" s="460">
        <v>0</v>
      </c>
      <c r="T331" s="380">
        <v>0</v>
      </c>
      <c r="U331" s="380">
        <v>0</v>
      </c>
      <c r="V331" s="380">
        <v>0</v>
      </c>
      <c r="W331" s="380">
        <v>0</v>
      </c>
      <c r="X331" s="380">
        <v>0</v>
      </c>
      <c r="Y331" s="380">
        <v>0</v>
      </c>
      <c r="Z331" s="380">
        <v>0</v>
      </c>
      <c r="AA331" s="378"/>
      <c r="AB331" s="376" t="s">
        <v>45</v>
      </c>
      <c r="AC331" s="376" t="s">
        <v>45</v>
      </c>
      <c r="AD331" s="378"/>
      <c r="AE331" s="378"/>
      <c r="AF331" s="378"/>
      <c r="AG331" s="378"/>
      <c r="AH331" s="379">
        <v>0</v>
      </c>
      <c r="AI331" s="379">
        <v>0</v>
      </c>
      <c r="AJ331" s="378"/>
      <c r="AK331" s="378"/>
      <c r="AL331" s="376" t="s">
        <v>181</v>
      </c>
      <c r="AM331" s="378"/>
      <c r="AN331" s="378"/>
      <c r="AO331" s="379">
        <v>0</v>
      </c>
      <c r="AP331" s="460">
        <v>0</v>
      </c>
      <c r="AQ331" s="460">
        <v>0</v>
      </c>
      <c r="AR331" s="459"/>
      <c r="AS331" s="462">
        <f t="shared" si="85"/>
        <v>0</v>
      </c>
      <c r="AT331">
        <f t="shared" si="86"/>
        <v>0</v>
      </c>
      <c r="AU331" s="462" t="str">
        <f>IF(AT331=0,"",IF(AND(AT331=1,M331="F",SUMIF(C2:C391,C331,AS2:AS391)&lt;=1),SUMIF(C2:C391,C331,AS2:AS391),IF(AND(AT331=1,M331="F",SUMIF(C2:C391,C331,AS2:AS391)&gt;1),1,"")))</f>
        <v/>
      </c>
      <c r="AV331" s="462" t="str">
        <f>IF(AT331=0,"",IF(AND(AT331=3,M331="F",SUMIF(C2:C391,C331,AS2:AS391)&lt;=1),SUMIF(C2:C391,C331,AS2:AS391),IF(AND(AT331=3,M331="F",SUMIF(C2:C391,C331,AS2:AS391)&gt;1),1,"")))</f>
        <v/>
      </c>
      <c r="AW331" s="462">
        <f>SUMIF(C2:C391,C331,O2:O391)</f>
        <v>0</v>
      </c>
      <c r="AX331" s="462">
        <f>IF(AND(M331="F",AS331&lt;&gt;0),SUMIF(C2:C391,C331,W2:W391),0)</f>
        <v>0</v>
      </c>
      <c r="AY331" s="462" t="str">
        <f t="shared" si="87"/>
        <v/>
      </c>
      <c r="AZ331" s="462" t="str">
        <f t="shared" si="88"/>
        <v/>
      </c>
      <c r="BA331" s="462">
        <f t="shared" si="89"/>
        <v>0</v>
      </c>
      <c r="BB331" s="462">
        <f>IF(AND(AT331=1,AK331="E",AU331&gt;=0.75,AW331=1),Health,IF(AND(AT331=1,AK331="E",AU331&gt;=0.75),Health*P331,IF(AND(AT331=1,AK331="E",AU331&gt;=0.5,AW331=1),PTHealth,IF(AND(AT331=1,AK331="E",AU331&gt;=0.5),PTHealth*P331,0))))</f>
        <v>0</v>
      </c>
      <c r="BC331" s="462">
        <f>IF(AND(AT331=3,AK331="E",AV331&gt;=0.75,AW331=1),Health,IF(AND(AT331=3,AK331="E",AV331&gt;=0.75),Health*P331,IF(AND(AT331=3,AK331="E",AV331&gt;=0.5,AW331=1),PTHealth,IF(AND(AT331=3,AK331="E",AV331&gt;=0.5),PTHealth*P331,0))))</f>
        <v>0</v>
      </c>
      <c r="BD331" s="462">
        <f>IF(AND(AT331&lt;&gt;0,AX331&gt;=MAXSSDI),SSDI*MAXSSDI*P331,IF(AT331&lt;&gt;0,SSDI*W331,0))</f>
        <v>0</v>
      </c>
      <c r="BE331" s="462">
        <f>IF(AT331&lt;&gt;0,SSHI*W331,0)</f>
        <v>0</v>
      </c>
      <c r="BF331" s="462">
        <f>IF(AND(AT331&lt;&gt;0,AN331&lt;&gt;"NE"),VLOOKUP(AN331,Retirement_Rates,3,FALSE)*W331,0)</f>
        <v>0</v>
      </c>
      <c r="BG331" s="462">
        <f>IF(AND(AT331&lt;&gt;0,AJ331&lt;&gt;"PF"),Life*W331,0)</f>
        <v>0</v>
      </c>
      <c r="BH331" s="462">
        <f>IF(AND(AT331&lt;&gt;0,AM331="Y"),UI*W331,0)</f>
        <v>0</v>
      </c>
      <c r="BI331" s="462">
        <f>IF(AND(AT331&lt;&gt;0,N331&lt;&gt;"NR"),DHR*W331,0)</f>
        <v>0</v>
      </c>
      <c r="BJ331" s="462">
        <f>IF(AT331&lt;&gt;0,WC*W331,0)</f>
        <v>0</v>
      </c>
      <c r="BK331" s="462">
        <f>IF(OR(AND(AT331&lt;&gt;0,AJ331&lt;&gt;"PF",AN331&lt;&gt;"NE",AG331&lt;&gt;"A"),AND(AL331="E",OR(AT331=1,AT331=3))),Sick*W331,0)</f>
        <v>0</v>
      </c>
      <c r="BL331" s="462">
        <f t="shared" si="90"/>
        <v>0</v>
      </c>
      <c r="BM331" s="462">
        <f t="shared" si="91"/>
        <v>0</v>
      </c>
      <c r="BN331" s="462">
        <f>IF(AND(AT331=1,AK331="E",AU331&gt;=0.75,AW331=1),HealthBY,IF(AND(AT331=1,AK331="E",AU331&gt;=0.75),HealthBY*P331,IF(AND(AT331=1,AK331="E",AU331&gt;=0.5,AW331=1),PTHealthBY,IF(AND(AT331=1,AK331="E",AU331&gt;=0.5),PTHealthBY*P331,0))))</f>
        <v>0</v>
      </c>
      <c r="BO331" s="462">
        <f>IF(AND(AT331=3,AK331="E",AV331&gt;=0.75,AW331=1),HealthBY,IF(AND(AT331=3,AK331="E",AV331&gt;=0.75),HealthBY*P331,IF(AND(AT331=3,AK331="E",AV331&gt;=0.5,AW331=1),PTHealthBY,IF(AND(AT331=3,AK331="E",AV331&gt;=0.5),PTHealthBY*P331,0))))</f>
        <v>0</v>
      </c>
      <c r="BP331" s="462">
        <f>IF(AND(AT331&lt;&gt;0,(AX331+BA331)&gt;=MAXSSDIBY),SSDIBY*MAXSSDIBY*P331,IF(AT331&lt;&gt;0,SSDIBY*W331,0))</f>
        <v>0</v>
      </c>
      <c r="BQ331" s="462">
        <f>IF(AT331&lt;&gt;0,SSHIBY*W331,0)</f>
        <v>0</v>
      </c>
      <c r="BR331" s="462">
        <f>IF(AND(AT331&lt;&gt;0,AN331&lt;&gt;"NE"),VLOOKUP(AN331,Retirement_Rates,4,FALSE)*W331,0)</f>
        <v>0</v>
      </c>
      <c r="BS331" s="462">
        <f>IF(AND(AT331&lt;&gt;0,AJ331&lt;&gt;"PF"),LifeBY*W331,0)</f>
        <v>0</v>
      </c>
      <c r="BT331" s="462">
        <f>IF(AND(AT331&lt;&gt;0,AM331="Y"),UIBY*W331,0)</f>
        <v>0</v>
      </c>
      <c r="BU331" s="462">
        <f>IF(AND(AT331&lt;&gt;0,N331&lt;&gt;"NR"),DHRBY*W331,0)</f>
        <v>0</v>
      </c>
      <c r="BV331" s="462">
        <f>IF(AT331&lt;&gt;0,WCBY*W331,0)</f>
        <v>0</v>
      </c>
      <c r="BW331" s="462">
        <f>IF(OR(AND(AT331&lt;&gt;0,AJ331&lt;&gt;"PF",AN331&lt;&gt;"NE",AG331&lt;&gt;"A"),AND(AL331="E",OR(AT331=1,AT331=3))),SickBY*W331,0)</f>
        <v>0</v>
      </c>
      <c r="BX331" s="462">
        <f t="shared" si="92"/>
        <v>0</v>
      </c>
      <c r="BY331" s="462">
        <f t="shared" si="93"/>
        <v>0</v>
      </c>
      <c r="BZ331" s="462">
        <f t="shared" si="94"/>
        <v>0</v>
      </c>
      <c r="CA331" s="462">
        <f t="shared" si="95"/>
        <v>0</v>
      </c>
      <c r="CB331" s="462">
        <f t="shared" si="96"/>
        <v>0</v>
      </c>
      <c r="CC331" s="462">
        <f>IF(AT331&lt;&gt;0,SSHICHG*Y331,0)</f>
        <v>0</v>
      </c>
      <c r="CD331" s="462">
        <f>IF(AND(AT331&lt;&gt;0,AN331&lt;&gt;"NE"),VLOOKUP(AN331,Retirement_Rates,5,FALSE)*Y331,0)</f>
        <v>0</v>
      </c>
      <c r="CE331" s="462">
        <f>IF(AND(AT331&lt;&gt;0,AJ331&lt;&gt;"PF"),LifeCHG*Y331,0)</f>
        <v>0</v>
      </c>
      <c r="CF331" s="462">
        <f>IF(AND(AT331&lt;&gt;0,AM331="Y"),UICHG*Y331,0)</f>
        <v>0</v>
      </c>
      <c r="CG331" s="462">
        <f>IF(AND(AT331&lt;&gt;0,N331&lt;&gt;"NR"),DHRCHG*Y331,0)</f>
        <v>0</v>
      </c>
      <c r="CH331" s="462">
        <f>IF(AT331&lt;&gt;0,WCCHG*Y331,0)</f>
        <v>0</v>
      </c>
      <c r="CI331" s="462">
        <f>IF(OR(AND(AT331&lt;&gt;0,AJ331&lt;&gt;"PF",AN331&lt;&gt;"NE",AG331&lt;&gt;"A"),AND(AL331="E",OR(AT331=1,AT331=3))),SickCHG*Y331,0)</f>
        <v>0</v>
      </c>
      <c r="CJ331" s="462">
        <f t="shared" si="97"/>
        <v>0</v>
      </c>
      <c r="CK331" s="462" t="str">
        <f t="shared" si="98"/>
        <v/>
      </c>
      <c r="CL331" s="462">
        <f t="shared" si="99"/>
        <v>0</v>
      </c>
      <c r="CM331" s="462">
        <f t="shared" si="100"/>
        <v>0</v>
      </c>
      <c r="CN331" s="462" t="str">
        <f t="shared" si="101"/>
        <v>0348-00</v>
      </c>
    </row>
    <row r="332" spans="1:92" ht="15" thickBot="1" x14ac:dyDescent="0.35">
      <c r="A332" s="376" t="s">
        <v>161</v>
      </c>
      <c r="B332" s="376" t="s">
        <v>162</v>
      </c>
      <c r="C332" s="376" t="s">
        <v>640</v>
      </c>
      <c r="D332" s="376" t="s">
        <v>438</v>
      </c>
      <c r="E332" s="376" t="s">
        <v>428</v>
      </c>
      <c r="F332" s="377" t="s">
        <v>166</v>
      </c>
      <c r="G332" s="376" t="s">
        <v>951</v>
      </c>
      <c r="H332" s="378"/>
      <c r="I332" s="378"/>
      <c r="J332" s="376" t="s">
        <v>168</v>
      </c>
      <c r="K332" s="376" t="s">
        <v>439</v>
      </c>
      <c r="L332" s="376" t="s">
        <v>231</v>
      </c>
      <c r="M332" s="376" t="s">
        <v>171</v>
      </c>
      <c r="N332" s="376" t="s">
        <v>172</v>
      </c>
      <c r="O332" s="379">
        <v>1</v>
      </c>
      <c r="P332" s="460">
        <v>1</v>
      </c>
      <c r="Q332" s="460">
        <v>1</v>
      </c>
      <c r="R332" s="380">
        <v>80</v>
      </c>
      <c r="S332" s="460">
        <v>1</v>
      </c>
      <c r="T332" s="380">
        <v>40798.14</v>
      </c>
      <c r="U332" s="380">
        <v>0</v>
      </c>
      <c r="V332" s="380">
        <v>21143.15</v>
      </c>
      <c r="W332" s="380">
        <v>40892.800000000003</v>
      </c>
      <c r="X332" s="380">
        <v>21381.23</v>
      </c>
      <c r="Y332" s="380">
        <v>40892.800000000003</v>
      </c>
      <c r="Z332" s="380">
        <v>21499.83</v>
      </c>
      <c r="AA332" s="376" t="s">
        <v>641</v>
      </c>
      <c r="AB332" s="376" t="s">
        <v>642</v>
      </c>
      <c r="AC332" s="376" t="s">
        <v>643</v>
      </c>
      <c r="AD332" s="376" t="s">
        <v>170</v>
      </c>
      <c r="AE332" s="376" t="s">
        <v>439</v>
      </c>
      <c r="AF332" s="376" t="s">
        <v>236</v>
      </c>
      <c r="AG332" s="376" t="s">
        <v>178</v>
      </c>
      <c r="AH332" s="381">
        <v>19.66</v>
      </c>
      <c r="AI332" s="381">
        <v>3230.9</v>
      </c>
      <c r="AJ332" s="376" t="s">
        <v>179</v>
      </c>
      <c r="AK332" s="376" t="s">
        <v>180</v>
      </c>
      <c r="AL332" s="376" t="s">
        <v>181</v>
      </c>
      <c r="AM332" s="376" t="s">
        <v>182</v>
      </c>
      <c r="AN332" s="376" t="s">
        <v>68</v>
      </c>
      <c r="AO332" s="379">
        <v>80</v>
      </c>
      <c r="AP332" s="460">
        <v>1</v>
      </c>
      <c r="AQ332" s="460">
        <v>1</v>
      </c>
      <c r="AR332" s="458" t="s">
        <v>183</v>
      </c>
      <c r="AS332" s="462">
        <f t="shared" si="85"/>
        <v>1</v>
      </c>
      <c r="AT332">
        <f t="shared" si="86"/>
        <v>1</v>
      </c>
      <c r="AU332" s="462">
        <f>IF(AT332=0,"",IF(AND(AT332=1,M332="F",SUMIF(C2:C391,C332,AS2:AS391)&lt;=1),SUMIF(C2:C391,C332,AS2:AS391),IF(AND(AT332=1,M332="F",SUMIF(C2:C391,C332,AS2:AS391)&gt;1),1,"")))</f>
        <v>1</v>
      </c>
      <c r="AV332" s="462" t="str">
        <f>IF(AT332=0,"",IF(AND(AT332=3,M332="F",SUMIF(C2:C391,C332,AS2:AS391)&lt;=1),SUMIF(C2:C391,C332,AS2:AS391),IF(AND(AT332=3,M332="F",SUMIF(C2:C391,C332,AS2:AS391)&gt;1),1,"")))</f>
        <v/>
      </c>
      <c r="AW332" s="462">
        <f>SUMIF(C2:C391,C332,O2:O391)</f>
        <v>2</v>
      </c>
      <c r="AX332" s="462">
        <f>IF(AND(M332="F",AS332&lt;&gt;0),SUMIF(C2:C391,C332,W2:W391),0)</f>
        <v>40892.800000000003</v>
      </c>
      <c r="AY332" s="462">
        <f t="shared" si="87"/>
        <v>40892.800000000003</v>
      </c>
      <c r="AZ332" s="462" t="str">
        <f t="shared" si="88"/>
        <v/>
      </c>
      <c r="BA332" s="462">
        <f t="shared" si="89"/>
        <v>0</v>
      </c>
      <c r="BB332" s="462">
        <f>IF(AND(AT332=1,AK332="E",AU332&gt;=0.75,AW332=1),Health,IF(AND(AT332=1,AK332="E",AU332&gt;=0.75),Health*P332,IF(AND(AT332=1,AK332="E",AU332&gt;=0.5,AW332=1),PTHealth,IF(AND(AT332=1,AK332="E",AU332&gt;=0.5),PTHealth*P332,0))))</f>
        <v>11650</v>
      </c>
      <c r="BC332" s="462">
        <f>IF(AND(AT332=3,AK332="E",AV332&gt;=0.75,AW332=1),Health,IF(AND(AT332=3,AK332="E",AV332&gt;=0.75),Health*P332,IF(AND(AT332=3,AK332="E",AV332&gt;=0.5,AW332=1),PTHealth,IF(AND(AT332=3,AK332="E",AV332&gt;=0.5),PTHealth*P332,0))))</f>
        <v>0</v>
      </c>
      <c r="BD332" s="462">
        <f>IF(AND(AT332&lt;&gt;0,AX332&gt;=MAXSSDI),SSDI*MAXSSDI*P332,IF(AT332&lt;&gt;0,SSDI*W332,0))</f>
        <v>2535.3536000000004</v>
      </c>
      <c r="BE332" s="462">
        <f>IF(AT332&lt;&gt;0,SSHI*W332,0)</f>
        <v>592.94560000000013</v>
      </c>
      <c r="BF332" s="462">
        <f>IF(AND(AT332&lt;&gt;0,AN332&lt;&gt;"NE"),VLOOKUP(AN332,Retirement_Rates,3,FALSE)*W332,0)</f>
        <v>4882.6003200000005</v>
      </c>
      <c r="BG332" s="462">
        <f>IF(AND(AT332&lt;&gt;0,AJ332&lt;&gt;"PF"),Life*W332,0)</f>
        <v>294.83708800000005</v>
      </c>
      <c r="BH332" s="462">
        <f>IF(AND(AT332&lt;&gt;0,AM332="Y"),UI*W332,0)</f>
        <v>200.37472</v>
      </c>
      <c r="BI332" s="462">
        <f>IF(AND(AT332&lt;&gt;0,N332&lt;&gt;"NR"),DHR*W332,0)</f>
        <v>125.131968</v>
      </c>
      <c r="BJ332" s="462">
        <f>IF(AT332&lt;&gt;0,WC*W332,0)</f>
        <v>1100.0163200000002</v>
      </c>
      <c r="BK332" s="462">
        <f>IF(OR(AND(AT332&lt;&gt;0,AJ332&lt;&gt;"PF",AN332&lt;&gt;"NE",AG332&lt;&gt;"A"),AND(AL332="E",OR(AT332=1,AT332=3))),Sick*W332,0)</f>
        <v>0</v>
      </c>
      <c r="BL332" s="462">
        <f t="shared" si="90"/>
        <v>9731.2596160000012</v>
      </c>
      <c r="BM332" s="462">
        <f t="shared" si="91"/>
        <v>0</v>
      </c>
      <c r="BN332" s="462">
        <f>IF(AND(AT332=1,AK332="E",AU332&gt;=0.75,AW332=1),HealthBY,IF(AND(AT332=1,AK332="E",AU332&gt;=0.75),HealthBY*P332,IF(AND(AT332=1,AK332="E",AU332&gt;=0.5,AW332=1),PTHealthBY,IF(AND(AT332=1,AK332="E",AU332&gt;=0.5),PTHealthBY*P332,0))))</f>
        <v>11650</v>
      </c>
      <c r="BO332" s="462">
        <f>IF(AND(AT332=3,AK332="E",AV332&gt;=0.75,AW332=1),HealthBY,IF(AND(AT332=3,AK332="E",AV332&gt;=0.75),HealthBY*P332,IF(AND(AT332=3,AK332="E",AV332&gt;=0.5,AW332=1),PTHealthBY,IF(AND(AT332=3,AK332="E",AV332&gt;=0.5),PTHealthBY*P332,0))))</f>
        <v>0</v>
      </c>
      <c r="BP332" s="462">
        <f>IF(AND(AT332&lt;&gt;0,(AX332+BA332)&gt;=MAXSSDIBY),SSDIBY*MAXSSDIBY*P332,IF(AT332&lt;&gt;0,SSDIBY*W332,0))</f>
        <v>2535.3536000000004</v>
      </c>
      <c r="BQ332" s="462">
        <f>IF(AT332&lt;&gt;0,SSHIBY*W332,0)</f>
        <v>592.94560000000013</v>
      </c>
      <c r="BR332" s="462">
        <f>IF(AND(AT332&lt;&gt;0,AN332&lt;&gt;"NE"),VLOOKUP(AN332,Retirement_Rates,4,FALSE)*W332,0)</f>
        <v>4882.6003200000005</v>
      </c>
      <c r="BS332" s="462">
        <f>IF(AND(AT332&lt;&gt;0,AJ332&lt;&gt;"PF"),LifeBY*W332,0)</f>
        <v>294.83708800000005</v>
      </c>
      <c r="BT332" s="462">
        <f>IF(AND(AT332&lt;&gt;0,AM332="Y"),UIBY*W332,0)</f>
        <v>0</v>
      </c>
      <c r="BU332" s="462">
        <f>IF(AND(AT332&lt;&gt;0,N332&lt;&gt;"NR"),DHRBY*W332,0)</f>
        <v>125.131968</v>
      </c>
      <c r="BV332" s="462">
        <f>IF(AT332&lt;&gt;0,WCBY*W332,0)</f>
        <v>1418.9801600000001</v>
      </c>
      <c r="BW332" s="462">
        <f>IF(OR(AND(AT332&lt;&gt;0,AJ332&lt;&gt;"PF",AN332&lt;&gt;"NE",AG332&lt;&gt;"A"),AND(AL332="E",OR(AT332=1,AT332=3))),SickBY*W332,0)</f>
        <v>0</v>
      </c>
      <c r="BX332" s="462">
        <f t="shared" si="92"/>
        <v>9849.8487359999999</v>
      </c>
      <c r="BY332" s="462">
        <f t="shared" si="93"/>
        <v>0</v>
      </c>
      <c r="BZ332" s="462">
        <f t="shared" si="94"/>
        <v>0</v>
      </c>
      <c r="CA332" s="462">
        <f t="shared" si="95"/>
        <v>0</v>
      </c>
      <c r="CB332" s="462">
        <f t="shared" si="96"/>
        <v>0</v>
      </c>
      <c r="CC332" s="462">
        <f>IF(AT332&lt;&gt;0,SSHICHG*Y332,0)</f>
        <v>0</v>
      </c>
      <c r="CD332" s="462">
        <f>IF(AND(AT332&lt;&gt;0,AN332&lt;&gt;"NE"),VLOOKUP(AN332,Retirement_Rates,5,FALSE)*Y332,0)</f>
        <v>0</v>
      </c>
      <c r="CE332" s="462">
        <f>IF(AND(AT332&lt;&gt;0,AJ332&lt;&gt;"PF"),LifeCHG*Y332,0)</f>
        <v>0</v>
      </c>
      <c r="CF332" s="462">
        <f>IF(AND(AT332&lt;&gt;0,AM332="Y"),UICHG*Y332,0)</f>
        <v>-200.37472</v>
      </c>
      <c r="CG332" s="462">
        <f>IF(AND(AT332&lt;&gt;0,N332&lt;&gt;"NR"),DHRCHG*Y332,0)</f>
        <v>0</v>
      </c>
      <c r="CH332" s="462">
        <f>IF(AT332&lt;&gt;0,WCCHG*Y332,0)</f>
        <v>318.96384000000006</v>
      </c>
      <c r="CI332" s="462">
        <f>IF(OR(AND(AT332&lt;&gt;0,AJ332&lt;&gt;"PF",AN332&lt;&gt;"NE",AG332&lt;&gt;"A"),AND(AL332="E",OR(AT332=1,AT332=3))),SickCHG*Y332,0)</f>
        <v>0</v>
      </c>
      <c r="CJ332" s="462">
        <f t="shared" si="97"/>
        <v>118.58912000000007</v>
      </c>
      <c r="CK332" s="462" t="str">
        <f t="shared" si="98"/>
        <v/>
      </c>
      <c r="CL332" s="462" t="str">
        <f t="shared" si="99"/>
        <v/>
      </c>
      <c r="CM332" s="462" t="str">
        <f t="shared" si="100"/>
        <v/>
      </c>
      <c r="CN332" s="462" t="str">
        <f t="shared" si="101"/>
        <v>0348-00</v>
      </c>
    </row>
    <row r="333" spans="1:92" ht="15" thickBot="1" x14ac:dyDescent="0.35">
      <c r="A333" s="376" t="s">
        <v>161</v>
      </c>
      <c r="B333" s="376" t="s">
        <v>162</v>
      </c>
      <c r="C333" s="376" t="s">
        <v>1005</v>
      </c>
      <c r="D333" s="376" t="s">
        <v>1006</v>
      </c>
      <c r="E333" s="376" t="s">
        <v>428</v>
      </c>
      <c r="F333" s="377" t="s">
        <v>166</v>
      </c>
      <c r="G333" s="376" t="s">
        <v>951</v>
      </c>
      <c r="H333" s="378"/>
      <c r="I333" s="378"/>
      <c r="J333" s="376" t="s">
        <v>168</v>
      </c>
      <c r="K333" s="376" t="s">
        <v>1007</v>
      </c>
      <c r="L333" s="376" t="s">
        <v>166</v>
      </c>
      <c r="M333" s="376" t="s">
        <v>225</v>
      </c>
      <c r="N333" s="376" t="s">
        <v>223</v>
      </c>
      <c r="O333" s="379">
        <v>0</v>
      </c>
      <c r="P333" s="460">
        <v>1</v>
      </c>
      <c r="Q333" s="460">
        <v>0</v>
      </c>
      <c r="R333" s="380">
        <v>0</v>
      </c>
      <c r="S333" s="460">
        <v>0</v>
      </c>
      <c r="T333" s="380">
        <v>0</v>
      </c>
      <c r="U333" s="380">
        <v>0</v>
      </c>
      <c r="V333" s="380">
        <v>0</v>
      </c>
      <c r="W333" s="380">
        <v>0</v>
      </c>
      <c r="X333" s="380">
        <v>0</v>
      </c>
      <c r="Y333" s="380">
        <v>0</v>
      </c>
      <c r="Z333" s="380">
        <v>0</v>
      </c>
      <c r="AA333" s="378"/>
      <c r="AB333" s="376" t="s">
        <v>45</v>
      </c>
      <c r="AC333" s="376" t="s">
        <v>45</v>
      </c>
      <c r="AD333" s="378"/>
      <c r="AE333" s="378"/>
      <c r="AF333" s="378"/>
      <c r="AG333" s="378"/>
      <c r="AH333" s="379">
        <v>0</v>
      </c>
      <c r="AI333" s="379">
        <v>0</v>
      </c>
      <c r="AJ333" s="378"/>
      <c r="AK333" s="378"/>
      <c r="AL333" s="376" t="s">
        <v>181</v>
      </c>
      <c r="AM333" s="378"/>
      <c r="AN333" s="378"/>
      <c r="AO333" s="379">
        <v>0</v>
      </c>
      <c r="AP333" s="460">
        <v>0</v>
      </c>
      <c r="AQ333" s="460">
        <v>0</v>
      </c>
      <c r="AR333" s="459"/>
      <c r="AS333" s="462">
        <f t="shared" si="85"/>
        <v>0</v>
      </c>
      <c r="AT333">
        <f t="shared" si="86"/>
        <v>0</v>
      </c>
      <c r="AU333" s="462" t="str">
        <f>IF(AT333=0,"",IF(AND(AT333=1,M333="F",SUMIF(C2:C391,C333,AS2:AS391)&lt;=1),SUMIF(C2:C391,C333,AS2:AS391),IF(AND(AT333=1,M333="F",SUMIF(C2:C391,C333,AS2:AS391)&gt;1),1,"")))</f>
        <v/>
      </c>
      <c r="AV333" s="462" t="str">
        <f>IF(AT333=0,"",IF(AND(AT333=3,M333="F",SUMIF(C2:C391,C333,AS2:AS391)&lt;=1),SUMIF(C2:C391,C333,AS2:AS391),IF(AND(AT333=3,M333="F",SUMIF(C2:C391,C333,AS2:AS391)&gt;1),1,"")))</f>
        <v/>
      </c>
      <c r="AW333" s="462">
        <f>SUMIF(C2:C391,C333,O2:O391)</f>
        <v>0</v>
      </c>
      <c r="AX333" s="462">
        <f>IF(AND(M333="F",AS333&lt;&gt;0),SUMIF(C2:C391,C333,W2:W391),0)</f>
        <v>0</v>
      </c>
      <c r="AY333" s="462" t="str">
        <f t="shared" si="87"/>
        <v/>
      </c>
      <c r="AZ333" s="462" t="str">
        <f t="shared" si="88"/>
        <v/>
      </c>
      <c r="BA333" s="462">
        <f t="shared" si="89"/>
        <v>0</v>
      </c>
      <c r="BB333" s="462">
        <f>IF(AND(AT333=1,AK333="E",AU333&gt;=0.75,AW333=1),Health,IF(AND(AT333=1,AK333="E",AU333&gt;=0.75),Health*P333,IF(AND(AT333=1,AK333="E",AU333&gt;=0.5,AW333=1),PTHealth,IF(AND(AT333=1,AK333="E",AU333&gt;=0.5),PTHealth*P333,0))))</f>
        <v>0</v>
      </c>
      <c r="BC333" s="462">
        <f>IF(AND(AT333=3,AK333="E",AV333&gt;=0.75,AW333=1),Health,IF(AND(AT333=3,AK333="E",AV333&gt;=0.75),Health*P333,IF(AND(AT333=3,AK333="E",AV333&gt;=0.5,AW333=1),PTHealth,IF(AND(AT333=3,AK333="E",AV333&gt;=0.5),PTHealth*P333,0))))</f>
        <v>0</v>
      </c>
      <c r="BD333" s="462">
        <f>IF(AND(AT333&lt;&gt;0,AX333&gt;=MAXSSDI),SSDI*MAXSSDI*P333,IF(AT333&lt;&gt;0,SSDI*W333,0))</f>
        <v>0</v>
      </c>
      <c r="BE333" s="462">
        <f>IF(AT333&lt;&gt;0,SSHI*W333,0)</f>
        <v>0</v>
      </c>
      <c r="BF333" s="462">
        <f>IF(AND(AT333&lt;&gt;0,AN333&lt;&gt;"NE"),VLOOKUP(AN333,Retirement_Rates,3,FALSE)*W333,0)</f>
        <v>0</v>
      </c>
      <c r="BG333" s="462">
        <f>IF(AND(AT333&lt;&gt;0,AJ333&lt;&gt;"PF"),Life*W333,0)</f>
        <v>0</v>
      </c>
      <c r="BH333" s="462">
        <f>IF(AND(AT333&lt;&gt;0,AM333="Y"),UI*W333,0)</f>
        <v>0</v>
      </c>
      <c r="BI333" s="462">
        <f>IF(AND(AT333&lt;&gt;0,N333&lt;&gt;"NR"),DHR*W333,0)</f>
        <v>0</v>
      </c>
      <c r="BJ333" s="462">
        <f>IF(AT333&lt;&gt;0,WC*W333,0)</f>
        <v>0</v>
      </c>
      <c r="BK333" s="462">
        <f>IF(OR(AND(AT333&lt;&gt;0,AJ333&lt;&gt;"PF",AN333&lt;&gt;"NE",AG333&lt;&gt;"A"),AND(AL333="E",OR(AT333=1,AT333=3))),Sick*W333,0)</f>
        <v>0</v>
      </c>
      <c r="BL333" s="462">
        <f t="shared" si="90"/>
        <v>0</v>
      </c>
      <c r="BM333" s="462">
        <f t="shared" si="91"/>
        <v>0</v>
      </c>
      <c r="BN333" s="462">
        <f>IF(AND(AT333=1,AK333="E",AU333&gt;=0.75,AW333=1),HealthBY,IF(AND(AT333=1,AK333="E",AU333&gt;=0.75),HealthBY*P333,IF(AND(AT333=1,AK333="E",AU333&gt;=0.5,AW333=1),PTHealthBY,IF(AND(AT333=1,AK333="E",AU333&gt;=0.5),PTHealthBY*P333,0))))</f>
        <v>0</v>
      </c>
      <c r="BO333" s="462">
        <f>IF(AND(AT333=3,AK333="E",AV333&gt;=0.75,AW333=1),HealthBY,IF(AND(AT333=3,AK333="E",AV333&gt;=0.75),HealthBY*P333,IF(AND(AT333=3,AK333="E",AV333&gt;=0.5,AW333=1),PTHealthBY,IF(AND(AT333=3,AK333="E",AV333&gt;=0.5),PTHealthBY*P333,0))))</f>
        <v>0</v>
      </c>
      <c r="BP333" s="462">
        <f>IF(AND(AT333&lt;&gt;0,(AX333+BA333)&gt;=MAXSSDIBY),SSDIBY*MAXSSDIBY*P333,IF(AT333&lt;&gt;0,SSDIBY*W333,0))</f>
        <v>0</v>
      </c>
      <c r="BQ333" s="462">
        <f>IF(AT333&lt;&gt;0,SSHIBY*W333,0)</f>
        <v>0</v>
      </c>
      <c r="BR333" s="462">
        <f>IF(AND(AT333&lt;&gt;0,AN333&lt;&gt;"NE"),VLOOKUP(AN333,Retirement_Rates,4,FALSE)*W333,0)</f>
        <v>0</v>
      </c>
      <c r="BS333" s="462">
        <f>IF(AND(AT333&lt;&gt;0,AJ333&lt;&gt;"PF"),LifeBY*W333,0)</f>
        <v>0</v>
      </c>
      <c r="BT333" s="462">
        <f>IF(AND(AT333&lt;&gt;0,AM333="Y"),UIBY*W333,0)</f>
        <v>0</v>
      </c>
      <c r="BU333" s="462">
        <f>IF(AND(AT333&lt;&gt;0,N333&lt;&gt;"NR"),DHRBY*W333,0)</f>
        <v>0</v>
      </c>
      <c r="BV333" s="462">
        <f>IF(AT333&lt;&gt;0,WCBY*W333,0)</f>
        <v>0</v>
      </c>
      <c r="BW333" s="462">
        <f>IF(OR(AND(AT333&lt;&gt;0,AJ333&lt;&gt;"PF",AN333&lt;&gt;"NE",AG333&lt;&gt;"A"),AND(AL333="E",OR(AT333=1,AT333=3))),SickBY*W333,0)</f>
        <v>0</v>
      </c>
      <c r="BX333" s="462">
        <f t="shared" si="92"/>
        <v>0</v>
      </c>
      <c r="BY333" s="462">
        <f t="shared" si="93"/>
        <v>0</v>
      </c>
      <c r="BZ333" s="462">
        <f t="shared" si="94"/>
        <v>0</v>
      </c>
      <c r="CA333" s="462">
        <f t="shared" si="95"/>
        <v>0</v>
      </c>
      <c r="CB333" s="462">
        <f t="shared" si="96"/>
        <v>0</v>
      </c>
      <c r="CC333" s="462">
        <f>IF(AT333&lt;&gt;0,SSHICHG*Y333,0)</f>
        <v>0</v>
      </c>
      <c r="CD333" s="462">
        <f>IF(AND(AT333&lt;&gt;0,AN333&lt;&gt;"NE"),VLOOKUP(AN333,Retirement_Rates,5,FALSE)*Y333,0)</f>
        <v>0</v>
      </c>
      <c r="CE333" s="462">
        <f>IF(AND(AT333&lt;&gt;0,AJ333&lt;&gt;"PF"),LifeCHG*Y333,0)</f>
        <v>0</v>
      </c>
      <c r="CF333" s="462">
        <f>IF(AND(AT333&lt;&gt;0,AM333="Y"),UICHG*Y333,0)</f>
        <v>0</v>
      </c>
      <c r="CG333" s="462">
        <f>IF(AND(AT333&lt;&gt;0,N333&lt;&gt;"NR"),DHRCHG*Y333,0)</f>
        <v>0</v>
      </c>
      <c r="CH333" s="462">
        <f>IF(AT333&lt;&gt;0,WCCHG*Y333,0)</f>
        <v>0</v>
      </c>
      <c r="CI333" s="462">
        <f>IF(OR(AND(AT333&lt;&gt;0,AJ333&lt;&gt;"PF",AN333&lt;&gt;"NE",AG333&lt;&gt;"A"),AND(AL333="E",OR(AT333=1,AT333=3))),SickCHG*Y333,0)</f>
        <v>0</v>
      </c>
      <c r="CJ333" s="462">
        <f t="shared" si="97"/>
        <v>0</v>
      </c>
      <c r="CK333" s="462" t="str">
        <f t="shared" si="98"/>
        <v/>
      </c>
      <c r="CL333" s="462">
        <f t="shared" si="99"/>
        <v>0</v>
      </c>
      <c r="CM333" s="462">
        <f t="shared" si="100"/>
        <v>0</v>
      </c>
      <c r="CN333" s="462" t="str">
        <f t="shared" si="101"/>
        <v>0348-00</v>
      </c>
    </row>
    <row r="334" spans="1:92" ht="15" thickBot="1" x14ac:dyDescent="0.35">
      <c r="A334" s="376" t="s">
        <v>161</v>
      </c>
      <c r="B334" s="376" t="s">
        <v>162</v>
      </c>
      <c r="C334" s="376" t="s">
        <v>668</v>
      </c>
      <c r="D334" s="376" t="s">
        <v>438</v>
      </c>
      <c r="E334" s="376" t="s">
        <v>428</v>
      </c>
      <c r="F334" s="377" t="s">
        <v>166</v>
      </c>
      <c r="G334" s="376" t="s">
        <v>951</v>
      </c>
      <c r="H334" s="378"/>
      <c r="I334" s="378"/>
      <c r="J334" s="376" t="s">
        <v>193</v>
      </c>
      <c r="K334" s="376" t="s">
        <v>439</v>
      </c>
      <c r="L334" s="376" t="s">
        <v>231</v>
      </c>
      <c r="M334" s="376" t="s">
        <v>171</v>
      </c>
      <c r="N334" s="376" t="s">
        <v>172</v>
      </c>
      <c r="O334" s="379">
        <v>1</v>
      </c>
      <c r="P334" s="460">
        <v>0.5</v>
      </c>
      <c r="Q334" s="460">
        <v>0.5</v>
      </c>
      <c r="R334" s="380">
        <v>80</v>
      </c>
      <c r="S334" s="460">
        <v>0.5</v>
      </c>
      <c r="T334" s="380">
        <v>20923.099999999999</v>
      </c>
      <c r="U334" s="380">
        <v>0</v>
      </c>
      <c r="V334" s="380">
        <v>10661.85</v>
      </c>
      <c r="W334" s="380">
        <v>20446.400000000001</v>
      </c>
      <c r="X334" s="380">
        <v>10690.61</v>
      </c>
      <c r="Y334" s="380">
        <v>20446.400000000001</v>
      </c>
      <c r="Z334" s="380">
        <v>10749.91</v>
      </c>
      <c r="AA334" s="376" t="s">
        <v>669</v>
      </c>
      <c r="AB334" s="376" t="s">
        <v>670</v>
      </c>
      <c r="AC334" s="376" t="s">
        <v>671</v>
      </c>
      <c r="AD334" s="376" t="s">
        <v>181</v>
      </c>
      <c r="AE334" s="376" t="s">
        <v>439</v>
      </c>
      <c r="AF334" s="376" t="s">
        <v>236</v>
      </c>
      <c r="AG334" s="376" t="s">
        <v>178</v>
      </c>
      <c r="AH334" s="381">
        <v>19.66</v>
      </c>
      <c r="AI334" s="381">
        <v>5223.5</v>
      </c>
      <c r="AJ334" s="376" t="s">
        <v>179</v>
      </c>
      <c r="AK334" s="376" t="s">
        <v>180</v>
      </c>
      <c r="AL334" s="376" t="s">
        <v>181</v>
      </c>
      <c r="AM334" s="376" t="s">
        <v>182</v>
      </c>
      <c r="AN334" s="376" t="s">
        <v>68</v>
      </c>
      <c r="AO334" s="379">
        <v>80</v>
      </c>
      <c r="AP334" s="460">
        <v>1</v>
      </c>
      <c r="AQ334" s="460">
        <v>0.5</v>
      </c>
      <c r="AR334" s="458" t="s">
        <v>183</v>
      </c>
      <c r="AS334" s="462">
        <f t="shared" si="85"/>
        <v>0.5</v>
      </c>
      <c r="AT334">
        <f t="shared" si="86"/>
        <v>1</v>
      </c>
      <c r="AU334" s="462">
        <f>IF(AT334=0,"",IF(AND(AT334=1,M334="F",SUMIF(C2:C391,C334,AS2:AS391)&lt;=1),SUMIF(C2:C391,C334,AS2:AS391),IF(AND(AT334=1,M334="F",SUMIF(C2:C391,C334,AS2:AS391)&gt;1),1,"")))</f>
        <v>1</v>
      </c>
      <c r="AV334" s="462" t="str">
        <f>IF(AT334=0,"",IF(AND(AT334=3,M334="F",SUMIF(C2:C391,C334,AS2:AS391)&lt;=1),SUMIF(C2:C391,C334,AS2:AS391),IF(AND(AT334=3,M334="F",SUMIF(C2:C391,C334,AS2:AS391)&gt;1),1,"")))</f>
        <v/>
      </c>
      <c r="AW334" s="462">
        <f>SUMIF(C2:C391,C334,O2:O391)</f>
        <v>2</v>
      </c>
      <c r="AX334" s="462">
        <f>IF(AND(M334="F",AS334&lt;&gt;0),SUMIF(C2:C391,C334,W2:W391),0)</f>
        <v>40892.800000000003</v>
      </c>
      <c r="AY334" s="462">
        <f t="shared" si="87"/>
        <v>20446.400000000001</v>
      </c>
      <c r="AZ334" s="462" t="str">
        <f t="shared" si="88"/>
        <v/>
      </c>
      <c r="BA334" s="462">
        <f t="shared" si="89"/>
        <v>0</v>
      </c>
      <c r="BB334" s="462">
        <f>IF(AND(AT334=1,AK334="E",AU334&gt;=0.75,AW334=1),Health,IF(AND(AT334=1,AK334="E",AU334&gt;=0.75),Health*P334,IF(AND(AT334=1,AK334="E",AU334&gt;=0.5,AW334=1),PTHealth,IF(AND(AT334=1,AK334="E",AU334&gt;=0.5),PTHealth*P334,0))))</f>
        <v>5825</v>
      </c>
      <c r="BC334" s="462">
        <f>IF(AND(AT334=3,AK334="E",AV334&gt;=0.75,AW334=1),Health,IF(AND(AT334=3,AK334="E",AV334&gt;=0.75),Health*P334,IF(AND(AT334=3,AK334="E",AV334&gt;=0.5,AW334=1),PTHealth,IF(AND(AT334=3,AK334="E",AV334&gt;=0.5),PTHealth*P334,0))))</f>
        <v>0</v>
      </c>
      <c r="BD334" s="462">
        <f>IF(AND(AT334&lt;&gt;0,AX334&gt;=MAXSSDI),SSDI*MAXSSDI*P334,IF(AT334&lt;&gt;0,SSDI*W334,0))</f>
        <v>1267.6768000000002</v>
      </c>
      <c r="BE334" s="462">
        <f>IF(AT334&lt;&gt;0,SSHI*W334,0)</f>
        <v>296.47280000000006</v>
      </c>
      <c r="BF334" s="462">
        <f>IF(AND(AT334&lt;&gt;0,AN334&lt;&gt;"NE"),VLOOKUP(AN334,Retirement_Rates,3,FALSE)*W334,0)</f>
        <v>2441.3001600000002</v>
      </c>
      <c r="BG334" s="462">
        <f>IF(AND(AT334&lt;&gt;0,AJ334&lt;&gt;"PF"),Life*W334,0)</f>
        <v>147.41854400000003</v>
      </c>
      <c r="BH334" s="462">
        <f>IF(AND(AT334&lt;&gt;0,AM334="Y"),UI*W334,0)</f>
        <v>100.18736</v>
      </c>
      <c r="BI334" s="462">
        <f>IF(AND(AT334&lt;&gt;0,N334&lt;&gt;"NR"),DHR*W334,0)</f>
        <v>62.565984</v>
      </c>
      <c r="BJ334" s="462">
        <f>IF(AT334&lt;&gt;0,WC*W334,0)</f>
        <v>550.00816000000009</v>
      </c>
      <c r="BK334" s="462">
        <f>IF(OR(AND(AT334&lt;&gt;0,AJ334&lt;&gt;"PF",AN334&lt;&gt;"NE",AG334&lt;&gt;"A"),AND(AL334="E",OR(AT334=1,AT334=3))),Sick*W334,0)</f>
        <v>0</v>
      </c>
      <c r="BL334" s="462">
        <f t="shared" si="90"/>
        <v>4865.6298080000006</v>
      </c>
      <c r="BM334" s="462">
        <f t="shared" si="91"/>
        <v>0</v>
      </c>
      <c r="BN334" s="462">
        <f>IF(AND(AT334=1,AK334="E",AU334&gt;=0.75,AW334=1),HealthBY,IF(AND(AT334=1,AK334="E",AU334&gt;=0.75),HealthBY*P334,IF(AND(AT334=1,AK334="E",AU334&gt;=0.5,AW334=1),PTHealthBY,IF(AND(AT334=1,AK334="E",AU334&gt;=0.5),PTHealthBY*P334,0))))</f>
        <v>5825</v>
      </c>
      <c r="BO334" s="462">
        <f>IF(AND(AT334=3,AK334="E",AV334&gt;=0.75,AW334=1),HealthBY,IF(AND(AT334=3,AK334="E",AV334&gt;=0.75),HealthBY*P334,IF(AND(AT334=3,AK334="E",AV334&gt;=0.5,AW334=1),PTHealthBY,IF(AND(AT334=3,AK334="E",AV334&gt;=0.5),PTHealthBY*P334,0))))</f>
        <v>0</v>
      </c>
      <c r="BP334" s="462">
        <f>IF(AND(AT334&lt;&gt;0,(AX334+BA334)&gt;=MAXSSDIBY),SSDIBY*MAXSSDIBY*P334,IF(AT334&lt;&gt;0,SSDIBY*W334,0))</f>
        <v>1267.6768000000002</v>
      </c>
      <c r="BQ334" s="462">
        <f>IF(AT334&lt;&gt;0,SSHIBY*W334,0)</f>
        <v>296.47280000000006</v>
      </c>
      <c r="BR334" s="462">
        <f>IF(AND(AT334&lt;&gt;0,AN334&lt;&gt;"NE"),VLOOKUP(AN334,Retirement_Rates,4,FALSE)*W334,0)</f>
        <v>2441.3001600000002</v>
      </c>
      <c r="BS334" s="462">
        <f>IF(AND(AT334&lt;&gt;0,AJ334&lt;&gt;"PF"),LifeBY*W334,0)</f>
        <v>147.41854400000003</v>
      </c>
      <c r="BT334" s="462">
        <f>IF(AND(AT334&lt;&gt;0,AM334="Y"),UIBY*W334,0)</f>
        <v>0</v>
      </c>
      <c r="BU334" s="462">
        <f>IF(AND(AT334&lt;&gt;0,N334&lt;&gt;"NR"),DHRBY*W334,0)</f>
        <v>62.565984</v>
      </c>
      <c r="BV334" s="462">
        <f>IF(AT334&lt;&gt;0,WCBY*W334,0)</f>
        <v>709.49008000000003</v>
      </c>
      <c r="BW334" s="462">
        <f>IF(OR(AND(AT334&lt;&gt;0,AJ334&lt;&gt;"PF",AN334&lt;&gt;"NE",AG334&lt;&gt;"A"),AND(AL334="E",OR(AT334=1,AT334=3))),SickBY*W334,0)</f>
        <v>0</v>
      </c>
      <c r="BX334" s="462">
        <f t="shared" si="92"/>
        <v>4924.924368</v>
      </c>
      <c r="BY334" s="462">
        <f t="shared" si="93"/>
        <v>0</v>
      </c>
      <c r="BZ334" s="462">
        <f t="shared" si="94"/>
        <v>0</v>
      </c>
      <c r="CA334" s="462">
        <f t="shared" si="95"/>
        <v>0</v>
      </c>
      <c r="CB334" s="462">
        <f t="shared" si="96"/>
        <v>0</v>
      </c>
      <c r="CC334" s="462">
        <f>IF(AT334&lt;&gt;0,SSHICHG*Y334,0)</f>
        <v>0</v>
      </c>
      <c r="CD334" s="462">
        <f>IF(AND(AT334&lt;&gt;0,AN334&lt;&gt;"NE"),VLOOKUP(AN334,Retirement_Rates,5,FALSE)*Y334,0)</f>
        <v>0</v>
      </c>
      <c r="CE334" s="462">
        <f>IF(AND(AT334&lt;&gt;0,AJ334&lt;&gt;"PF"),LifeCHG*Y334,0)</f>
        <v>0</v>
      </c>
      <c r="CF334" s="462">
        <f>IF(AND(AT334&lt;&gt;0,AM334="Y"),UICHG*Y334,0)</f>
        <v>-100.18736</v>
      </c>
      <c r="CG334" s="462">
        <f>IF(AND(AT334&lt;&gt;0,N334&lt;&gt;"NR"),DHRCHG*Y334,0)</f>
        <v>0</v>
      </c>
      <c r="CH334" s="462">
        <f>IF(AT334&lt;&gt;0,WCCHG*Y334,0)</f>
        <v>159.48192000000003</v>
      </c>
      <c r="CI334" s="462">
        <f>IF(OR(AND(AT334&lt;&gt;0,AJ334&lt;&gt;"PF",AN334&lt;&gt;"NE",AG334&lt;&gt;"A"),AND(AL334="E",OR(AT334=1,AT334=3))),SickCHG*Y334,0)</f>
        <v>0</v>
      </c>
      <c r="CJ334" s="462">
        <f t="shared" si="97"/>
        <v>59.294560000000033</v>
      </c>
      <c r="CK334" s="462" t="str">
        <f t="shared" si="98"/>
        <v/>
      </c>
      <c r="CL334" s="462" t="str">
        <f t="shared" si="99"/>
        <v/>
      </c>
      <c r="CM334" s="462" t="str">
        <f t="shared" si="100"/>
        <v/>
      </c>
      <c r="CN334" s="462" t="str">
        <f t="shared" si="101"/>
        <v>0348-00</v>
      </c>
    </row>
    <row r="335" spans="1:92" ht="15" thickBot="1" x14ac:dyDescent="0.35">
      <c r="A335" s="376" t="s">
        <v>161</v>
      </c>
      <c r="B335" s="376" t="s">
        <v>162</v>
      </c>
      <c r="C335" s="376" t="s">
        <v>991</v>
      </c>
      <c r="D335" s="376" t="s">
        <v>981</v>
      </c>
      <c r="E335" s="376" t="s">
        <v>428</v>
      </c>
      <c r="F335" s="377" t="s">
        <v>166</v>
      </c>
      <c r="G335" s="376" t="s">
        <v>951</v>
      </c>
      <c r="H335" s="378"/>
      <c r="I335" s="378"/>
      <c r="J335" s="376" t="s">
        <v>229</v>
      </c>
      <c r="K335" s="376" t="s">
        <v>982</v>
      </c>
      <c r="L335" s="376" t="s">
        <v>240</v>
      </c>
      <c r="M335" s="376" t="s">
        <v>171</v>
      </c>
      <c r="N335" s="376" t="s">
        <v>172</v>
      </c>
      <c r="O335" s="379">
        <v>1</v>
      </c>
      <c r="P335" s="460">
        <v>0.75</v>
      </c>
      <c r="Q335" s="460">
        <v>0.75</v>
      </c>
      <c r="R335" s="380">
        <v>80</v>
      </c>
      <c r="S335" s="460">
        <v>0.75</v>
      </c>
      <c r="T335" s="380">
        <v>34562.129999999997</v>
      </c>
      <c r="U335" s="380">
        <v>0</v>
      </c>
      <c r="V335" s="380">
        <v>16812.560000000001</v>
      </c>
      <c r="W335" s="380">
        <v>34335.599999999999</v>
      </c>
      <c r="X335" s="380">
        <v>16908.3</v>
      </c>
      <c r="Y335" s="380">
        <v>34335.599999999999</v>
      </c>
      <c r="Z335" s="380">
        <v>17007.88</v>
      </c>
      <c r="AA335" s="376" t="s">
        <v>992</v>
      </c>
      <c r="AB335" s="376" t="s">
        <v>993</v>
      </c>
      <c r="AC335" s="376" t="s">
        <v>561</v>
      </c>
      <c r="AD335" s="376" t="s">
        <v>176</v>
      </c>
      <c r="AE335" s="376" t="s">
        <v>982</v>
      </c>
      <c r="AF335" s="376" t="s">
        <v>244</v>
      </c>
      <c r="AG335" s="376" t="s">
        <v>178</v>
      </c>
      <c r="AH335" s="381">
        <v>22.01</v>
      </c>
      <c r="AI335" s="381">
        <v>3571.8</v>
      </c>
      <c r="AJ335" s="376" t="s">
        <v>179</v>
      </c>
      <c r="AK335" s="376" t="s">
        <v>180</v>
      </c>
      <c r="AL335" s="376" t="s">
        <v>181</v>
      </c>
      <c r="AM335" s="376" t="s">
        <v>182</v>
      </c>
      <c r="AN335" s="376" t="s">
        <v>68</v>
      </c>
      <c r="AO335" s="379">
        <v>80</v>
      </c>
      <c r="AP335" s="460">
        <v>1</v>
      </c>
      <c r="AQ335" s="460">
        <v>0.75</v>
      </c>
      <c r="AR335" s="458" t="s">
        <v>183</v>
      </c>
      <c r="AS335" s="462">
        <f t="shared" si="85"/>
        <v>0.75</v>
      </c>
      <c r="AT335">
        <f t="shared" si="86"/>
        <v>1</v>
      </c>
      <c r="AU335" s="462">
        <f>IF(AT335=0,"",IF(AND(AT335=1,M335="F",SUMIF(C2:C391,C335,AS2:AS391)&lt;=1),SUMIF(C2:C391,C335,AS2:AS391),IF(AND(AT335=1,M335="F",SUMIF(C2:C391,C335,AS2:AS391)&gt;1),1,"")))</f>
        <v>1</v>
      </c>
      <c r="AV335" s="462" t="str">
        <f>IF(AT335=0,"",IF(AND(AT335=3,M335="F",SUMIF(C2:C391,C335,AS2:AS391)&lt;=1),SUMIF(C2:C391,C335,AS2:AS391),IF(AND(AT335=3,M335="F",SUMIF(C2:C391,C335,AS2:AS391)&gt;1),1,"")))</f>
        <v/>
      </c>
      <c r="AW335" s="462">
        <f>SUMIF(C2:C391,C335,O2:O391)</f>
        <v>2</v>
      </c>
      <c r="AX335" s="462">
        <f>IF(AND(M335="F",AS335&lt;&gt;0),SUMIF(C2:C391,C335,W2:W391),0)</f>
        <v>45780.800000000003</v>
      </c>
      <c r="AY335" s="462">
        <f t="shared" si="87"/>
        <v>34335.599999999999</v>
      </c>
      <c r="AZ335" s="462" t="str">
        <f t="shared" si="88"/>
        <v/>
      </c>
      <c r="BA335" s="462">
        <f t="shared" si="89"/>
        <v>0</v>
      </c>
      <c r="BB335" s="462">
        <f>IF(AND(AT335=1,AK335="E",AU335&gt;=0.75,AW335=1),Health,IF(AND(AT335=1,AK335="E",AU335&gt;=0.75),Health*P335,IF(AND(AT335=1,AK335="E",AU335&gt;=0.5,AW335=1),PTHealth,IF(AND(AT335=1,AK335="E",AU335&gt;=0.5),PTHealth*P335,0))))</f>
        <v>8737.5</v>
      </c>
      <c r="BC335" s="462">
        <f>IF(AND(AT335=3,AK335="E",AV335&gt;=0.75,AW335=1),Health,IF(AND(AT335=3,AK335="E",AV335&gt;=0.75),Health*P335,IF(AND(AT335=3,AK335="E",AV335&gt;=0.5,AW335=1),PTHealth,IF(AND(AT335=3,AK335="E",AV335&gt;=0.5),PTHealth*P335,0))))</f>
        <v>0</v>
      </c>
      <c r="BD335" s="462">
        <f>IF(AND(AT335&lt;&gt;0,AX335&gt;=MAXSSDI),SSDI*MAXSSDI*P335,IF(AT335&lt;&gt;0,SSDI*W335,0))</f>
        <v>2128.8071999999997</v>
      </c>
      <c r="BE335" s="462">
        <f>IF(AT335&lt;&gt;0,SSHI*W335,0)</f>
        <v>497.86619999999999</v>
      </c>
      <c r="BF335" s="462">
        <f>IF(AND(AT335&lt;&gt;0,AN335&lt;&gt;"NE"),VLOOKUP(AN335,Retirement_Rates,3,FALSE)*W335,0)</f>
        <v>4099.6706400000003</v>
      </c>
      <c r="BG335" s="462">
        <f>IF(AND(AT335&lt;&gt;0,AJ335&lt;&gt;"PF"),Life*W335,0)</f>
        <v>247.559676</v>
      </c>
      <c r="BH335" s="462">
        <f>IF(AND(AT335&lt;&gt;0,AM335="Y"),UI*W335,0)</f>
        <v>168.24444</v>
      </c>
      <c r="BI335" s="462">
        <f>IF(AND(AT335&lt;&gt;0,N335&lt;&gt;"NR"),DHR*W335,0)</f>
        <v>105.06693599999998</v>
      </c>
      <c r="BJ335" s="462">
        <f>IF(AT335&lt;&gt;0,WC*W335,0)</f>
        <v>923.62763999999993</v>
      </c>
      <c r="BK335" s="462">
        <f>IF(OR(AND(AT335&lt;&gt;0,AJ335&lt;&gt;"PF",AN335&lt;&gt;"NE",AG335&lt;&gt;"A"),AND(AL335="E",OR(AT335=1,AT335=3))),Sick*W335,0)</f>
        <v>0</v>
      </c>
      <c r="BL335" s="462">
        <f t="shared" si="90"/>
        <v>8170.8427320000001</v>
      </c>
      <c r="BM335" s="462">
        <f t="shared" si="91"/>
        <v>0</v>
      </c>
      <c r="BN335" s="462">
        <f>IF(AND(AT335=1,AK335="E",AU335&gt;=0.75,AW335=1),HealthBY,IF(AND(AT335=1,AK335="E",AU335&gt;=0.75),HealthBY*P335,IF(AND(AT335=1,AK335="E",AU335&gt;=0.5,AW335=1),PTHealthBY,IF(AND(AT335=1,AK335="E",AU335&gt;=0.5),PTHealthBY*P335,0))))</f>
        <v>8737.5</v>
      </c>
      <c r="BO335" s="462">
        <f>IF(AND(AT335=3,AK335="E",AV335&gt;=0.75,AW335=1),HealthBY,IF(AND(AT335=3,AK335="E",AV335&gt;=0.75),HealthBY*P335,IF(AND(AT335=3,AK335="E",AV335&gt;=0.5,AW335=1),PTHealthBY,IF(AND(AT335=3,AK335="E",AV335&gt;=0.5),PTHealthBY*P335,0))))</f>
        <v>0</v>
      </c>
      <c r="BP335" s="462">
        <f>IF(AND(AT335&lt;&gt;0,(AX335+BA335)&gt;=MAXSSDIBY),SSDIBY*MAXSSDIBY*P335,IF(AT335&lt;&gt;0,SSDIBY*W335,0))</f>
        <v>2128.8071999999997</v>
      </c>
      <c r="BQ335" s="462">
        <f>IF(AT335&lt;&gt;0,SSHIBY*W335,0)</f>
        <v>497.86619999999999</v>
      </c>
      <c r="BR335" s="462">
        <f>IF(AND(AT335&lt;&gt;0,AN335&lt;&gt;"NE"),VLOOKUP(AN335,Retirement_Rates,4,FALSE)*W335,0)</f>
        <v>4099.6706400000003</v>
      </c>
      <c r="BS335" s="462">
        <f>IF(AND(AT335&lt;&gt;0,AJ335&lt;&gt;"PF"),LifeBY*W335,0)</f>
        <v>247.559676</v>
      </c>
      <c r="BT335" s="462">
        <f>IF(AND(AT335&lt;&gt;0,AM335="Y"),UIBY*W335,0)</f>
        <v>0</v>
      </c>
      <c r="BU335" s="462">
        <f>IF(AND(AT335&lt;&gt;0,N335&lt;&gt;"NR"),DHRBY*W335,0)</f>
        <v>105.06693599999998</v>
      </c>
      <c r="BV335" s="462">
        <f>IF(AT335&lt;&gt;0,WCBY*W335,0)</f>
        <v>1191.44532</v>
      </c>
      <c r="BW335" s="462">
        <f>IF(OR(AND(AT335&lt;&gt;0,AJ335&lt;&gt;"PF",AN335&lt;&gt;"NE",AG335&lt;&gt;"A"),AND(AL335="E",OR(AT335=1,AT335=3))),SickBY*W335,0)</f>
        <v>0</v>
      </c>
      <c r="BX335" s="462">
        <f t="shared" si="92"/>
        <v>8270.4159720000007</v>
      </c>
      <c r="BY335" s="462">
        <f t="shared" si="93"/>
        <v>0</v>
      </c>
      <c r="BZ335" s="462">
        <f t="shared" si="94"/>
        <v>0</v>
      </c>
      <c r="CA335" s="462">
        <f t="shared" si="95"/>
        <v>0</v>
      </c>
      <c r="CB335" s="462">
        <f t="shared" si="96"/>
        <v>0</v>
      </c>
      <c r="CC335" s="462">
        <f>IF(AT335&lt;&gt;0,SSHICHG*Y335,0)</f>
        <v>0</v>
      </c>
      <c r="CD335" s="462">
        <f>IF(AND(AT335&lt;&gt;0,AN335&lt;&gt;"NE"),VLOOKUP(AN335,Retirement_Rates,5,FALSE)*Y335,0)</f>
        <v>0</v>
      </c>
      <c r="CE335" s="462">
        <f>IF(AND(AT335&lt;&gt;0,AJ335&lt;&gt;"PF"),LifeCHG*Y335,0)</f>
        <v>0</v>
      </c>
      <c r="CF335" s="462">
        <f>IF(AND(AT335&lt;&gt;0,AM335="Y"),UICHG*Y335,0)</f>
        <v>-168.24444</v>
      </c>
      <c r="CG335" s="462">
        <f>IF(AND(AT335&lt;&gt;0,N335&lt;&gt;"NR"),DHRCHG*Y335,0)</f>
        <v>0</v>
      </c>
      <c r="CH335" s="462">
        <f>IF(AT335&lt;&gt;0,WCCHG*Y335,0)</f>
        <v>267.81768000000005</v>
      </c>
      <c r="CI335" s="462">
        <f>IF(OR(AND(AT335&lt;&gt;0,AJ335&lt;&gt;"PF",AN335&lt;&gt;"NE",AG335&lt;&gt;"A"),AND(AL335="E",OR(AT335=1,AT335=3))),SickCHG*Y335,0)</f>
        <v>0</v>
      </c>
      <c r="CJ335" s="462">
        <f t="shared" si="97"/>
        <v>99.573240000000055</v>
      </c>
      <c r="CK335" s="462" t="str">
        <f t="shared" si="98"/>
        <v/>
      </c>
      <c r="CL335" s="462" t="str">
        <f t="shared" si="99"/>
        <v/>
      </c>
      <c r="CM335" s="462" t="str">
        <f t="shared" si="100"/>
        <v/>
      </c>
      <c r="CN335" s="462" t="str">
        <f t="shared" si="101"/>
        <v>0348-00</v>
      </c>
    </row>
    <row r="336" spans="1:92" ht="15" thickBot="1" x14ac:dyDescent="0.35">
      <c r="A336" s="376" t="s">
        <v>161</v>
      </c>
      <c r="B336" s="376" t="s">
        <v>162</v>
      </c>
      <c r="C336" s="376" t="s">
        <v>672</v>
      </c>
      <c r="D336" s="376" t="s">
        <v>221</v>
      </c>
      <c r="E336" s="376" t="s">
        <v>428</v>
      </c>
      <c r="F336" s="377" t="s">
        <v>166</v>
      </c>
      <c r="G336" s="376" t="s">
        <v>951</v>
      </c>
      <c r="H336" s="378"/>
      <c r="I336" s="378"/>
      <c r="J336" s="376" t="s">
        <v>168</v>
      </c>
      <c r="K336" s="376" t="s">
        <v>222</v>
      </c>
      <c r="L336" s="376" t="s">
        <v>166</v>
      </c>
      <c r="M336" s="376" t="s">
        <v>171</v>
      </c>
      <c r="N336" s="376" t="s">
        <v>223</v>
      </c>
      <c r="O336" s="379">
        <v>0</v>
      </c>
      <c r="P336" s="460">
        <v>0</v>
      </c>
      <c r="Q336" s="460">
        <v>0</v>
      </c>
      <c r="R336" s="380">
        <v>0</v>
      </c>
      <c r="S336" s="460">
        <v>0</v>
      </c>
      <c r="T336" s="380">
        <v>15000</v>
      </c>
      <c r="U336" s="380">
        <v>0</v>
      </c>
      <c r="V336" s="380">
        <v>0</v>
      </c>
      <c r="W336" s="380">
        <v>0</v>
      </c>
      <c r="X336" s="380">
        <v>0</v>
      </c>
      <c r="Y336" s="380">
        <v>0</v>
      </c>
      <c r="Z336" s="380">
        <v>0</v>
      </c>
      <c r="AA336" s="378"/>
      <c r="AB336" s="376" t="s">
        <v>45</v>
      </c>
      <c r="AC336" s="376" t="s">
        <v>45</v>
      </c>
      <c r="AD336" s="378"/>
      <c r="AE336" s="378"/>
      <c r="AF336" s="378"/>
      <c r="AG336" s="378"/>
      <c r="AH336" s="379">
        <v>0</v>
      </c>
      <c r="AI336" s="379">
        <v>0</v>
      </c>
      <c r="AJ336" s="378"/>
      <c r="AK336" s="378"/>
      <c r="AL336" s="376" t="s">
        <v>181</v>
      </c>
      <c r="AM336" s="378"/>
      <c r="AN336" s="378"/>
      <c r="AO336" s="379">
        <v>0</v>
      </c>
      <c r="AP336" s="460">
        <v>0</v>
      </c>
      <c r="AQ336" s="460">
        <v>0</v>
      </c>
      <c r="AR336" s="459"/>
      <c r="AS336" s="462">
        <f t="shared" si="85"/>
        <v>0</v>
      </c>
      <c r="AT336">
        <f t="shared" si="86"/>
        <v>0</v>
      </c>
      <c r="AU336" s="462" t="str">
        <f>IF(AT336=0,"",IF(AND(AT336=1,M336="F",SUMIF(C2:C391,C336,AS2:AS391)&lt;=1),SUMIF(C2:C391,C336,AS2:AS391),IF(AND(AT336=1,M336="F",SUMIF(C2:C391,C336,AS2:AS391)&gt;1),1,"")))</f>
        <v/>
      </c>
      <c r="AV336" s="462" t="str">
        <f>IF(AT336=0,"",IF(AND(AT336=3,M336="F",SUMIF(C2:C391,C336,AS2:AS391)&lt;=1),SUMIF(C2:C391,C336,AS2:AS391),IF(AND(AT336=3,M336="F",SUMIF(C2:C391,C336,AS2:AS391)&gt;1),1,"")))</f>
        <v/>
      </c>
      <c r="AW336" s="462">
        <f>SUMIF(C2:C391,C336,O2:O391)</f>
        <v>0</v>
      </c>
      <c r="AX336" s="462">
        <f>IF(AND(M336="F",AS336&lt;&gt;0),SUMIF(C2:C391,C336,W2:W391),0)</f>
        <v>0</v>
      </c>
      <c r="AY336" s="462" t="str">
        <f t="shared" si="87"/>
        <v/>
      </c>
      <c r="AZ336" s="462" t="str">
        <f t="shared" si="88"/>
        <v/>
      </c>
      <c r="BA336" s="462">
        <f t="shared" si="89"/>
        <v>0</v>
      </c>
      <c r="BB336" s="462">
        <f>IF(AND(AT336=1,AK336="E",AU336&gt;=0.75,AW336=1),Health,IF(AND(AT336=1,AK336="E",AU336&gt;=0.75),Health*P336,IF(AND(AT336=1,AK336="E",AU336&gt;=0.5,AW336=1),PTHealth,IF(AND(AT336=1,AK336="E",AU336&gt;=0.5),PTHealth*P336,0))))</f>
        <v>0</v>
      </c>
      <c r="BC336" s="462">
        <f>IF(AND(AT336=3,AK336="E",AV336&gt;=0.75,AW336=1),Health,IF(AND(AT336=3,AK336="E",AV336&gt;=0.75),Health*P336,IF(AND(AT336=3,AK336="E",AV336&gt;=0.5,AW336=1),PTHealth,IF(AND(AT336=3,AK336="E",AV336&gt;=0.5),PTHealth*P336,0))))</f>
        <v>0</v>
      </c>
      <c r="BD336" s="462">
        <f>IF(AND(AT336&lt;&gt;0,AX336&gt;=MAXSSDI),SSDI*MAXSSDI*P336,IF(AT336&lt;&gt;0,SSDI*W336,0))</f>
        <v>0</v>
      </c>
      <c r="BE336" s="462">
        <f>IF(AT336&lt;&gt;0,SSHI*W336,0)</f>
        <v>0</v>
      </c>
      <c r="BF336" s="462">
        <f>IF(AND(AT336&lt;&gt;0,AN336&lt;&gt;"NE"),VLOOKUP(AN336,Retirement_Rates,3,FALSE)*W336,0)</f>
        <v>0</v>
      </c>
      <c r="BG336" s="462">
        <f>IF(AND(AT336&lt;&gt;0,AJ336&lt;&gt;"PF"),Life*W336,0)</f>
        <v>0</v>
      </c>
      <c r="BH336" s="462">
        <f>IF(AND(AT336&lt;&gt;0,AM336="Y"),UI*W336,0)</f>
        <v>0</v>
      </c>
      <c r="BI336" s="462">
        <f>IF(AND(AT336&lt;&gt;0,N336&lt;&gt;"NR"),DHR*W336,0)</f>
        <v>0</v>
      </c>
      <c r="BJ336" s="462">
        <f>IF(AT336&lt;&gt;0,WC*W336,0)</f>
        <v>0</v>
      </c>
      <c r="BK336" s="462">
        <f>IF(OR(AND(AT336&lt;&gt;0,AJ336&lt;&gt;"PF",AN336&lt;&gt;"NE",AG336&lt;&gt;"A"),AND(AL336="E",OR(AT336=1,AT336=3))),Sick*W336,0)</f>
        <v>0</v>
      </c>
      <c r="BL336" s="462">
        <f t="shared" si="90"/>
        <v>0</v>
      </c>
      <c r="BM336" s="462">
        <f t="shared" si="91"/>
        <v>0</v>
      </c>
      <c r="BN336" s="462">
        <f>IF(AND(AT336=1,AK336="E",AU336&gt;=0.75,AW336=1),HealthBY,IF(AND(AT336=1,AK336="E",AU336&gt;=0.75),HealthBY*P336,IF(AND(AT336=1,AK336="E",AU336&gt;=0.5,AW336=1),PTHealthBY,IF(AND(AT336=1,AK336="E",AU336&gt;=0.5),PTHealthBY*P336,0))))</f>
        <v>0</v>
      </c>
      <c r="BO336" s="462">
        <f>IF(AND(AT336=3,AK336="E",AV336&gt;=0.75,AW336=1),HealthBY,IF(AND(AT336=3,AK336="E",AV336&gt;=0.75),HealthBY*P336,IF(AND(AT336=3,AK336="E",AV336&gt;=0.5,AW336=1),PTHealthBY,IF(AND(AT336=3,AK336="E",AV336&gt;=0.5),PTHealthBY*P336,0))))</f>
        <v>0</v>
      </c>
      <c r="BP336" s="462">
        <f>IF(AND(AT336&lt;&gt;0,(AX336+BA336)&gt;=MAXSSDIBY),SSDIBY*MAXSSDIBY*P336,IF(AT336&lt;&gt;0,SSDIBY*W336,0))</f>
        <v>0</v>
      </c>
      <c r="BQ336" s="462">
        <f>IF(AT336&lt;&gt;0,SSHIBY*W336,0)</f>
        <v>0</v>
      </c>
      <c r="BR336" s="462">
        <f>IF(AND(AT336&lt;&gt;0,AN336&lt;&gt;"NE"),VLOOKUP(AN336,Retirement_Rates,4,FALSE)*W336,0)</f>
        <v>0</v>
      </c>
      <c r="BS336" s="462">
        <f>IF(AND(AT336&lt;&gt;0,AJ336&lt;&gt;"PF"),LifeBY*W336,0)</f>
        <v>0</v>
      </c>
      <c r="BT336" s="462">
        <f>IF(AND(AT336&lt;&gt;0,AM336="Y"),UIBY*W336,0)</f>
        <v>0</v>
      </c>
      <c r="BU336" s="462">
        <f>IF(AND(AT336&lt;&gt;0,N336&lt;&gt;"NR"),DHRBY*W336,0)</f>
        <v>0</v>
      </c>
      <c r="BV336" s="462">
        <f>IF(AT336&lt;&gt;0,WCBY*W336,0)</f>
        <v>0</v>
      </c>
      <c r="BW336" s="462">
        <f>IF(OR(AND(AT336&lt;&gt;0,AJ336&lt;&gt;"PF",AN336&lt;&gt;"NE",AG336&lt;&gt;"A"),AND(AL336="E",OR(AT336=1,AT336=3))),SickBY*W336,0)</f>
        <v>0</v>
      </c>
      <c r="BX336" s="462">
        <f t="shared" si="92"/>
        <v>0</v>
      </c>
      <c r="BY336" s="462">
        <f t="shared" si="93"/>
        <v>0</v>
      </c>
      <c r="BZ336" s="462">
        <f t="shared" si="94"/>
        <v>0</v>
      </c>
      <c r="CA336" s="462">
        <f t="shared" si="95"/>
        <v>0</v>
      </c>
      <c r="CB336" s="462">
        <f t="shared" si="96"/>
        <v>0</v>
      </c>
      <c r="CC336" s="462">
        <f>IF(AT336&lt;&gt;0,SSHICHG*Y336,0)</f>
        <v>0</v>
      </c>
      <c r="CD336" s="462">
        <f>IF(AND(AT336&lt;&gt;0,AN336&lt;&gt;"NE"),VLOOKUP(AN336,Retirement_Rates,5,FALSE)*Y336,0)</f>
        <v>0</v>
      </c>
      <c r="CE336" s="462">
        <f>IF(AND(AT336&lt;&gt;0,AJ336&lt;&gt;"PF"),LifeCHG*Y336,0)</f>
        <v>0</v>
      </c>
      <c r="CF336" s="462">
        <f>IF(AND(AT336&lt;&gt;0,AM336="Y"),UICHG*Y336,0)</f>
        <v>0</v>
      </c>
      <c r="CG336" s="462">
        <f>IF(AND(AT336&lt;&gt;0,N336&lt;&gt;"NR"),DHRCHG*Y336,0)</f>
        <v>0</v>
      </c>
      <c r="CH336" s="462">
        <f>IF(AT336&lt;&gt;0,WCCHG*Y336,0)</f>
        <v>0</v>
      </c>
      <c r="CI336" s="462">
        <f>IF(OR(AND(AT336&lt;&gt;0,AJ336&lt;&gt;"PF",AN336&lt;&gt;"NE",AG336&lt;&gt;"A"),AND(AL336="E",OR(AT336=1,AT336=3))),SickCHG*Y336,0)</f>
        <v>0</v>
      </c>
      <c r="CJ336" s="462">
        <f t="shared" si="97"/>
        <v>0</v>
      </c>
      <c r="CK336" s="462" t="str">
        <f t="shared" si="98"/>
        <v/>
      </c>
      <c r="CL336" s="462">
        <f t="shared" si="99"/>
        <v>15000</v>
      </c>
      <c r="CM336" s="462">
        <f t="shared" si="100"/>
        <v>0</v>
      </c>
      <c r="CN336" s="462" t="str">
        <f t="shared" si="101"/>
        <v>0348-00</v>
      </c>
    </row>
    <row r="337" spans="1:92" ht="15" thickBot="1" x14ac:dyDescent="0.35">
      <c r="A337" s="376" t="s">
        <v>161</v>
      </c>
      <c r="B337" s="376" t="s">
        <v>162</v>
      </c>
      <c r="C337" s="376" t="s">
        <v>676</v>
      </c>
      <c r="D337" s="376" t="s">
        <v>221</v>
      </c>
      <c r="E337" s="376" t="s">
        <v>428</v>
      </c>
      <c r="F337" s="377" t="s">
        <v>166</v>
      </c>
      <c r="G337" s="376" t="s">
        <v>951</v>
      </c>
      <c r="H337" s="378"/>
      <c r="I337" s="378"/>
      <c r="J337" s="376" t="s">
        <v>168</v>
      </c>
      <c r="K337" s="376" t="s">
        <v>222</v>
      </c>
      <c r="L337" s="376" t="s">
        <v>166</v>
      </c>
      <c r="M337" s="376" t="s">
        <v>171</v>
      </c>
      <c r="N337" s="376" t="s">
        <v>223</v>
      </c>
      <c r="O337" s="379">
        <v>0</v>
      </c>
      <c r="P337" s="460">
        <v>0</v>
      </c>
      <c r="Q337" s="460">
        <v>0</v>
      </c>
      <c r="R337" s="380">
        <v>0</v>
      </c>
      <c r="S337" s="460">
        <v>0</v>
      </c>
      <c r="T337" s="380">
        <v>3920</v>
      </c>
      <c r="U337" s="380">
        <v>0</v>
      </c>
      <c r="V337" s="380">
        <v>2792.31</v>
      </c>
      <c r="W337" s="380">
        <v>0</v>
      </c>
      <c r="X337" s="380">
        <v>0</v>
      </c>
      <c r="Y337" s="380">
        <v>0</v>
      </c>
      <c r="Z337" s="380">
        <v>0</v>
      </c>
      <c r="AA337" s="378"/>
      <c r="AB337" s="376" t="s">
        <v>45</v>
      </c>
      <c r="AC337" s="376" t="s">
        <v>45</v>
      </c>
      <c r="AD337" s="378"/>
      <c r="AE337" s="378"/>
      <c r="AF337" s="378"/>
      <c r="AG337" s="378"/>
      <c r="AH337" s="379">
        <v>0</v>
      </c>
      <c r="AI337" s="379">
        <v>0</v>
      </c>
      <c r="AJ337" s="378"/>
      <c r="AK337" s="378"/>
      <c r="AL337" s="376" t="s">
        <v>181</v>
      </c>
      <c r="AM337" s="378"/>
      <c r="AN337" s="378"/>
      <c r="AO337" s="379">
        <v>0</v>
      </c>
      <c r="AP337" s="460">
        <v>0</v>
      </c>
      <c r="AQ337" s="460">
        <v>0</v>
      </c>
      <c r="AR337" s="459"/>
      <c r="AS337" s="462">
        <f t="shared" si="85"/>
        <v>0</v>
      </c>
      <c r="AT337">
        <f t="shared" si="86"/>
        <v>0</v>
      </c>
      <c r="AU337" s="462" t="str">
        <f>IF(AT337=0,"",IF(AND(AT337=1,M337="F",SUMIF(C2:C391,C337,AS2:AS391)&lt;=1),SUMIF(C2:C391,C337,AS2:AS391),IF(AND(AT337=1,M337="F",SUMIF(C2:C391,C337,AS2:AS391)&gt;1),1,"")))</f>
        <v/>
      </c>
      <c r="AV337" s="462" t="str">
        <f>IF(AT337=0,"",IF(AND(AT337=3,M337="F",SUMIF(C2:C391,C337,AS2:AS391)&lt;=1),SUMIF(C2:C391,C337,AS2:AS391),IF(AND(AT337=3,M337="F",SUMIF(C2:C391,C337,AS2:AS391)&gt;1),1,"")))</f>
        <v/>
      </c>
      <c r="AW337" s="462">
        <f>SUMIF(C2:C391,C337,O2:O391)</f>
        <v>0</v>
      </c>
      <c r="AX337" s="462">
        <f>IF(AND(M337="F",AS337&lt;&gt;0),SUMIF(C2:C391,C337,W2:W391),0)</f>
        <v>0</v>
      </c>
      <c r="AY337" s="462" t="str">
        <f t="shared" si="87"/>
        <v/>
      </c>
      <c r="AZ337" s="462" t="str">
        <f t="shared" si="88"/>
        <v/>
      </c>
      <c r="BA337" s="462">
        <f t="shared" si="89"/>
        <v>0</v>
      </c>
      <c r="BB337" s="462">
        <f>IF(AND(AT337=1,AK337="E",AU337&gt;=0.75,AW337=1),Health,IF(AND(AT337=1,AK337="E",AU337&gt;=0.75),Health*P337,IF(AND(AT337=1,AK337="E",AU337&gt;=0.5,AW337=1),PTHealth,IF(AND(AT337=1,AK337="E",AU337&gt;=0.5),PTHealth*P337,0))))</f>
        <v>0</v>
      </c>
      <c r="BC337" s="462">
        <f>IF(AND(AT337=3,AK337="E",AV337&gt;=0.75,AW337=1),Health,IF(AND(AT337=3,AK337="E",AV337&gt;=0.75),Health*P337,IF(AND(AT337=3,AK337="E",AV337&gt;=0.5,AW337=1),PTHealth,IF(AND(AT337=3,AK337="E",AV337&gt;=0.5),PTHealth*P337,0))))</f>
        <v>0</v>
      </c>
      <c r="BD337" s="462">
        <f>IF(AND(AT337&lt;&gt;0,AX337&gt;=MAXSSDI),SSDI*MAXSSDI*P337,IF(AT337&lt;&gt;0,SSDI*W337,0))</f>
        <v>0</v>
      </c>
      <c r="BE337" s="462">
        <f>IF(AT337&lt;&gt;0,SSHI*W337,0)</f>
        <v>0</v>
      </c>
      <c r="BF337" s="462">
        <f>IF(AND(AT337&lt;&gt;0,AN337&lt;&gt;"NE"),VLOOKUP(AN337,Retirement_Rates,3,FALSE)*W337,0)</f>
        <v>0</v>
      </c>
      <c r="BG337" s="462">
        <f>IF(AND(AT337&lt;&gt;0,AJ337&lt;&gt;"PF"),Life*W337,0)</f>
        <v>0</v>
      </c>
      <c r="BH337" s="462">
        <f>IF(AND(AT337&lt;&gt;0,AM337="Y"),UI*W337,0)</f>
        <v>0</v>
      </c>
      <c r="BI337" s="462">
        <f>IF(AND(AT337&lt;&gt;0,N337&lt;&gt;"NR"),DHR*W337,0)</f>
        <v>0</v>
      </c>
      <c r="BJ337" s="462">
        <f>IF(AT337&lt;&gt;0,WC*W337,0)</f>
        <v>0</v>
      </c>
      <c r="BK337" s="462">
        <f>IF(OR(AND(AT337&lt;&gt;0,AJ337&lt;&gt;"PF",AN337&lt;&gt;"NE",AG337&lt;&gt;"A"),AND(AL337="E",OR(AT337=1,AT337=3))),Sick*W337,0)</f>
        <v>0</v>
      </c>
      <c r="BL337" s="462">
        <f t="shared" si="90"/>
        <v>0</v>
      </c>
      <c r="BM337" s="462">
        <f t="shared" si="91"/>
        <v>0</v>
      </c>
      <c r="BN337" s="462">
        <f>IF(AND(AT337=1,AK337="E",AU337&gt;=0.75,AW337=1),HealthBY,IF(AND(AT337=1,AK337="E",AU337&gt;=0.75),HealthBY*P337,IF(AND(AT337=1,AK337="E",AU337&gt;=0.5,AW337=1),PTHealthBY,IF(AND(AT337=1,AK337="E",AU337&gt;=0.5),PTHealthBY*P337,0))))</f>
        <v>0</v>
      </c>
      <c r="BO337" s="462">
        <f>IF(AND(AT337=3,AK337="E",AV337&gt;=0.75,AW337=1),HealthBY,IF(AND(AT337=3,AK337="E",AV337&gt;=0.75),HealthBY*P337,IF(AND(AT337=3,AK337="E",AV337&gt;=0.5,AW337=1),PTHealthBY,IF(AND(AT337=3,AK337="E",AV337&gt;=0.5),PTHealthBY*P337,0))))</f>
        <v>0</v>
      </c>
      <c r="BP337" s="462">
        <f>IF(AND(AT337&lt;&gt;0,(AX337+BA337)&gt;=MAXSSDIBY),SSDIBY*MAXSSDIBY*P337,IF(AT337&lt;&gt;0,SSDIBY*W337,0))</f>
        <v>0</v>
      </c>
      <c r="BQ337" s="462">
        <f>IF(AT337&lt;&gt;0,SSHIBY*W337,0)</f>
        <v>0</v>
      </c>
      <c r="BR337" s="462">
        <f>IF(AND(AT337&lt;&gt;0,AN337&lt;&gt;"NE"),VLOOKUP(AN337,Retirement_Rates,4,FALSE)*W337,0)</f>
        <v>0</v>
      </c>
      <c r="BS337" s="462">
        <f>IF(AND(AT337&lt;&gt;0,AJ337&lt;&gt;"PF"),LifeBY*W337,0)</f>
        <v>0</v>
      </c>
      <c r="BT337" s="462">
        <f>IF(AND(AT337&lt;&gt;0,AM337="Y"),UIBY*W337,0)</f>
        <v>0</v>
      </c>
      <c r="BU337" s="462">
        <f>IF(AND(AT337&lt;&gt;0,N337&lt;&gt;"NR"),DHRBY*W337,0)</f>
        <v>0</v>
      </c>
      <c r="BV337" s="462">
        <f>IF(AT337&lt;&gt;0,WCBY*W337,0)</f>
        <v>0</v>
      </c>
      <c r="BW337" s="462">
        <f>IF(OR(AND(AT337&lt;&gt;0,AJ337&lt;&gt;"PF",AN337&lt;&gt;"NE",AG337&lt;&gt;"A"),AND(AL337="E",OR(AT337=1,AT337=3))),SickBY*W337,0)</f>
        <v>0</v>
      </c>
      <c r="BX337" s="462">
        <f t="shared" si="92"/>
        <v>0</v>
      </c>
      <c r="BY337" s="462">
        <f t="shared" si="93"/>
        <v>0</v>
      </c>
      <c r="BZ337" s="462">
        <f t="shared" si="94"/>
        <v>0</v>
      </c>
      <c r="CA337" s="462">
        <f t="shared" si="95"/>
        <v>0</v>
      </c>
      <c r="CB337" s="462">
        <f t="shared" si="96"/>
        <v>0</v>
      </c>
      <c r="CC337" s="462">
        <f>IF(AT337&lt;&gt;0,SSHICHG*Y337,0)</f>
        <v>0</v>
      </c>
      <c r="CD337" s="462">
        <f>IF(AND(AT337&lt;&gt;0,AN337&lt;&gt;"NE"),VLOOKUP(AN337,Retirement_Rates,5,FALSE)*Y337,0)</f>
        <v>0</v>
      </c>
      <c r="CE337" s="462">
        <f>IF(AND(AT337&lt;&gt;0,AJ337&lt;&gt;"PF"),LifeCHG*Y337,0)</f>
        <v>0</v>
      </c>
      <c r="CF337" s="462">
        <f>IF(AND(AT337&lt;&gt;0,AM337="Y"),UICHG*Y337,0)</f>
        <v>0</v>
      </c>
      <c r="CG337" s="462">
        <f>IF(AND(AT337&lt;&gt;0,N337&lt;&gt;"NR"),DHRCHG*Y337,0)</f>
        <v>0</v>
      </c>
      <c r="CH337" s="462">
        <f>IF(AT337&lt;&gt;0,WCCHG*Y337,0)</f>
        <v>0</v>
      </c>
      <c r="CI337" s="462">
        <f>IF(OR(AND(AT337&lt;&gt;0,AJ337&lt;&gt;"PF",AN337&lt;&gt;"NE",AG337&lt;&gt;"A"),AND(AL337="E",OR(AT337=1,AT337=3))),SickCHG*Y337,0)</f>
        <v>0</v>
      </c>
      <c r="CJ337" s="462">
        <f t="shared" si="97"/>
        <v>0</v>
      </c>
      <c r="CK337" s="462" t="str">
        <f t="shared" si="98"/>
        <v/>
      </c>
      <c r="CL337" s="462">
        <f t="shared" si="99"/>
        <v>3920</v>
      </c>
      <c r="CM337" s="462">
        <f t="shared" si="100"/>
        <v>2792.31</v>
      </c>
      <c r="CN337" s="462" t="str">
        <f t="shared" si="101"/>
        <v>0348-00</v>
      </c>
    </row>
    <row r="338" spans="1:92" ht="15" thickBot="1" x14ac:dyDescent="0.35">
      <c r="A338" s="376" t="s">
        <v>161</v>
      </c>
      <c r="B338" s="376" t="s">
        <v>162</v>
      </c>
      <c r="C338" s="376" t="s">
        <v>770</v>
      </c>
      <c r="D338" s="376" t="s">
        <v>438</v>
      </c>
      <c r="E338" s="376" t="s">
        <v>428</v>
      </c>
      <c r="F338" s="377" t="s">
        <v>166</v>
      </c>
      <c r="G338" s="376" t="s">
        <v>951</v>
      </c>
      <c r="H338" s="378"/>
      <c r="I338" s="378"/>
      <c r="J338" s="376" t="s">
        <v>193</v>
      </c>
      <c r="K338" s="376" t="s">
        <v>439</v>
      </c>
      <c r="L338" s="376" t="s">
        <v>231</v>
      </c>
      <c r="M338" s="376" t="s">
        <v>171</v>
      </c>
      <c r="N338" s="376" t="s">
        <v>172</v>
      </c>
      <c r="O338" s="379">
        <v>1</v>
      </c>
      <c r="P338" s="460">
        <v>0.4</v>
      </c>
      <c r="Q338" s="460">
        <v>0.4</v>
      </c>
      <c r="R338" s="380">
        <v>80</v>
      </c>
      <c r="S338" s="460">
        <v>0.4</v>
      </c>
      <c r="T338" s="380">
        <v>11374.87</v>
      </c>
      <c r="U338" s="380">
        <v>0</v>
      </c>
      <c r="V338" s="380">
        <v>6366.82</v>
      </c>
      <c r="W338" s="380">
        <v>16074.24</v>
      </c>
      <c r="X338" s="380">
        <v>8485.17</v>
      </c>
      <c r="Y338" s="380">
        <v>16074.24</v>
      </c>
      <c r="Z338" s="380">
        <v>8531.7900000000009</v>
      </c>
      <c r="AA338" s="376" t="s">
        <v>771</v>
      </c>
      <c r="AB338" s="376" t="s">
        <v>772</v>
      </c>
      <c r="AC338" s="376" t="s">
        <v>773</v>
      </c>
      <c r="AD338" s="376" t="s">
        <v>176</v>
      </c>
      <c r="AE338" s="376" t="s">
        <v>439</v>
      </c>
      <c r="AF338" s="376" t="s">
        <v>236</v>
      </c>
      <c r="AG338" s="376" t="s">
        <v>178</v>
      </c>
      <c r="AH338" s="381">
        <v>19.32</v>
      </c>
      <c r="AI338" s="379">
        <v>1806</v>
      </c>
      <c r="AJ338" s="376" t="s">
        <v>179</v>
      </c>
      <c r="AK338" s="376" t="s">
        <v>180</v>
      </c>
      <c r="AL338" s="376" t="s">
        <v>181</v>
      </c>
      <c r="AM338" s="376" t="s">
        <v>182</v>
      </c>
      <c r="AN338" s="376" t="s">
        <v>68</v>
      </c>
      <c r="AO338" s="379">
        <v>80</v>
      </c>
      <c r="AP338" s="460">
        <v>1</v>
      </c>
      <c r="AQ338" s="460">
        <v>0.4</v>
      </c>
      <c r="AR338" s="458" t="s">
        <v>183</v>
      </c>
      <c r="AS338" s="462">
        <f t="shared" si="85"/>
        <v>0.4</v>
      </c>
      <c r="AT338">
        <f t="shared" si="86"/>
        <v>1</v>
      </c>
      <c r="AU338" s="462">
        <f>IF(AT338=0,"",IF(AND(AT338=1,M338="F",SUMIF(C2:C391,C338,AS2:AS391)&lt;=1),SUMIF(C2:C391,C338,AS2:AS391),IF(AND(AT338=1,M338="F",SUMIF(C2:C391,C338,AS2:AS391)&gt;1),1,"")))</f>
        <v>1</v>
      </c>
      <c r="AV338" s="462" t="str">
        <f>IF(AT338=0,"",IF(AND(AT338=3,M338="F",SUMIF(C2:C391,C338,AS2:AS391)&lt;=1),SUMIF(C2:C391,C338,AS2:AS391),IF(AND(AT338=3,M338="F",SUMIF(C2:C391,C338,AS2:AS391)&gt;1),1,"")))</f>
        <v/>
      </c>
      <c r="AW338" s="462">
        <f>SUMIF(C2:C391,C338,O2:O391)</f>
        <v>2</v>
      </c>
      <c r="AX338" s="462">
        <f>IF(AND(M338="F",AS338&lt;&gt;0),SUMIF(C2:C391,C338,W2:W391),0)</f>
        <v>40185.599999999999</v>
      </c>
      <c r="AY338" s="462">
        <f t="shared" si="87"/>
        <v>16074.24</v>
      </c>
      <c r="AZ338" s="462" t="str">
        <f t="shared" si="88"/>
        <v/>
      </c>
      <c r="BA338" s="462">
        <f t="shared" si="89"/>
        <v>0</v>
      </c>
      <c r="BB338" s="462">
        <f>IF(AND(AT338=1,AK338="E",AU338&gt;=0.75,AW338=1),Health,IF(AND(AT338=1,AK338="E",AU338&gt;=0.75),Health*P338,IF(AND(AT338=1,AK338="E",AU338&gt;=0.5,AW338=1),PTHealth,IF(AND(AT338=1,AK338="E",AU338&gt;=0.5),PTHealth*P338,0))))</f>
        <v>4660</v>
      </c>
      <c r="BC338" s="462">
        <f>IF(AND(AT338=3,AK338="E",AV338&gt;=0.75,AW338=1),Health,IF(AND(AT338=3,AK338="E",AV338&gt;=0.75),Health*P338,IF(AND(AT338=3,AK338="E",AV338&gt;=0.5,AW338=1),PTHealth,IF(AND(AT338=3,AK338="E",AV338&gt;=0.5),PTHealth*P338,0))))</f>
        <v>0</v>
      </c>
      <c r="BD338" s="462">
        <f>IF(AND(AT338&lt;&gt;0,AX338&gt;=MAXSSDI),SSDI*MAXSSDI*P338,IF(AT338&lt;&gt;0,SSDI*W338,0))</f>
        <v>996.60288000000003</v>
      </c>
      <c r="BE338" s="462">
        <f>IF(AT338&lt;&gt;0,SSHI*W338,0)</f>
        <v>233.07648</v>
      </c>
      <c r="BF338" s="462">
        <f>IF(AND(AT338&lt;&gt;0,AN338&lt;&gt;"NE"),VLOOKUP(AN338,Retirement_Rates,3,FALSE)*W338,0)</f>
        <v>1919.2642560000002</v>
      </c>
      <c r="BG338" s="462">
        <f>IF(AND(AT338&lt;&gt;0,AJ338&lt;&gt;"PF"),Life*W338,0)</f>
        <v>115.8952704</v>
      </c>
      <c r="BH338" s="462">
        <f>IF(AND(AT338&lt;&gt;0,AM338="Y"),UI*W338,0)</f>
        <v>78.763775999999993</v>
      </c>
      <c r="BI338" s="462">
        <f>IF(AND(AT338&lt;&gt;0,N338&lt;&gt;"NR"),DHR*W338,0)</f>
        <v>49.187174399999996</v>
      </c>
      <c r="BJ338" s="462">
        <f>IF(AT338&lt;&gt;0,WC*W338,0)</f>
        <v>432.39705600000002</v>
      </c>
      <c r="BK338" s="462">
        <f>IF(OR(AND(AT338&lt;&gt;0,AJ338&lt;&gt;"PF",AN338&lt;&gt;"NE",AG338&lt;&gt;"A"),AND(AL338="E",OR(AT338=1,AT338=3))),Sick*W338,0)</f>
        <v>0</v>
      </c>
      <c r="BL338" s="462">
        <f t="shared" si="90"/>
        <v>3825.1868928000004</v>
      </c>
      <c r="BM338" s="462">
        <f t="shared" si="91"/>
        <v>0</v>
      </c>
      <c r="BN338" s="462">
        <f>IF(AND(AT338=1,AK338="E",AU338&gt;=0.75,AW338=1),HealthBY,IF(AND(AT338=1,AK338="E",AU338&gt;=0.75),HealthBY*P338,IF(AND(AT338=1,AK338="E",AU338&gt;=0.5,AW338=1),PTHealthBY,IF(AND(AT338=1,AK338="E",AU338&gt;=0.5),PTHealthBY*P338,0))))</f>
        <v>4660</v>
      </c>
      <c r="BO338" s="462">
        <f>IF(AND(AT338=3,AK338="E",AV338&gt;=0.75,AW338=1),HealthBY,IF(AND(AT338=3,AK338="E",AV338&gt;=0.75),HealthBY*P338,IF(AND(AT338=3,AK338="E",AV338&gt;=0.5,AW338=1),PTHealthBY,IF(AND(AT338=3,AK338="E",AV338&gt;=0.5),PTHealthBY*P338,0))))</f>
        <v>0</v>
      </c>
      <c r="BP338" s="462">
        <f>IF(AND(AT338&lt;&gt;0,(AX338+BA338)&gt;=MAXSSDIBY),SSDIBY*MAXSSDIBY*P338,IF(AT338&lt;&gt;0,SSDIBY*W338,0))</f>
        <v>996.60288000000003</v>
      </c>
      <c r="BQ338" s="462">
        <f>IF(AT338&lt;&gt;0,SSHIBY*W338,0)</f>
        <v>233.07648</v>
      </c>
      <c r="BR338" s="462">
        <f>IF(AND(AT338&lt;&gt;0,AN338&lt;&gt;"NE"),VLOOKUP(AN338,Retirement_Rates,4,FALSE)*W338,0)</f>
        <v>1919.2642560000002</v>
      </c>
      <c r="BS338" s="462">
        <f>IF(AND(AT338&lt;&gt;0,AJ338&lt;&gt;"PF"),LifeBY*W338,0)</f>
        <v>115.8952704</v>
      </c>
      <c r="BT338" s="462">
        <f>IF(AND(AT338&lt;&gt;0,AM338="Y"),UIBY*W338,0)</f>
        <v>0</v>
      </c>
      <c r="BU338" s="462">
        <f>IF(AND(AT338&lt;&gt;0,N338&lt;&gt;"NR"),DHRBY*W338,0)</f>
        <v>49.187174399999996</v>
      </c>
      <c r="BV338" s="462">
        <f>IF(AT338&lt;&gt;0,WCBY*W338,0)</f>
        <v>557.77612799999997</v>
      </c>
      <c r="BW338" s="462">
        <f>IF(OR(AND(AT338&lt;&gt;0,AJ338&lt;&gt;"PF",AN338&lt;&gt;"NE",AG338&lt;&gt;"A"),AND(AL338="E",OR(AT338=1,AT338=3))),SickBY*W338,0)</f>
        <v>0</v>
      </c>
      <c r="BX338" s="462">
        <f t="shared" si="92"/>
        <v>3871.8021888000003</v>
      </c>
      <c r="BY338" s="462">
        <f t="shared" si="93"/>
        <v>0</v>
      </c>
      <c r="BZ338" s="462">
        <f t="shared" si="94"/>
        <v>0</v>
      </c>
      <c r="CA338" s="462">
        <f t="shared" si="95"/>
        <v>0</v>
      </c>
      <c r="CB338" s="462">
        <f t="shared" si="96"/>
        <v>0</v>
      </c>
      <c r="CC338" s="462">
        <f>IF(AT338&lt;&gt;0,SSHICHG*Y338,0)</f>
        <v>0</v>
      </c>
      <c r="CD338" s="462">
        <f>IF(AND(AT338&lt;&gt;0,AN338&lt;&gt;"NE"),VLOOKUP(AN338,Retirement_Rates,5,FALSE)*Y338,0)</f>
        <v>0</v>
      </c>
      <c r="CE338" s="462">
        <f>IF(AND(AT338&lt;&gt;0,AJ338&lt;&gt;"PF"),LifeCHG*Y338,0)</f>
        <v>0</v>
      </c>
      <c r="CF338" s="462">
        <f>IF(AND(AT338&lt;&gt;0,AM338="Y"),UICHG*Y338,0)</f>
        <v>-78.763775999999993</v>
      </c>
      <c r="CG338" s="462">
        <f>IF(AND(AT338&lt;&gt;0,N338&lt;&gt;"NR"),DHRCHG*Y338,0)</f>
        <v>0</v>
      </c>
      <c r="CH338" s="462">
        <f>IF(AT338&lt;&gt;0,WCCHG*Y338,0)</f>
        <v>125.37907200000002</v>
      </c>
      <c r="CI338" s="462">
        <f>IF(OR(AND(AT338&lt;&gt;0,AJ338&lt;&gt;"PF",AN338&lt;&gt;"NE",AG338&lt;&gt;"A"),AND(AL338="E",OR(AT338=1,AT338=3))),SickCHG*Y338,0)</f>
        <v>0</v>
      </c>
      <c r="CJ338" s="462">
        <f t="shared" si="97"/>
        <v>46.615296000000029</v>
      </c>
      <c r="CK338" s="462" t="str">
        <f t="shared" si="98"/>
        <v/>
      </c>
      <c r="CL338" s="462" t="str">
        <f t="shared" si="99"/>
        <v/>
      </c>
      <c r="CM338" s="462" t="str">
        <f t="shared" si="100"/>
        <v/>
      </c>
      <c r="CN338" s="462" t="str">
        <f t="shared" si="101"/>
        <v>0348-00</v>
      </c>
    </row>
    <row r="339" spans="1:92" ht="15" thickBot="1" x14ac:dyDescent="0.35">
      <c r="A339" s="376" t="s">
        <v>161</v>
      </c>
      <c r="B339" s="376" t="s">
        <v>162</v>
      </c>
      <c r="C339" s="376" t="s">
        <v>778</v>
      </c>
      <c r="D339" s="376" t="s">
        <v>438</v>
      </c>
      <c r="E339" s="376" t="s">
        <v>428</v>
      </c>
      <c r="F339" s="377" t="s">
        <v>166</v>
      </c>
      <c r="G339" s="376" t="s">
        <v>951</v>
      </c>
      <c r="H339" s="378"/>
      <c r="I339" s="378"/>
      <c r="J339" s="376" t="s">
        <v>193</v>
      </c>
      <c r="K339" s="376" t="s">
        <v>439</v>
      </c>
      <c r="L339" s="376" t="s">
        <v>231</v>
      </c>
      <c r="M339" s="376" t="s">
        <v>171</v>
      </c>
      <c r="N339" s="376" t="s">
        <v>172</v>
      </c>
      <c r="O339" s="379">
        <v>1</v>
      </c>
      <c r="P339" s="460">
        <v>0.4</v>
      </c>
      <c r="Q339" s="460">
        <v>0.4</v>
      </c>
      <c r="R339" s="380">
        <v>80</v>
      </c>
      <c r="S339" s="460">
        <v>0.4</v>
      </c>
      <c r="T339" s="380">
        <v>16752.11</v>
      </c>
      <c r="U339" s="380">
        <v>0</v>
      </c>
      <c r="V339" s="380">
        <v>8433.48</v>
      </c>
      <c r="W339" s="380">
        <v>17022.72</v>
      </c>
      <c r="X339" s="380">
        <v>8710.8799999999992</v>
      </c>
      <c r="Y339" s="380">
        <v>17022.72</v>
      </c>
      <c r="Z339" s="380">
        <v>8760.25</v>
      </c>
      <c r="AA339" s="376" t="s">
        <v>779</v>
      </c>
      <c r="AB339" s="376" t="s">
        <v>780</v>
      </c>
      <c r="AC339" s="376" t="s">
        <v>781</v>
      </c>
      <c r="AD339" s="376" t="s">
        <v>359</v>
      </c>
      <c r="AE339" s="376" t="s">
        <v>439</v>
      </c>
      <c r="AF339" s="376" t="s">
        <v>236</v>
      </c>
      <c r="AG339" s="376" t="s">
        <v>178</v>
      </c>
      <c r="AH339" s="381">
        <v>20.46</v>
      </c>
      <c r="AI339" s="381">
        <v>10442.4</v>
      </c>
      <c r="AJ339" s="376" t="s">
        <v>179</v>
      </c>
      <c r="AK339" s="376" t="s">
        <v>180</v>
      </c>
      <c r="AL339" s="376" t="s">
        <v>181</v>
      </c>
      <c r="AM339" s="376" t="s">
        <v>182</v>
      </c>
      <c r="AN339" s="376" t="s">
        <v>68</v>
      </c>
      <c r="AO339" s="379">
        <v>80</v>
      </c>
      <c r="AP339" s="460">
        <v>1</v>
      </c>
      <c r="AQ339" s="460">
        <v>0.4</v>
      </c>
      <c r="AR339" s="458" t="s">
        <v>183</v>
      </c>
      <c r="AS339" s="462">
        <f t="shared" si="85"/>
        <v>0.4</v>
      </c>
      <c r="AT339">
        <f t="shared" si="86"/>
        <v>1</v>
      </c>
      <c r="AU339" s="462">
        <f>IF(AT339=0,"",IF(AND(AT339=1,M339="F",SUMIF(C2:C391,C339,AS2:AS391)&lt;=1),SUMIF(C2:C391,C339,AS2:AS391),IF(AND(AT339=1,M339="F",SUMIF(C2:C391,C339,AS2:AS391)&gt;1),1,"")))</f>
        <v>1</v>
      </c>
      <c r="AV339" s="462" t="str">
        <f>IF(AT339=0,"",IF(AND(AT339=3,M339="F",SUMIF(C2:C391,C339,AS2:AS391)&lt;=1),SUMIF(C2:C391,C339,AS2:AS391),IF(AND(AT339=3,M339="F",SUMIF(C2:C391,C339,AS2:AS391)&gt;1),1,"")))</f>
        <v/>
      </c>
      <c r="AW339" s="462">
        <f>SUMIF(C2:C391,C339,O2:O391)</f>
        <v>2</v>
      </c>
      <c r="AX339" s="462">
        <f>IF(AND(M339="F",AS339&lt;&gt;0),SUMIF(C2:C391,C339,W2:W391),0)</f>
        <v>42556.800000000003</v>
      </c>
      <c r="AY339" s="462">
        <f t="shared" si="87"/>
        <v>17022.72</v>
      </c>
      <c r="AZ339" s="462" t="str">
        <f t="shared" si="88"/>
        <v/>
      </c>
      <c r="BA339" s="462">
        <f t="shared" si="89"/>
        <v>0</v>
      </c>
      <c r="BB339" s="462">
        <f>IF(AND(AT339=1,AK339="E",AU339&gt;=0.75,AW339=1),Health,IF(AND(AT339=1,AK339="E",AU339&gt;=0.75),Health*P339,IF(AND(AT339=1,AK339="E",AU339&gt;=0.5,AW339=1),PTHealth,IF(AND(AT339=1,AK339="E",AU339&gt;=0.5),PTHealth*P339,0))))</f>
        <v>4660</v>
      </c>
      <c r="BC339" s="462">
        <f>IF(AND(AT339=3,AK339="E",AV339&gt;=0.75,AW339=1),Health,IF(AND(AT339=3,AK339="E",AV339&gt;=0.75),Health*P339,IF(AND(AT339=3,AK339="E",AV339&gt;=0.5,AW339=1),PTHealth,IF(AND(AT339=3,AK339="E",AV339&gt;=0.5),PTHealth*P339,0))))</f>
        <v>0</v>
      </c>
      <c r="BD339" s="462">
        <f>IF(AND(AT339&lt;&gt;0,AX339&gt;=MAXSSDI),SSDI*MAXSSDI*P339,IF(AT339&lt;&gt;0,SSDI*W339,0))</f>
        <v>1055.4086400000001</v>
      </c>
      <c r="BE339" s="462">
        <f>IF(AT339&lt;&gt;0,SSHI*W339,0)</f>
        <v>246.82944000000003</v>
      </c>
      <c r="BF339" s="462">
        <f>IF(AND(AT339&lt;&gt;0,AN339&lt;&gt;"NE"),VLOOKUP(AN339,Retirement_Rates,3,FALSE)*W339,0)</f>
        <v>2032.5127680000003</v>
      </c>
      <c r="BG339" s="462">
        <f>IF(AND(AT339&lt;&gt;0,AJ339&lt;&gt;"PF"),Life*W339,0)</f>
        <v>122.73381120000002</v>
      </c>
      <c r="BH339" s="462">
        <f>IF(AND(AT339&lt;&gt;0,AM339="Y"),UI*W339,0)</f>
        <v>83.411327999999997</v>
      </c>
      <c r="BI339" s="462">
        <f>IF(AND(AT339&lt;&gt;0,N339&lt;&gt;"NR"),DHR*W339,0)</f>
        <v>52.089523200000002</v>
      </c>
      <c r="BJ339" s="462">
        <f>IF(AT339&lt;&gt;0,WC*W339,0)</f>
        <v>457.91116800000003</v>
      </c>
      <c r="BK339" s="462">
        <f>IF(OR(AND(AT339&lt;&gt;0,AJ339&lt;&gt;"PF",AN339&lt;&gt;"NE",AG339&lt;&gt;"A"),AND(AL339="E",OR(AT339=1,AT339=3))),Sick*W339,0)</f>
        <v>0</v>
      </c>
      <c r="BL339" s="462">
        <f t="shared" si="90"/>
        <v>4050.8966784000008</v>
      </c>
      <c r="BM339" s="462">
        <f t="shared" si="91"/>
        <v>0</v>
      </c>
      <c r="BN339" s="462">
        <f>IF(AND(AT339=1,AK339="E",AU339&gt;=0.75,AW339=1),HealthBY,IF(AND(AT339=1,AK339="E",AU339&gt;=0.75),HealthBY*P339,IF(AND(AT339=1,AK339="E",AU339&gt;=0.5,AW339=1),PTHealthBY,IF(AND(AT339=1,AK339="E",AU339&gt;=0.5),PTHealthBY*P339,0))))</f>
        <v>4660</v>
      </c>
      <c r="BO339" s="462">
        <f>IF(AND(AT339=3,AK339="E",AV339&gt;=0.75,AW339=1),HealthBY,IF(AND(AT339=3,AK339="E",AV339&gt;=0.75),HealthBY*P339,IF(AND(AT339=3,AK339="E",AV339&gt;=0.5,AW339=1),PTHealthBY,IF(AND(AT339=3,AK339="E",AV339&gt;=0.5),PTHealthBY*P339,0))))</f>
        <v>0</v>
      </c>
      <c r="BP339" s="462">
        <f>IF(AND(AT339&lt;&gt;0,(AX339+BA339)&gt;=MAXSSDIBY),SSDIBY*MAXSSDIBY*P339,IF(AT339&lt;&gt;0,SSDIBY*W339,0))</f>
        <v>1055.4086400000001</v>
      </c>
      <c r="BQ339" s="462">
        <f>IF(AT339&lt;&gt;0,SSHIBY*W339,0)</f>
        <v>246.82944000000003</v>
      </c>
      <c r="BR339" s="462">
        <f>IF(AND(AT339&lt;&gt;0,AN339&lt;&gt;"NE"),VLOOKUP(AN339,Retirement_Rates,4,FALSE)*W339,0)</f>
        <v>2032.5127680000003</v>
      </c>
      <c r="BS339" s="462">
        <f>IF(AND(AT339&lt;&gt;0,AJ339&lt;&gt;"PF"),LifeBY*W339,0)</f>
        <v>122.73381120000002</v>
      </c>
      <c r="BT339" s="462">
        <f>IF(AND(AT339&lt;&gt;0,AM339="Y"),UIBY*W339,0)</f>
        <v>0</v>
      </c>
      <c r="BU339" s="462">
        <f>IF(AND(AT339&lt;&gt;0,N339&lt;&gt;"NR"),DHRBY*W339,0)</f>
        <v>52.089523200000002</v>
      </c>
      <c r="BV339" s="462">
        <f>IF(AT339&lt;&gt;0,WCBY*W339,0)</f>
        <v>590.68838400000004</v>
      </c>
      <c r="BW339" s="462">
        <f>IF(OR(AND(AT339&lt;&gt;0,AJ339&lt;&gt;"PF",AN339&lt;&gt;"NE",AG339&lt;&gt;"A"),AND(AL339="E",OR(AT339=1,AT339=3))),SickBY*W339,0)</f>
        <v>0</v>
      </c>
      <c r="BX339" s="462">
        <f t="shared" si="92"/>
        <v>4100.2625664000007</v>
      </c>
      <c r="BY339" s="462">
        <f t="shared" si="93"/>
        <v>0</v>
      </c>
      <c r="BZ339" s="462">
        <f t="shared" si="94"/>
        <v>0</v>
      </c>
      <c r="CA339" s="462">
        <f t="shared" si="95"/>
        <v>0</v>
      </c>
      <c r="CB339" s="462">
        <f t="shared" si="96"/>
        <v>0</v>
      </c>
      <c r="CC339" s="462">
        <f>IF(AT339&lt;&gt;0,SSHICHG*Y339,0)</f>
        <v>0</v>
      </c>
      <c r="CD339" s="462">
        <f>IF(AND(AT339&lt;&gt;0,AN339&lt;&gt;"NE"),VLOOKUP(AN339,Retirement_Rates,5,FALSE)*Y339,0)</f>
        <v>0</v>
      </c>
      <c r="CE339" s="462">
        <f>IF(AND(AT339&lt;&gt;0,AJ339&lt;&gt;"PF"),LifeCHG*Y339,0)</f>
        <v>0</v>
      </c>
      <c r="CF339" s="462">
        <f>IF(AND(AT339&lt;&gt;0,AM339="Y"),UICHG*Y339,0)</f>
        <v>-83.411327999999997</v>
      </c>
      <c r="CG339" s="462">
        <f>IF(AND(AT339&lt;&gt;0,N339&lt;&gt;"NR"),DHRCHG*Y339,0)</f>
        <v>0</v>
      </c>
      <c r="CH339" s="462">
        <f>IF(AT339&lt;&gt;0,WCCHG*Y339,0)</f>
        <v>132.77721600000004</v>
      </c>
      <c r="CI339" s="462">
        <f>IF(OR(AND(AT339&lt;&gt;0,AJ339&lt;&gt;"PF",AN339&lt;&gt;"NE",AG339&lt;&gt;"A"),AND(AL339="E",OR(AT339=1,AT339=3))),SickCHG*Y339,0)</f>
        <v>0</v>
      </c>
      <c r="CJ339" s="462">
        <f t="shared" si="97"/>
        <v>49.365888000000041</v>
      </c>
      <c r="CK339" s="462" t="str">
        <f t="shared" si="98"/>
        <v/>
      </c>
      <c r="CL339" s="462" t="str">
        <f t="shared" si="99"/>
        <v/>
      </c>
      <c r="CM339" s="462" t="str">
        <f t="shared" si="100"/>
        <v/>
      </c>
      <c r="CN339" s="462" t="str">
        <f t="shared" si="101"/>
        <v>0348-00</v>
      </c>
    </row>
    <row r="340" spans="1:92" ht="15" thickBot="1" x14ac:dyDescent="0.35">
      <c r="A340" s="376" t="s">
        <v>161</v>
      </c>
      <c r="B340" s="376" t="s">
        <v>162</v>
      </c>
      <c r="C340" s="376" t="s">
        <v>791</v>
      </c>
      <c r="D340" s="376" t="s">
        <v>438</v>
      </c>
      <c r="E340" s="376" t="s">
        <v>428</v>
      </c>
      <c r="F340" s="377" t="s">
        <v>166</v>
      </c>
      <c r="G340" s="376" t="s">
        <v>951</v>
      </c>
      <c r="H340" s="378"/>
      <c r="I340" s="378"/>
      <c r="J340" s="376" t="s">
        <v>193</v>
      </c>
      <c r="K340" s="376" t="s">
        <v>439</v>
      </c>
      <c r="L340" s="376" t="s">
        <v>231</v>
      </c>
      <c r="M340" s="376" t="s">
        <v>171</v>
      </c>
      <c r="N340" s="376" t="s">
        <v>172</v>
      </c>
      <c r="O340" s="379">
        <v>1</v>
      </c>
      <c r="P340" s="460">
        <v>0.4</v>
      </c>
      <c r="Q340" s="460">
        <v>0.4</v>
      </c>
      <c r="R340" s="380">
        <v>80</v>
      </c>
      <c r="S340" s="460">
        <v>0.4</v>
      </c>
      <c r="T340" s="380">
        <v>16769.259999999998</v>
      </c>
      <c r="U340" s="380">
        <v>0</v>
      </c>
      <c r="V340" s="380">
        <v>8536.15</v>
      </c>
      <c r="W340" s="380">
        <v>16357.12</v>
      </c>
      <c r="X340" s="380">
        <v>8552.49</v>
      </c>
      <c r="Y340" s="380">
        <v>16357.12</v>
      </c>
      <c r="Z340" s="380">
        <v>8599.93</v>
      </c>
      <c r="AA340" s="376" t="s">
        <v>792</v>
      </c>
      <c r="AB340" s="376" t="s">
        <v>793</v>
      </c>
      <c r="AC340" s="376" t="s">
        <v>794</v>
      </c>
      <c r="AD340" s="376" t="s">
        <v>446</v>
      </c>
      <c r="AE340" s="376" t="s">
        <v>439</v>
      </c>
      <c r="AF340" s="376" t="s">
        <v>236</v>
      </c>
      <c r="AG340" s="376" t="s">
        <v>178</v>
      </c>
      <c r="AH340" s="381">
        <v>19.66</v>
      </c>
      <c r="AI340" s="381">
        <v>6055.6</v>
      </c>
      <c r="AJ340" s="376" t="s">
        <v>179</v>
      </c>
      <c r="AK340" s="376" t="s">
        <v>180</v>
      </c>
      <c r="AL340" s="376" t="s">
        <v>181</v>
      </c>
      <c r="AM340" s="376" t="s">
        <v>182</v>
      </c>
      <c r="AN340" s="376" t="s">
        <v>68</v>
      </c>
      <c r="AO340" s="379">
        <v>80</v>
      </c>
      <c r="AP340" s="460">
        <v>1</v>
      </c>
      <c r="AQ340" s="460">
        <v>0.4</v>
      </c>
      <c r="AR340" s="458" t="s">
        <v>183</v>
      </c>
      <c r="AS340" s="462">
        <f t="shared" si="85"/>
        <v>0.4</v>
      </c>
      <c r="AT340">
        <f t="shared" si="86"/>
        <v>1</v>
      </c>
      <c r="AU340" s="462">
        <f>IF(AT340=0,"",IF(AND(AT340=1,M340="F",SUMIF(C2:C391,C340,AS2:AS391)&lt;=1),SUMIF(C2:C391,C340,AS2:AS391),IF(AND(AT340=1,M340="F",SUMIF(C2:C391,C340,AS2:AS391)&gt;1),1,"")))</f>
        <v>1</v>
      </c>
      <c r="AV340" s="462" t="str">
        <f>IF(AT340=0,"",IF(AND(AT340=3,M340="F",SUMIF(C2:C391,C340,AS2:AS391)&lt;=1),SUMIF(C2:C391,C340,AS2:AS391),IF(AND(AT340=3,M340="F",SUMIF(C2:C391,C340,AS2:AS391)&gt;1),1,"")))</f>
        <v/>
      </c>
      <c r="AW340" s="462">
        <f>SUMIF(C2:C391,C340,O2:O391)</f>
        <v>2</v>
      </c>
      <c r="AX340" s="462">
        <f>IF(AND(M340="F",AS340&lt;&gt;0),SUMIF(C2:C391,C340,W2:W391),0)</f>
        <v>40892.800000000003</v>
      </c>
      <c r="AY340" s="462">
        <f t="shared" si="87"/>
        <v>16357.12</v>
      </c>
      <c r="AZ340" s="462" t="str">
        <f t="shared" si="88"/>
        <v/>
      </c>
      <c r="BA340" s="462">
        <f t="shared" si="89"/>
        <v>0</v>
      </c>
      <c r="BB340" s="462">
        <f>IF(AND(AT340=1,AK340="E",AU340&gt;=0.75,AW340=1),Health,IF(AND(AT340=1,AK340="E",AU340&gt;=0.75),Health*P340,IF(AND(AT340=1,AK340="E",AU340&gt;=0.5,AW340=1),PTHealth,IF(AND(AT340=1,AK340="E",AU340&gt;=0.5),PTHealth*P340,0))))</f>
        <v>4660</v>
      </c>
      <c r="BC340" s="462">
        <f>IF(AND(AT340=3,AK340="E",AV340&gt;=0.75,AW340=1),Health,IF(AND(AT340=3,AK340="E",AV340&gt;=0.75),Health*P340,IF(AND(AT340=3,AK340="E",AV340&gt;=0.5,AW340=1),PTHealth,IF(AND(AT340=3,AK340="E",AV340&gt;=0.5),PTHealth*P340,0))))</f>
        <v>0</v>
      </c>
      <c r="BD340" s="462">
        <f>IF(AND(AT340&lt;&gt;0,AX340&gt;=MAXSSDI),SSDI*MAXSSDI*P340,IF(AT340&lt;&gt;0,SSDI*W340,0))</f>
        <v>1014.14144</v>
      </c>
      <c r="BE340" s="462">
        <f>IF(AT340&lt;&gt;0,SSHI*W340,0)</f>
        <v>237.17824000000002</v>
      </c>
      <c r="BF340" s="462">
        <f>IF(AND(AT340&lt;&gt;0,AN340&lt;&gt;"NE"),VLOOKUP(AN340,Retirement_Rates,3,FALSE)*W340,0)</f>
        <v>1953.0401280000001</v>
      </c>
      <c r="BG340" s="462">
        <f>IF(AND(AT340&lt;&gt;0,AJ340&lt;&gt;"PF"),Life*W340,0)</f>
        <v>117.93483520000001</v>
      </c>
      <c r="BH340" s="462">
        <f>IF(AND(AT340&lt;&gt;0,AM340="Y"),UI*W340,0)</f>
        <v>80.149888000000004</v>
      </c>
      <c r="BI340" s="462">
        <f>IF(AND(AT340&lt;&gt;0,N340&lt;&gt;"NR"),DHR*W340,0)</f>
        <v>50.052787199999997</v>
      </c>
      <c r="BJ340" s="462">
        <f>IF(AT340&lt;&gt;0,WC*W340,0)</f>
        <v>440.006528</v>
      </c>
      <c r="BK340" s="462">
        <f>IF(OR(AND(AT340&lt;&gt;0,AJ340&lt;&gt;"PF",AN340&lt;&gt;"NE",AG340&lt;&gt;"A"),AND(AL340="E",OR(AT340=1,AT340=3))),Sick*W340,0)</f>
        <v>0</v>
      </c>
      <c r="BL340" s="462">
        <f t="shared" si="90"/>
        <v>3892.5038463999999</v>
      </c>
      <c r="BM340" s="462">
        <f t="shared" si="91"/>
        <v>0</v>
      </c>
      <c r="BN340" s="462">
        <f>IF(AND(AT340=1,AK340="E",AU340&gt;=0.75,AW340=1),HealthBY,IF(AND(AT340=1,AK340="E",AU340&gt;=0.75),HealthBY*P340,IF(AND(AT340=1,AK340="E",AU340&gt;=0.5,AW340=1),PTHealthBY,IF(AND(AT340=1,AK340="E",AU340&gt;=0.5),PTHealthBY*P340,0))))</f>
        <v>4660</v>
      </c>
      <c r="BO340" s="462">
        <f>IF(AND(AT340=3,AK340="E",AV340&gt;=0.75,AW340=1),HealthBY,IF(AND(AT340=3,AK340="E",AV340&gt;=0.75),HealthBY*P340,IF(AND(AT340=3,AK340="E",AV340&gt;=0.5,AW340=1),PTHealthBY,IF(AND(AT340=3,AK340="E",AV340&gt;=0.5),PTHealthBY*P340,0))))</f>
        <v>0</v>
      </c>
      <c r="BP340" s="462">
        <f>IF(AND(AT340&lt;&gt;0,(AX340+BA340)&gt;=MAXSSDIBY),SSDIBY*MAXSSDIBY*P340,IF(AT340&lt;&gt;0,SSDIBY*W340,0))</f>
        <v>1014.14144</v>
      </c>
      <c r="BQ340" s="462">
        <f>IF(AT340&lt;&gt;0,SSHIBY*W340,0)</f>
        <v>237.17824000000002</v>
      </c>
      <c r="BR340" s="462">
        <f>IF(AND(AT340&lt;&gt;0,AN340&lt;&gt;"NE"),VLOOKUP(AN340,Retirement_Rates,4,FALSE)*W340,0)</f>
        <v>1953.0401280000001</v>
      </c>
      <c r="BS340" s="462">
        <f>IF(AND(AT340&lt;&gt;0,AJ340&lt;&gt;"PF"),LifeBY*W340,0)</f>
        <v>117.93483520000001</v>
      </c>
      <c r="BT340" s="462">
        <f>IF(AND(AT340&lt;&gt;0,AM340="Y"),UIBY*W340,0)</f>
        <v>0</v>
      </c>
      <c r="BU340" s="462">
        <f>IF(AND(AT340&lt;&gt;0,N340&lt;&gt;"NR"),DHRBY*W340,0)</f>
        <v>50.052787199999997</v>
      </c>
      <c r="BV340" s="462">
        <f>IF(AT340&lt;&gt;0,WCBY*W340,0)</f>
        <v>567.59206400000005</v>
      </c>
      <c r="BW340" s="462">
        <f>IF(OR(AND(AT340&lt;&gt;0,AJ340&lt;&gt;"PF",AN340&lt;&gt;"NE",AG340&lt;&gt;"A"),AND(AL340="E",OR(AT340=1,AT340=3))),SickBY*W340,0)</f>
        <v>0</v>
      </c>
      <c r="BX340" s="462">
        <f t="shared" si="92"/>
        <v>3939.9394944000001</v>
      </c>
      <c r="BY340" s="462">
        <f t="shared" si="93"/>
        <v>0</v>
      </c>
      <c r="BZ340" s="462">
        <f t="shared" si="94"/>
        <v>0</v>
      </c>
      <c r="CA340" s="462">
        <f t="shared" si="95"/>
        <v>0</v>
      </c>
      <c r="CB340" s="462">
        <f t="shared" si="96"/>
        <v>0</v>
      </c>
      <c r="CC340" s="462">
        <f>IF(AT340&lt;&gt;0,SSHICHG*Y340,0)</f>
        <v>0</v>
      </c>
      <c r="CD340" s="462">
        <f>IF(AND(AT340&lt;&gt;0,AN340&lt;&gt;"NE"),VLOOKUP(AN340,Retirement_Rates,5,FALSE)*Y340,0)</f>
        <v>0</v>
      </c>
      <c r="CE340" s="462">
        <f>IF(AND(AT340&lt;&gt;0,AJ340&lt;&gt;"PF"),LifeCHG*Y340,0)</f>
        <v>0</v>
      </c>
      <c r="CF340" s="462">
        <f>IF(AND(AT340&lt;&gt;0,AM340="Y"),UICHG*Y340,0)</f>
        <v>-80.149888000000004</v>
      </c>
      <c r="CG340" s="462">
        <f>IF(AND(AT340&lt;&gt;0,N340&lt;&gt;"NR"),DHRCHG*Y340,0)</f>
        <v>0</v>
      </c>
      <c r="CH340" s="462">
        <f>IF(AT340&lt;&gt;0,WCCHG*Y340,0)</f>
        <v>127.58553600000003</v>
      </c>
      <c r="CI340" s="462">
        <f>IF(OR(AND(AT340&lt;&gt;0,AJ340&lt;&gt;"PF",AN340&lt;&gt;"NE",AG340&lt;&gt;"A"),AND(AL340="E",OR(AT340=1,AT340=3))),SickCHG*Y340,0)</f>
        <v>0</v>
      </c>
      <c r="CJ340" s="462">
        <f t="shared" si="97"/>
        <v>47.435648000000029</v>
      </c>
      <c r="CK340" s="462" t="str">
        <f t="shared" si="98"/>
        <v/>
      </c>
      <c r="CL340" s="462" t="str">
        <f t="shared" si="99"/>
        <v/>
      </c>
      <c r="CM340" s="462" t="str">
        <f t="shared" si="100"/>
        <v/>
      </c>
      <c r="CN340" s="462" t="str">
        <f t="shared" si="101"/>
        <v>0348-00</v>
      </c>
    </row>
    <row r="341" spans="1:92" ht="15" thickBot="1" x14ac:dyDescent="0.35">
      <c r="A341" s="376" t="s">
        <v>161</v>
      </c>
      <c r="B341" s="376" t="s">
        <v>162</v>
      </c>
      <c r="C341" s="376" t="s">
        <v>972</v>
      </c>
      <c r="D341" s="376" t="s">
        <v>221</v>
      </c>
      <c r="E341" s="376" t="s">
        <v>428</v>
      </c>
      <c r="F341" s="377" t="s">
        <v>166</v>
      </c>
      <c r="G341" s="376" t="s">
        <v>951</v>
      </c>
      <c r="H341" s="378"/>
      <c r="I341" s="378"/>
      <c r="J341" s="376" t="s">
        <v>193</v>
      </c>
      <c r="K341" s="376" t="s">
        <v>222</v>
      </c>
      <c r="L341" s="376" t="s">
        <v>166</v>
      </c>
      <c r="M341" s="376" t="s">
        <v>225</v>
      </c>
      <c r="N341" s="376" t="s">
        <v>223</v>
      </c>
      <c r="O341" s="379">
        <v>0</v>
      </c>
      <c r="P341" s="460">
        <v>0.35</v>
      </c>
      <c r="Q341" s="460">
        <v>0</v>
      </c>
      <c r="R341" s="380">
        <v>0</v>
      </c>
      <c r="S341" s="460">
        <v>0</v>
      </c>
      <c r="T341" s="380">
        <v>0</v>
      </c>
      <c r="U341" s="380">
        <v>0</v>
      </c>
      <c r="V341" s="380">
        <v>0</v>
      </c>
      <c r="W341" s="380">
        <v>0</v>
      </c>
      <c r="X341" s="380">
        <v>0</v>
      </c>
      <c r="Y341" s="380">
        <v>0</v>
      </c>
      <c r="Z341" s="380">
        <v>0</v>
      </c>
      <c r="AA341" s="378"/>
      <c r="AB341" s="376" t="s">
        <v>45</v>
      </c>
      <c r="AC341" s="376" t="s">
        <v>45</v>
      </c>
      <c r="AD341" s="378"/>
      <c r="AE341" s="378"/>
      <c r="AF341" s="378"/>
      <c r="AG341" s="378"/>
      <c r="AH341" s="379">
        <v>0</v>
      </c>
      <c r="AI341" s="379">
        <v>0</v>
      </c>
      <c r="AJ341" s="378"/>
      <c r="AK341" s="378"/>
      <c r="AL341" s="376" t="s">
        <v>181</v>
      </c>
      <c r="AM341" s="378"/>
      <c r="AN341" s="378"/>
      <c r="AO341" s="379">
        <v>0</v>
      </c>
      <c r="AP341" s="460">
        <v>0</v>
      </c>
      <c r="AQ341" s="460">
        <v>0</v>
      </c>
      <c r="AR341" s="459"/>
      <c r="AS341" s="462">
        <f t="shared" si="85"/>
        <v>0</v>
      </c>
      <c r="AT341">
        <f t="shared" si="86"/>
        <v>0</v>
      </c>
      <c r="AU341" s="462" t="str">
        <f>IF(AT341=0,"",IF(AND(AT341=1,M341="F",SUMIF(C2:C391,C341,AS2:AS391)&lt;=1),SUMIF(C2:C391,C341,AS2:AS391),IF(AND(AT341=1,M341="F",SUMIF(C2:C391,C341,AS2:AS391)&gt;1),1,"")))</f>
        <v/>
      </c>
      <c r="AV341" s="462" t="str">
        <f>IF(AT341=0,"",IF(AND(AT341=3,M341="F",SUMIF(C2:C391,C341,AS2:AS391)&lt;=1),SUMIF(C2:C391,C341,AS2:AS391),IF(AND(AT341=3,M341="F",SUMIF(C2:C391,C341,AS2:AS391)&gt;1),1,"")))</f>
        <v/>
      </c>
      <c r="AW341" s="462">
        <f>SUMIF(C2:C391,C341,O2:O391)</f>
        <v>0</v>
      </c>
      <c r="AX341" s="462">
        <f>IF(AND(M341="F",AS341&lt;&gt;0),SUMIF(C2:C391,C341,W2:W391),0)</f>
        <v>0</v>
      </c>
      <c r="AY341" s="462" t="str">
        <f t="shared" si="87"/>
        <v/>
      </c>
      <c r="AZ341" s="462" t="str">
        <f t="shared" si="88"/>
        <v/>
      </c>
      <c r="BA341" s="462">
        <f t="shared" si="89"/>
        <v>0</v>
      </c>
      <c r="BB341" s="462">
        <f>IF(AND(AT341=1,AK341="E",AU341&gt;=0.75,AW341=1),Health,IF(AND(AT341=1,AK341="E",AU341&gt;=0.75),Health*P341,IF(AND(AT341=1,AK341="E",AU341&gt;=0.5,AW341=1),PTHealth,IF(AND(AT341=1,AK341="E",AU341&gt;=0.5),PTHealth*P341,0))))</f>
        <v>0</v>
      </c>
      <c r="BC341" s="462">
        <f>IF(AND(AT341=3,AK341="E",AV341&gt;=0.75,AW341=1),Health,IF(AND(AT341=3,AK341="E",AV341&gt;=0.75),Health*P341,IF(AND(AT341=3,AK341="E",AV341&gt;=0.5,AW341=1),PTHealth,IF(AND(AT341=3,AK341="E",AV341&gt;=0.5),PTHealth*P341,0))))</f>
        <v>0</v>
      </c>
      <c r="BD341" s="462">
        <f>IF(AND(AT341&lt;&gt;0,AX341&gt;=MAXSSDI),SSDI*MAXSSDI*P341,IF(AT341&lt;&gt;0,SSDI*W341,0))</f>
        <v>0</v>
      </c>
      <c r="BE341" s="462">
        <f>IF(AT341&lt;&gt;0,SSHI*W341,0)</f>
        <v>0</v>
      </c>
      <c r="BF341" s="462">
        <f>IF(AND(AT341&lt;&gt;0,AN341&lt;&gt;"NE"),VLOOKUP(AN341,Retirement_Rates,3,FALSE)*W341,0)</f>
        <v>0</v>
      </c>
      <c r="BG341" s="462">
        <f>IF(AND(AT341&lt;&gt;0,AJ341&lt;&gt;"PF"),Life*W341,0)</f>
        <v>0</v>
      </c>
      <c r="BH341" s="462">
        <f>IF(AND(AT341&lt;&gt;0,AM341="Y"),UI*W341,0)</f>
        <v>0</v>
      </c>
      <c r="BI341" s="462">
        <f>IF(AND(AT341&lt;&gt;0,N341&lt;&gt;"NR"),DHR*W341,0)</f>
        <v>0</v>
      </c>
      <c r="BJ341" s="462">
        <f>IF(AT341&lt;&gt;0,WC*W341,0)</f>
        <v>0</v>
      </c>
      <c r="BK341" s="462">
        <f>IF(OR(AND(AT341&lt;&gt;0,AJ341&lt;&gt;"PF",AN341&lt;&gt;"NE",AG341&lt;&gt;"A"),AND(AL341="E",OR(AT341=1,AT341=3))),Sick*W341,0)</f>
        <v>0</v>
      </c>
      <c r="BL341" s="462">
        <f t="shared" si="90"/>
        <v>0</v>
      </c>
      <c r="BM341" s="462">
        <f t="shared" si="91"/>
        <v>0</v>
      </c>
      <c r="BN341" s="462">
        <f>IF(AND(AT341=1,AK341="E",AU341&gt;=0.75,AW341=1),HealthBY,IF(AND(AT341=1,AK341="E",AU341&gt;=0.75),HealthBY*P341,IF(AND(AT341=1,AK341="E",AU341&gt;=0.5,AW341=1),PTHealthBY,IF(AND(AT341=1,AK341="E",AU341&gt;=0.5),PTHealthBY*P341,0))))</f>
        <v>0</v>
      </c>
      <c r="BO341" s="462">
        <f>IF(AND(AT341=3,AK341="E",AV341&gt;=0.75,AW341=1),HealthBY,IF(AND(AT341=3,AK341="E",AV341&gt;=0.75),HealthBY*P341,IF(AND(AT341=3,AK341="E",AV341&gt;=0.5,AW341=1),PTHealthBY,IF(AND(AT341=3,AK341="E",AV341&gt;=0.5),PTHealthBY*P341,0))))</f>
        <v>0</v>
      </c>
      <c r="BP341" s="462">
        <f>IF(AND(AT341&lt;&gt;0,(AX341+BA341)&gt;=MAXSSDIBY),SSDIBY*MAXSSDIBY*P341,IF(AT341&lt;&gt;0,SSDIBY*W341,0))</f>
        <v>0</v>
      </c>
      <c r="BQ341" s="462">
        <f>IF(AT341&lt;&gt;0,SSHIBY*W341,0)</f>
        <v>0</v>
      </c>
      <c r="BR341" s="462">
        <f>IF(AND(AT341&lt;&gt;0,AN341&lt;&gt;"NE"),VLOOKUP(AN341,Retirement_Rates,4,FALSE)*W341,0)</f>
        <v>0</v>
      </c>
      <c r="BS341" s="462">
        <f>IF(AND(AT341&lt;&gt;0,AJ341&lt;&gt;"PF"),LifeBY*W341,0)</f>
        <v>0</v>
      </c>
      <c r="BT341" s="462">
        <f>IF(AND(AT341&lt;&gt;0,AM341="Y"),UIBY*W341,0)</f>
        <v>0</v>
      </c>
      <c r="BU341" s="462">
        <f>IF(AND(AT341&lt;&gt;0,N341&lt;&gt;"NR"),DHRBY*W341,0)</f>
        <v>0</v>
      </c>
      <c r="BV341" s="462">
        <f>IF(AT341&lt;&gt;0,WCBY*W341,0)</f>
        <v>0</v>
      </c>
      <c r="BW341" s="462">
        <f>IF(OR(AND(AT341&lt;&gt;0,AJ341&lt;&gt;"PF",AN341&lt;&gt;"NE",AG341&lt;&gt;"A"),AND(AL341="E",OR(AT341=1,AT341=3))),SickBY*W341,0)</f>
        <v>0</v>
      </c>
      <c r="BX341" s="462">
        <f t="shared" si="92"/>
        <v>0</v>
      </c>
      <c r="BY341" s="462">
        <f t="shared" si="93"/>
        <v>0</v>
      </c>
      <c r="BZ341" s="462">
        <f t="shared" si="94"/>
        <v>0</v>
      </c>
      <c r="CA341" s="462">
        <f t="shared" si="95"/>
        <v>0</v>
      </c>
      <c r="CB341" s="462">
        <f t="shared" si="96"/>
        <v>0</v>
      </c>
      <c r="CC341" s="462">
        <f>IF(AT341&lt;&gt;0,SSHICHG*Y341,0)</f>
        <v>0</v>
      </c>
      <c r="CD341" s="462">
        <f>IF(AND(AT341&lt;&gt;0,AN341&lt;&gt;"NE"),VLOOKUP(AN341,Retirement_Rates,5,FALSE)*Y341,0)</f>
        <v>0</v>
      </c>
      <c r="CE341" s="462">
        <f>IF(AND(AT341&lt;&gt;0,AJ341&lt;&gt;"PF"),LifeCHG*Y341,0)</f>
        <v>0</v>
      </c>
      <c r="CF341" s="462">
        <f>IF(AND(AT341&lt;&gt;0,AM341="Y"),UICHG*Y341,0)</f>
        <v>0</v>
      </c>
      <c r="CG341" s="462">
        <f>IF(AND(AT341&lt;&gt;0,N341&lt;&gt;"NR"),DHRCHG*Y341,0)</f>
        <v>0</v>
      </c>
      <c r="CH341" s="462">
        <f>IF(AT341&lt;&gt;0,WCCHG*Y341,0)</f>
        <v>0</v>
      </c>
      <c r="CI341" s="462">
        <f>IF(OR(AND(AT341&lt;&gt;0,AJ341&lt;&gt;"PF",AN341&lt;&gt;"NE",AG341&lt;&gt;"A"),AND(AL341="E",OR(AT341=1,AT341=3))),SickCHG*Y341,0)</f>
        <v>0</v>
      </c>
      <c r="CJ341" s="462">
        <f t="shared" si="97"/>
        <v>0</v>
      </c>
      <c r="CK341" s="462" t="str">
        <f t="shared" si="98"/>
        <v/>
      </c>
      <c r="CL341" s="462">
        <f t="shared" si="99"/>
        <v>0</v>
      </c>
      <c r="CM341" s="462">
        <f t="shared" si="100"/>
        <v>0</v>
      </c>
      <c r="CN341" s="462" t="str">
        <f t="shared" si="101"/>
        <v>0348-00</v>
      </c>
    </row>
    <row r="342" spans="1:92" ht="15" thickBot="1" x14ac:dyDescent="0.35">
      <c r="A342" s="376" t="s">
        <v>161</v>
      </c>
      <c r="B342" s="376" t="s">
        <v>162</v>
      </c>
      <c r="C342" s="376" t="s">
        <v>803</v>
      </c>
      <c r="D342" s="376" t="s">
        <v>438</v>
      </c>
      <c r="E342" s="376" t="s">
        <v>428</v>
      </c>
      <c r="F342" s="377" t="s">
        <v>166</v>
      </c>
      <c r="G342" s="376" t="s">
        <v>951</v>
      </c>
      <c r="H342" s="378"/>
      <c r="I342" s="378"/>
      <c r="J342" s="376" t="s">
        <v>193</v>
      </c>
      <c r="K342" s="376" t="s">
        <v>439</v>
      </c>
      <c r="L342" s="376" t="s">
        <v>231</v>
      </c>
      <c r="M342" s="376" t="s">
        <v>171</v>
      </c>
      <c r="N342" s="376" t="s">
        <v>172</v>
      </c>
      <c r="O342" s="379">
        <v>1</v>
      </c>
      <c r="P342" s="460">
        <v>0.4</v>
      </c>
      <c r="Q342" s="460">
        <v>0.4</v>
      </c>
      <c r="R342" s="380">
        <v>80</v>
      </c>
      <c r="S342" s="460">
        <v>0.4</v>
      </c>
      <c r="T342" s="380">
        <v>12832.23</v>
      </c>
      <c r="U342" s="380">
        <v>400.34</v>
      </c>
      <c r="V342" s="380">
        <v>6903.08</v>
      </c>
      <c r="W342" s="380">
        <v>16074.24</v>
      </c>
      <c r="X342" s="380">
        <v>8485.17</v>
      </c>
      <c r="Y342" s="380">
        <v>16074.24</v>
      </c>
      <c r="Z342" s="380">
        <v>8531.7900000000009</v>
      </c>
      <c r="AA342" s="376" t="s">
        <v>804</v>
      </c>
      <c r="AB342" s="376" t="s">
        <v>435</v>
      </c>
      <c r="AC342" s="376" t="s">
        <v>698</v>
      </c>
      <c r="AD342" s="376" t="s">
        <v>176</v>
      </c>
      <c r="AE342" s="376" t="s">
        <v>439</v>
      </c>
      <c r="AF342" s="376" t="s">
        <v>236</v>
      </c>
      <c r="AG342" s="376" t="s">
        <v>178</v>
      </c>
      <c r="AH342" s="381">
        <v>19.32</v>
      </c>
      <c r="AI342" s="379">
        <v>1316</v>
      </c>
      <c r="AJ342" s="376" t="s">
        <v>179</v>
      </c>
      <c r="AK342" s="376" t="s">
        <v>180</v>
      </c>
      <c r="AL342" s="376" t="s">
        <v>181</v>
      </c>
      <c r="AM342" s="376" t="s">
        <v>182</v>
      </c>
      <c r="AN342" s="376" t="s">
        <v>68</v>
      </c>
      <c r="AO342" s="379">
        <v>80</v>
      </c>
      <c r="AP342" s="460">
        <v>1</v>
      </c>
      <c r="AQ342" s="460">
        <v>0.4</v>
      </c>
      <c r="AR342" s="458" t="s">
        <v>183</v>
      </c>
      <c r="AS342" s="462">
        <f t="shared" si="85"/>
        <v>0.4</v>
      </c>
      <c r="AT342">
        <f t="shared" si="86"/>
        <v>1</v>
      </c>
      <c r="AU342" s="462">
        <f>IF(AT342=0,"",IF(AND(AT342=1,M342="F",SUMIF(C2:C391,C342,AS2:AS391)&lt;=1),SUMIF(C2:C391,C342,AS2:AS391),IF(AND(AT342=1,M342="F",SUMIF(C2:C391,C342,AS2:AS391)&gt;1),1,"")))</f>
        <v>1</v>
      </c>
      <c r="AV342" s="462" t="str">
        <f>IF(AT342=0,"",IF(AND(AT342=3,M342="F",SUMIF(C2:C391,C342,AS2:AS391)&lt;=1),SUMIF(C2:C391,C342,AS2:AS391),IF(AND(AT342=3,M342="F",SUMIF(C2:C391,C342,AS2:AS391)&gt;1),1,"")))</f>
        <v/>
      </c>
      <c r="AW342" s="462">
        <f>SUMIF(C2:C391,C342,O2:O391)</f>
        <v>2</v>
      </c>
      <c r="AX342" s="462">
        <f>IF(AND(M342="F",AS342&lt;&gt;0),SUMIF(C2:C391,C342,W2:W391),0)</f>
        <v>40185.599999999999</v>
      </c>
      <c r="AY342" s="462">
        <f t="shared" si="87"/>
        <v>16074.24</v>
      </c>
      <c r="AZ342" s="462" t="str">
        <f t="shared" si="88"/>
        <v/>
      </c>
      <c r="BA342" s="462">
        <f t="shared" si="89"/>
        <v>0</v>
      </c>
      <c r="BB342" s="462">
        <f>IF(AND(AT342=1,AK342="E",AU342&gt;=0.75,AW342=1),Health,IF(AND(AT342=1,AK342="E",AU342&gt;=0.75),Health*P342,IF(AND(AT342=1,AK342="E",AU342&gt;=0.5,AW342=1),PTHealth,IF(AND(AT342=1,AK342="E",AU342&gt;=0.5),PTHealth*P342,0))))</f>
        <v>4660</v>
      </c>
      <c r="BC342" s="462">
        <f>IF(AND(AT342=3,AK342="E",AV342&gt;=0.75,AW342=1),Health,IF(AND(AT342=3,AK342="E",AV342&gt;=0.75),Health*P342,IF(AND(AT342=3,AK342="E",AV342&gt;=0.5,AW342=1),PTHealth,IF(AND(AT342=3,AK342="E",AV342&gt;=0.5),PTHealth*P342,0))))</f>
        <v>0</v>
      </c>
      <c r="BD342" s="462">
        <f>IF(AND(AT342&lt;&gt;0,AX342&gt;=MAXSSDI),SSDI*MAXSSDI*P342,IF(AT342&lt;&gt;0,SSDI*W342,0))</f>
        <v>996.60288000000003</v>
      </c>
      <c r="BE342" s="462">
        <f>IF(AT342&lt;&gt;0,SSHI*W342,0)</f>
        <v>233.07648</v>
      </c>
      <c r="BF342" s="462">
        <f>IF(AND(AT342&lt;&gt;0,AN342&lt;&gt;"NE"),VLOOKUP(AN342,Retirement_Rates,3,FALSE)*W342,0)</f>
        <v>1919.2642560000002</v>
      </c>
      <c r="BG342" s="462">
        <f>IF(AND(AT342&lt;&gt;0,AJ342&lt;&gt;"PF"),Life*W342,0)</f>
        <v>115.8952704</v>
      </c>
      <c r="BH342" s="462">
        <f>IF(AND(AT342&lt;&gt;0,AM342="Y"),UI*W342,0)</f>
        <v>78.763775999999993</v>
      </c>
      <c r="BI342" s="462">
        <f>IF(AND(AT342&lt;&gt;0,N342&lt;&gt;"NR"),DHR*W342,0)</f>
        <v>49.187174399999996</v>
      </c>
      <c r="BJ342" s="462">
        <f>IF(AT342&lt;&gt;0,WC*W342,0)</f>
        <v>432.39705600000002</v>
      </c>
      <c r="BK342" s="462">
        <f>IF(OR(AND(AT342&lt;&gt;0,AJ342&lt;&gt;"PF",AN342&lt;&gt;"NE",AG342&lt;&gt;"A"),AND(AL342="E",OR(AT342=1,AT342=3))),Sick*W342,0)</f>
        <v>0</v>
      </c>
      <c r="BL342" s="462">
        <f t="shared" si="90"/>
        <v>3825.1868928000004</v>
      </c>
      <c r="BM342" s="462">
        <f t="shared" si="91"/>
        <v>0</v>
      </c>
      <c r="BN342" s="462">
        <f>IF(AND(AT342=1,AK342="E",AU342&gt;=0.75,AW342=1),HealthBY,IF(AND(AT342=1,AK342="E",AU342&gt;=0.75),HealthBY*P342,IF(AND(AT342=1,AK342="E",AU342&gt;=0.5,AW342=1),PTHealthBY,IF(AND(AT342=1,AK342="E",AU342&gt;=0.5),PTHealthBY*P342,0))))</f>
        <v>4660</v>
      </c>
      <c r="BO342" s="462">
        <f>IF(AND(AT342=3,AK342="E",AV342&gt;=0.75,AW342=1),HealthBY,IF(AND(AT342=3,AK342="E",AV342&gt;=0.75),HealthBY*P342,IF(AND(AT342=3,AK342="E",AV342&gt;=0.5,AW342=1),PTHealthBY,IF(AND(AT342=3,AK342="E",AV342&gt;=0.5),PTHealthBY*P342,0))))</f>
        <v>0</v>
      </c>
      <c r="BP342" s="462">
        <f>IF(AND(AT342&lt;&gt;0,(AX342+BA342)&gt;=MAXSSDIBY),SSDIBY*MAXSSDIBY*P342,IF(AT342&lt;&gt;0,SSDIBY*W342,0))</f>
        <v>996.60288000000003</v>
      </c>
      <c r="BQ342" s="462">
        <f>IF(AT342&lt;&gt;0,SSHIBY*W342,0)</f>
        <v>233.07648</v>
      </c>
      <c r="BR342" s="462">
        <f>IF(AND(AT342&lt;&gt;0,AN342&lt;&gt;"NE"),VLOOKUP(AN342,Retirement_Rates,4,FALSE)*W342,0)</f>
        <v>1919.2642560000002</v>
      </c>
      <c r="BS342" s="462">
        <f>IF(AND(AT342&lt;&gt;0,AJ342&lt;&gt;"PF"),LifeBY*W342,0)</f>
        <v>115.8952704</v>
      </c>
      <c r="BT342" s="462">
        <f>IF(AND(AT342&lt;&gt;0,AM342="Y"),UIBY*W342,0)</f>
        <v>0</v>
      </c>
      <c r="BU342" s="462">
        <f>IF(AND(AT342&lt;&gt;0,N342&lt;&gt;"NR"),DHRBY*W342,0)</f>
        <v>49.187174399999996</v>
      </c>
      <c r="BV342" s="462">
        <f>IF(AT342&lt;&gt;0,WCBY*W342,0)</f>
        <v>557.77612799999997</v>
      </c>
      <c r="BW342" s="462">
        <f>IF(OR(AND(AT342&lt;&gt;0,AJ342&lt;&gt;"PF",AN342&lt;&gt;"NE",AG342&lt;&gt;"A"),AND(AL342="E",OR(AT342=1,AT342=3))),SickBY*W342,0)</f>
        <v>0</v>
      </c>
      <c r="BX342" s="462">
        <f t="shared" si="92"/>
        <v>3871.8021888000003</v>
      </c>
      <c r="BY342" s="462">
        <f t="shared" si="93"/>
        <v>0</v>
      </c>
      <c r="BZ342" s="462">
        <f t="shared" si="94"/>
        <v>0</v>
      </c>
      <c r="CA342" s="462">
        <f t="shared" si="95"/>
        <v>0</v>
      </c>
      <c r="CB342" s="462">
        <f t="shared" si="96"/>
        <v>0</v>
      </c>
      <c r="CC342" s="462">
        <f>IF(AT342&lt;&gt;0,SSHICHG*Y342,0)</f>
        <v>0</v>
      </c>
      <c r="CD342" s="462">
        <f>IF(AND(AT342&lt;&gt;0,AN342&lt;&gt;"NE"),VLOOKUP(AN342,Retirement_Rates,5,FALSE)*Y342,0)</f>
        <v>0</v>
      </c>
      <c r="CE342" s="462">
        <f>IF(AND(AT342&lt;&gt;0,AJ342&lt;&gt;"PF"),LifeCHG*Y342,0)</f>
        <v>0</v>
      </c>
      <c r="CF342" s="462">
        <f>IF(AND(AT342&lt;&gt;0,AM342="Y"),UICHG*Y342,0)</f>
        <v>-78.763775999999993</v>
      </c>
      <c r="CG342" s="462">
        <f>IF(AND(AT342&lt;&gt;0,N342&lt;&gt;"NR"),DHRCHG*Y342,0)</f>
        <v>0</v>
      </c>
      <c r="CH342" s="462">
        <f>IF(AT342&lt;&gt;0,WCCHG*Y342,0)</f>
        <v>125.37907200000002</v>
      </c>
      <c r="CI342" s="462">
        <f>IF(OR(AND(AT342&lt;&gt;0,AJ342&lt;&gt;"PF",AN342&lt;&gt;"NE",AG342&lt;&gt;"A"),AND(AL342="E",OR(AT342=1,AT342=3))),SickCHG*Y342,0)</f>
        <v>0</v>
      </c>
      <c r="CJ342" s="462">
        <f t="shared" si="97"/>
        <v>46.615296000000029</v>
      </c>
      <c r="CK342" s="462" t="str">
        <f t="shared" si="98"/>
        <v/>
      </c>
      <c r="CL342" s="462" t="str">
        <f t="shared" si="99"/>
        <v/>
      </c>
      <c r="CM342" s="462" t="str">
        <f t="shared" si="100"/>
        <v/>
      </c>
      <c r="CN342" s="462" t="str">
        <f t="shared" si="101"/>
        <v>0348-00</v>
      </c>
    </row>
    <row r="343" spans="1:92" ht="15" thickBot="1" x14ac:dyDescent="0.35">
      <c r="A343" s="376" t="s">
        <v>161</v>
      </c>
      <c r="B343" s="376" t="s">
        <v>162</v>
      </c>
      <c r="C343" s="376" t="s">
        <v>809</v>
      </c>
      <c r="D343" s="376" t="s">
        <v>460</v>
      </c>
      <c r="E343" s="376" t="s">
        <v>428</v>
      </c>
      <c r="F343" s="377" t="s">
        <v>166</v>
      </c>
      <c r="G343" s="376" t="s">
        <v>951</v>
      </c>
      <c r="H343" s="378"/>
      <c r="I343" s="378"/>
      <c r="J343" s="376" t="s">
        <v>193</v>
      </c>
      <c r="K343" s="376" t="s">
        <v>461</v>
      </c>
      <c r="L343" s="376" t="s">
        <v>240</v>
      </c>
      <c r="M343" s="376" t="s">
        <v>171</v>
      </c>
      <c r="N343" s="376" t="s">
        <v>172</v>
      </c>
      <c r="O343" s="379">
        <v>1</v>
      </c>
      <c r="P343" s="460">
        <v>0.4</v>
      </c>
      <c r="Q343" s="460">
        <v>0.4</v>
      </c>
      <c r="R343" s="380">
        <v>80</v>
      </c>
      <c r="S343" s="460">
        <v>0.4</v>
      </c>
      <c r="T343" s="380">
        <v>14473.32</v>
      </c>
      <c r="U343" s="380">
        <v>0</v>
      </c>
      <c r="V343" s="380">
        <v>6619.76</v>
      </c>
      <c r="W343" s="380">
        <v>18403.84</v>
      </c>
      <c r="X343" s="380">
        <v>9039.5400000000009</v>
      </c>
      <c r="Y343" s="380">
        <v>18403.84</v>
      </c>
      <c r="Z343" s="380">
        <v>9092.91</v>
      </c>
      <c r="AA343" s="376" t="s">
        <v>810</v>
      </c>
      <c r="AB343" s="376" t="s">
        <v>811</v>
      </c>
      <c r="AC343" s="376" t="s">
        <v>812</v>
      </c>
      <c r="AD343" s="376" t="s">
        <v>813</v>
      </c>
      <c r="AE343" s="376" t="s">
        <v>461</v>
      </c>
      <c r="AF343" s="376" t="s">
        <v>244</v>
      </c>
      <c r="AG343" s="376" t="s">
        <v>178</v>
      </c>
      <c r="AH343" s="381">
        <v>22.12</v>
      </c>
      <c r="AI343" s="381">
        <v>5270.9</v>
      </c>
      <c r="AJ343" s="376" t="s">
        <v>179</v>
      </c>
      <c r="AK343" s="376" t="s">
        <v>180</v>
      </c>
      <c r="AL343" s="376" t="s">
        <v>181</v>
      </c>
      <c r="AM343" s="376" t="s">
        <v>182</v>
      </c>
      <c r="AN343" s="376" t="s">
        <v>68</v>
      </c>
      <c r="AO343" s="379">
        <v>80</v>
      </c>
      <c r="AP343" s="460">
        <v>1</v>
      </c>
      <c r="AQ343" s="460">
        <v>0.4</v>
      </c>
      <c r="AR343" s="458" t="s">
        <v>183</v>
      </c>
      <c r="AS343" s="462">
        <f t="shared" si="85"/>
        <v>0.4</v>
      </c>
      <c r="AT343">
        <f t="shared" si="86"/>
        <v>1</v>
      </c>
      <c r="AU343" s="462">
        <f>IF(AT343=0,"",IF(AND(AT343=1,M343="F",SUMIF(C2:C391,C343,AS2:AS391)&lt;=1),SUMIF(C2:C391,C343,AS2:AS391),IF(AND(AT343=1,M343="F",SUMIF(C2:C391,C343,AS2:AS391)&gt;1),1,"")))</f>
        <v>1</v>
      </c>
      <c r="AV343" s="462" t="str">
        <f>IF(AT343=0,"",IF(AND(AT343=3,M343="F",SUMIF(C2:C391,C343,AS2:AS391)&lt;=1),SUMIF(C2:C391,C343,AS2:AS391),IF(AND(AT343=3,M343="F",SUMIF(C2:C391,C343,AS2:AS391)&gt;1),1,"")))</f>
        <v/>
      </c>
      <c r="AW343" s="462">
        <f>SUMIF(C2:C391,C343,O2:O391)</f>
        <v>2</v>
      </c>
      <c r="AX343" s="462">
        <f>IF(AND(M343="F",AS343&lt;&gt;0),SUMIF(C2:C391,C343,W2:W391),0)</f>
        <v>46009.599999999999</v>
      </c>
      <c r="AY343" s="462">
        <f t="shared" si="87"/>
        <v>18403.84</v>
      </c>
      <c r="AZ343" s="462" t="str">
        <f t="shared" si="88"/>
        <v/>
      </c>
      <c r="BA343" s="462">
        <f t="shared" si="89"/>
        <v>0</v>
      </c>
      <c r="BB343" s="462">
        <f>IF(AND(AT343=1,AK343="E",AU343&gt;=0.75,AW343=1),Health,IF(AND(AT343=1,AK343="E",AU343&gt;=0.75),Health*P343,IF(AND(AT343=1,AK343="E",AU343&gt;=0.5,AW343=1),PTHealth,IF(AND(AT343=1,AK343="E",AU343&gt;=0.5),PTHealth*P343,0))))</f>
        <v>4660</v>
      </c>
      <c r="BC343" s="462">
        <f>IF(AND(AT343=3,AK343="E",AV343&gt;=0.75,AW343=1),Health,IF(AND(AT343=3,AK343="E",AV343&gt;=0.75),Health*P343,IF(AND(AT343=3,AK343="E",AV343&gt;=0.5,AW343=1),PTHealth,IF(AND(AT343=3,AK343="E",AV343&gt;=0.5),PTHealth*P343,0))))</f>
        <v>0</v>
      </c>
      <c r="BD343" s="462">
        <f>IF(AND(AT343&lt;&gt;0,AX343&gt;=MAXSSDI),SSDI*MAXSSDI*P343,IF(AT343&lt;&gt;0,SSDI*W343,0))</f>
        <v>1141.03808</v>
      </c>
      <c r="BE343" s="462">
        <f>IF(AT343&lt;&gt;0,SSHI*W343,0)</f>
        <v>266.85568000000001</v>
      </c>
      <c r="BF343" s="462">
        <f>IF(AND(AT343&lt;&gt;0,AN343&lt;&gt;"NE"),VLOOKUP(AN343,Retirement_Rates,3,FALSE)*W343,0)</f>
        <v>2197.4184960000002</v>
      </c>
      <c r="BG343" s="462">
        <f>IF(AND(AT343&lt;&gt;0,AJ343&lt;&gt;"PF"),Life*W343,0)</f>
        <v>132.69168640000001</v>
      </c>
      <c r="BH343" s="462">
        <f>IF(AND(AT343&lt;&gt;0,AM343="Y"),UI*W343,0)</f>
        <v>90.178815999999998</v>
      </c>
      <c r="BI343" s="462">
        <f>IF(AND(AT343&lt;&gt;0,N343&lt;&gt;"NR"),DHR*W343,0)</f>
        <v>56.315750399999999</v>
      </c>
      <c r="BJ343" s="462">
        <f>IF(AT343&lt;&gt;0,WC*W343,0)</f>
        <v>495.06329600000004</v>
      </c>
      <c r="BK343" s="462">
        <f>IF(OR(AND(AT343&lt;&gt;0,AJ343&lt;&gt;"PF",AN343&lt;&gt;"NE",AG343&lt;&gt;"A"),AND(AL343="E",OR(AT343=1,AT343=3))),Sick*W343,0)</f>
        <v>0</v>
      </c>
      <c r="BL343" s="462">
        <f t="shared" si="90"/>
        <v>4379.5618048000006</v>
      </c>
      <c r="BM343" s="462">
        <f t="shared" si="91"/>
        <v>0</v>
      </c>
      <c r="BN343" s="462">
        <f>IF(AND(AT343=1,AK343="E",AU343&gt;=0.75,AW343=1),HealthBY,IF(AND(AT343=1,AK343="E",AU343&gt;=0.75),HealthBY*P343,IF(AND(AT343=1,AK343="E",AU343&gt;=0.5,AW343=1),PTHealthBY,IF(AND(AT343=1,AK343="E",AU343&gt;=0.5),PTHealthBY*P343,0))))</f>
        <v>4660</v>
      </c>
      <c r="BO343" s="462">
        <f>IF(AND(AT343=3,AK343="E",AV343&gt;=0.75,AW343=1),HealthBY,IF(AND(AT343=3,AK343="E",AV343&gt;=0.75),HealthBY*P343,IF(AND(AT343=3,AK343="E",AV343&gt;=0.5,AW343=1),PTHealthBY,IF(AND(AT343=3,AK343="E",AV343&gt;=0.5),PTHealthBY*P343,0))))</f>
        <v>0</v>
      </c>
      <c r="BP343" s="462">
        <f>IF(AND(AT343&lt;&gt;0,(AX343+BA343)&gt;=MAXSSDIBY),SSDIBY*MAXSSDIBY*P343,IF(AT343&lt;&gt;0,SSDIBY*W343,0))</f>
        <v>1141.03808</v>
      </c>
      <c r="BQ343" s="462">
        <f>IF(AT343&lt;&gt;0,SSHIBY*W343,0)</f>
        <v>266.85568000000001</v>
      </c>
      <c r="BR343" s="462">
        <f>IF(AND(AT343&lt;&gt;0,AN343&lt;&gt;"NE"),VLOOKUP(AN343,Retirement_Rates,4,FALSE)*W343,0)</f>
        <v>2197.4184960000002</v>
      </c>
      <c r="BS343" s="462">
        <f>IF(AND(AT343&lt;&gt;0,AJ343&lt;&gt;"PF"),LifeBY*W343,0)</f>
        <v>132.69168640000001</v>
      </c>
      <c r="BT343" s="462">
        <f>IF(AND(AT343&lt;&gt;0,AM343="Y"),UIBY*W343,0)</f>
        <v>0</v>
      </c>
      <c r="BU343" s="462">
        <f>IF(AND(AT343&lt;&gt;0,N343&lt;&gt;"NR"),DHRBY*W343,0)</f>
        <v>56.315750399999999</v>
      </c>
      <c r="BV343" s="462">
        <f>IF(AT343&lt;&gt;0,WCBY*W343,0)</f>
        <v>638.613248</v>
      </c>
      <c r="BW343" s="462">
        <f>IF(OR(AND(AT343&lt;&gt;0,AJ343&lt;&gt;"PF",AN343&lt;&gt;"NE",AG343&lt;&gt;"A"),AND(AL343="E",OR(AT343=1,AT343=3))),SickBY*W343,0)</f>
        <v>0</v>
      </c>
      <c r="BX343" s="462">
        <f t="shared" si="92"/>
        <v>4432.9329408000003</v>
      </c>
      <c r="BY343" s="462">
        <f t="shared" si="93"/>
        <v>0</v>
      </c>
      <c r="BZ343" s="462">
        <f t="shared" si="94"/>
        <v>0</v>
      </c>
      <c r="CA343" s="462">
        <f t="shared" si="95"/>
        <v>0</v>
      </c>
      <c r="CB343" s="462">
        <f t="shared" si="96"/>
        <v>0</v>
      </c>
      <c r="CC343" s="462">
        <f>IF(AT343&lt;&gt;0,SSHICHG*Y343,0)</f>
        <v>0</v>
      </c>
      <c r="CD343" s="462">
        <f>IF(AND(AT343&lt;&gt;0,AN343&lt;&gt;"NE"),VLOOKUP(AN343,Retirement_Rates,5,FALSE)*Y343,0)</f>
        <v>0</v>
      </c>
      <c r="CE343" s="462">
        <f>IF(AND(AT343&lt;&gt;0,AJ343&lt;&gt;"PF"),LifeCHG*Y343,0)</f>
        <v>0</v>
      </c>
      <c r="CF343" s="462">
        <f>IF(AND(AT343&lt;&gt;0,AM343="Y"),UICHG*Y343,0)</f>
        <v>-90.178815999999998</v>
      </c>
      <c r="CG343" s="462">
        <f>IF(AND(AT343&lt;&gt;0,N343&lt;&gt;"NR"),DHRCHG*Y343,0)</f>
        <v>0</v>
      </c>
      <c r="CH343" s="462">
        <f>IF(AT343&lt;&gt;0,WCCHG*Y343,0)</f>
        <v>143.54995200000002</v>
      </c>
      <c r="CI343" s="462">
        <f>IF(OR(AND(AT343&lt;&gt;0,AJ343&lt;&gt;"PF",AN343&lt;&gt;"NE",AG343&lt;&gt;"A"),AND(AL343="E",OR(AT343=1,AT343=3))),SickCHG*Y343,0)</f>
        <v>0</v>
      </c>
      <c r="CJ343" s="462">
        <f t="shared" si="97"/>
        <v>53.371136000000021</v>
      </c>
      <c r="CK343" s="462" t="str">
        <f t="shared" si="98"/>
        <v/>
      </c>
      <c r="CL343" s="462" t="str">
        <f t="shared" si="99"/>
        <v/>
      </c>
      <c r="CM343" s="462" t="str">
        <f t="shared" si="100"/>
        <v/>
      </c>
      <c r="CN343" s="462" t="str">
        <f t="shared" si="101"/>
        <v>0348-00</v>
      </c>
    </row>
    <row r="344" spans="1:92" ht="15" thickBot="1" x14ac:dyDescent="0.35">
      <c r="A344" s="376" t="s">
        <v>161</v>
      </c>
      <c r="B344" s="376" t="s">
        <v>162</v>
      </c>
      <c r="C344" s="376" t="s">
        <v>764</v>
      </c>
      <c r="D344" s="376" t="s">
        <v>431</v>
      </c>
      <c r="E344" s="376" t="s">
        <v>428</v>
      </c>
      <c r="F344" s="377" t="s">
        <v>166</v>
      </c>
      <c r="G344" s="376" t="s">
        <v>951</v>
      </c>
      <c r="H344" s="378"/>
      <c r="I344" s="378"/>
      <c r="J344" s="376" t="s">
        <v>193</v>
      </c>
      <c r="K344" s="376" t="s">
        <v>433</v>
      </c>
      <c r="L344" s="376" t="s">
        <v>195</v>
      </c>
      <c r="M344" s="376" t="s">
        <v>225</v>
      </c>
      <c r="N344" s="376" t="s">
        <v>172</v>
      </c>
      <c r="O344" s="379">
        <v>0</v>
      </c>
      <c r="P344" s="460">
        <v>0.4</v>
      </c>
      <c r="Q344" s="460">
        <v>0.4</v>
      </c>
      <c r="R344" s="380">
        <v>80</v>
      </c>
      <c r="S344" s="460">
        <v>0.4</v>
      </c>
      <c r="T344" s="380">
        <v>13427.48</v>
      </c>
      <c r="U344" s="380">
        <v>0</v>
      </c>
      <c r="V344" s="380">
        <v>5647</v>
      </c>
      <c r="W344" s="380">
        <v>21390.720000000001</v>
      </c>
      <c r="X344" s="380">
        <v>9369.1299999999992</v>
      </c>
      <c r="Y344" s="380">
        <v>21390.720000000001</v>
      </c>
      <c r="Z344" s="380">
        <v>9262.18</v>
      </c>
      <c r="AA344" s="378"/>
      <c r="AB344" s="376" t="s">
        <v>45</v>
      </c>
      <c r="AC344" s="376" t="s">
        <v>45</v>
      </c>
      <c r="AD344" s="378"/>
      <c r="AE344" s="378"/>
      <c r="AF344" s="378"/>
      <c r="AG344" s="378"/>
      <c r="AH344" s="379">
        <v>0</v>
      </c>
      <c r="AI344" s="379">
        <v>0</v>
      </c>
      <c r="AJ344" s="378"/>
      <c r="AK344" s="378"/>
      <c r="AL344" s="376" t="s">
        <v>181</v>
      </c>
      <c r="AM344" s="378"/>
      <c r="AN344" s="378"/>
      <c r="AO344" s="379">
        <v>0</v>
      </c>
      <c r="AP344" s="460">
        <v>0</v>
      </c>
      <c r="AQ344" s="460">
        <v>0</v>
      </c>
      <c r="AR344" s="459"/>
      <c r="AS344" s="462">
        <f t="shared" si="85"/>
        <v>0</v>
      </c>
      <c r="AT344">
        <f t="shared" si="86"/>
        <v>0</v>
      </c>
      <c r="AU344" s="462" t="str">
        <f>IF(AT344=0,"",IF(AND(AT344=1,M344="F",SUMIF(C2:C391,C344,AS2:AS391)&lt;=1),SUMIF(C2:C391,C344,AS2:AS391),IF(AND(AT344=1,M344="F",SUMIF(C2:C391,C344,AS2:AS391)&gt;1),1,"")))</f>
        <v/>
      </c>
      <c r="AV344" s="462" t="str">
        <f>IF(AT344=0,"",IF(AND(AT344=3,M344="F",SUMIF(C2:C391,C344,AS2:AS391)&lt;=1),SUMIF(C2:C391,C344,AS2:AS391),IF(AND(AT344=3,M344="F",SUMIF(C2:C391,C344,AS2:AS391)&gt;1),1,"")))</f>
        <v/>
      </c>
      <c r="AW344" s="462">
        <f>SUMIF(C2:C391,C344,O2:O391)</f>
        <v>0</v>
      </c>
      <c r="AX344" s="462">
        <f>IF(AND(M344="F",AS344&lt;&gt;0),SUMIF(C2:C391,C344,W2:W391),0)</f>
        <v>0</v>
      </c>
      <c r="AY344" s="462" t="str">
        <f t="shared" si="87"/>
        <v/>
      </c>
      <c r="AZ344" s="462" t="str">
        <f t="shared" si="88"/>
        <v/>
      </c>
      <c r="BA344" s="462">
        <f t="shared" si="89"/>
        <v>0</v>
      </c>
      <c r="BB344" s="462">
        <f>IF(AND(AT344=1,AK344="E",AU344&gt;=0.75,AW344=1),Health,IF(AND(AT344=1,AK344="E",AU344&gt;=0.75),Health*P344,IF(AND(AT344=1,AK344="E",AU344&gt;=0.5,AW344=1),PTHealth,IF(AND(AT344=1,AK344="E",AU344&gt;=0.5),PTHealth*P344,0))))</f>
        <v>0</v>
      </c>
      <c r="BC344" s="462">
        <f>IF(AND(AT344=3,AK344="E",AV344&gt;=0.75,AW344=1),Health,IF(AND(AT344=3,AK344="E",AV344&gt;=0.75),Health*P344,IF(AND(AT344=3,AK344="E",AV344&gt;=0.5,AW344=1),PTHealth,IF(AND(AT344=3,AK344="E",AV344&gt;=0.5),PTHealth*P344,0))))</f>
        <v>0</v>
      </c>
      <c r="BD344" s="462">
        <f>IF(AND(AT344&lt;&gt;0,AX344&gt;=MAXSSDI),SSDI*MAXSSDI*P344,IF(AT344&lt;&gt;0,SSDI*W344,0))</f>
        <v>0</v>
      </c>
      <c r="BE344" s="462">
        <f>IF(AT344&lt;&gt;0,SSHI*W344,0)</f>
        <v>0</v>
      </c>
      <c r="BF344" s="462">
        <f>IF(AND(AT344&lt;&gt;0,AN344&lt;&gt;"NE"),VLOOKUP(AN344,Retirement_Rates,3,FALSE)*W344,0)</f>
        <v>0</v>
      </c>
      <c r="BG344" s="462">
        <f>IF(AND(AT344&lt;&gt;0,AJ344&lt;&gt;"PF"),Life*W344,0)</f>
        <v>0</v>
      </c>
      <c r="BH344" s="462">
        <f>IF(AND(AT344&lt;&gt;0,AM344="Y"),UI*W344,0)</f>
        <v>0</v>
      </c>
      <c r="BI344" s="462">
        <f>IF(AND(AT344&lt;&gt;0,N344&lt;&gt;"NR"),DHR*W344,0)</f>
        <v>0</v>
      </c>
      <c r="BJ344" s="462">
        <f>IF(AT344&lt;&gt;0,WC*W344,0)</f>
        <v>0</v>
      </c>
      <c r="BK344" s="462">
        <f>IF(OR(AND(AT344&lt;&gt;0,AJ344&lt;&gt;"PF",AN344&lt;&gt;"NE",AG344&lt;&gt;"A"),AND(AL344="E",OR(AT344=1,AT344=3))),Sick*W344,0)</f>
        <v>0</v>
      </c>
      <c r="BL344" s="462">
        <f t="shared" si="90"/>
        <v>0</v>
      </c>
      <c r="BM344" s="462">
        <f t="shared" si="91"/>
        <v>0</v>
      </c>
      <c r="BN344" s="462">
        <f>IF(AND(AT344=1,AK344="E",AU344&gt;=0.75,AW344=1),HealthBY,IF(AND(AT344=1,AK344="E",AU344&gt;=0.75),HealthBY*P344,IF(AND(AT344=1,AK344="E",AU344&gt;=0.5,AW344=1),PTHealthBY,IF(AND(AT344=1,AK344="E",AU344&gt;=0.5),PTHealthBY*P344,0))))</f>
        <v>0</v>
      </c>
      <c r="BO344" s="462">
        <f>IF(AND(AT344=3,AK344="E",AV344&gt;=0.75,AW344=1),HealthBY,IF(AND(AT344=3,AK344="E",AV344&gt;=0.75),HealthBY*P344,IF(AND(AT344=3,AK344="E",AV344&gt;=0.5,AW344=1),PTHealthBY,IF(AND(AT344=3,AK344="E",AV344&gt;=0.5),PTHealthBY*P344,0))))</f>
        <v>0</v>
      </c>
      <c r="BP344" s="462">
        <f>IF(AND(AT344&lt;&gt;0,(AX344+BA344)&gt;=MAXSSDIBY),SSDIBY*MAXSSDIBY*P344,IF(AT344&lt;&gt;0,SSDIBY*W344,0))</f>
        <v>0</v>
      </c>
      <c r="BQ344" s="462">
        <f>IF(AT344&lt;&gt;0,SSHIBY*W344,0)</f>
        <v>0</v>
      </c>
      <c r="BR344" s="462">
        <f>IF(AND(AT344&lt;&gt;0,AN344&lt;&gt;"NE"),VLOOKUP(AN344,Retirement_Rates,4,FALSE)*W344,0)</f>
        <v>0</v>
      </c>
      <c r="BS344" s="462">
        <f>IF(AND(AT344&lt;&gt;0,AJ344&lt;&gt;"PF"),LifeBY*W344,0)</f>
        <v>0</v>
      </c>
      <c r="BT344" s="462">
        <f>IF(AND(AT344&lt;&gt;0,AM344="Y"),UIBY*W344,0)</f>
        <v>0</v>
      </c>
      <c r="BU344" s="462">
        <f>IF(AND(AT344&lt;&gt;0,N344&lt;&gt;"NR"),DHRBY*W344,0)</f>
        <v>0</v>
      </c>
      <c r="BV344" s="462">
        <f>IF(AT344&lt;&gt;0,WCBY*W344,0)</f>
        <v>0</v>
      </c>
      <c r="BW344" s="462">
        <f>IF(OR(AND(AT344&lt;&gt;0,AJ344&lt;&gt;"PF",AN344&lt;&gt;"NE",AG344&lt;&gt;"A"),AND(AL344="E",OR(AT344=1,AT344=3))),SickBY*W344,0)</f>
        <v>0</v>
      </c>
      <c r="BX344" s="462">
        <f t="shared" si="92"/>
        <v>0</v>
      </c>
      <c r="BY344" s="462">
        <f t="shared" si="93"/>
        <v>0</v>
      </c>
      <c r="BZ344" s="462">
        <f t="shared" si="94"/>
        <v>0</v>
      </c>
      <c r="CA344" s="462">
        <f t="shared" si="95"/>
        <v>0</v>
      </c>
      <c r="CB344" s="462">
        <f t="shared" si="96"/>
        <v>0</v>
      </c>
      <c r="CC344" s="462">
        <f>IF(AT344&lt;&gt;0,SSHICHG*Y344,0)</f>
        <v>0</v>
      </c>
      <c r="CD344" s="462">
        <f>IF(AND(AT344&lt;&gt;0,AN344&lt;&gt;"NE"),VLOOKUP(AN344,Retirement_Rates,5,FALSE)*Y344,0)</f>
        <v>0</v>
      </c>
      <c r="CE344" s="462">
        <f>IF(AND(AT344&lt;&gt;0,AJ344&lt;&gt;"PF"),LifeCHG*Y344,0)</f>
        <v>0</v>
      </c>
      <c r="CF344" s="462">
        <f>IF(AND(AT344&lt;&gt;0,AM344="Y"),UICHG*Y344,0)</f>
        <v>0</v>
      </c>
      <c r="CG344" s="462">
        <f>IF(AND(AT344&lt;&gt;0,N344&lt;&gt;"NR"),DHRCHG*Y344,0)</f>
        <v>0</v>
      </c>
      <c r="CH344" s="462">
        <f>IF(AT344&lt;&gt;0,WCCHG*Y344,0)</f>
        <v>0</v>
      </c>
      <c r="CI344" s="462">
        <f>IF(OR(AND(AT344&lt;&gt;0,AJ344&lt;&gt;"PF",AN344&lt;&gt;"NE",AG344&lt;&gt;"A"),AND(AL344="E",OR(AT344=1,AT344=3))),SickCHG*Y344,0)</f>
        <v>0</v>
      </c>
      <c r="CJ344" s="462">
        <f t="shared" si="97"/>
        <v>0</v>
      </c>
      <c r="CK344" s="462" t="str">
        <f t="shared" si="98"/>
        <v/>
      </c>
      <c r="CL344" s="462" t="str">
        <f t="shared" si="99"/>
        <v/>
      </c>
      <c r="CM344" s="462" t="str">
        <f t="shared" si="100"/>
        <v/>
      </c>
      <c r="CN344" s="462" t="str">
        <f t="shared" si="101"/>
        <v>0348-00</v>
      </c>
    </row>
    <row r="345" spans="1:92" ht="15" thickBot="1" x14ac:dyDescent="0.35">
      <c r="A345" s="376" t="s">
        <v>161</v>
      </c>
      <c r="B345" s="376" t="s">
        <v>162</v>
      </c>
      <c r="C345" s="376" t="s">
        <v>765</v>
      </c>
      <c r="D345" s="376" t="s">
        <v>221</v>
      </c>
      <c r="E345" s="376" t="s">
        <v>428</v>
      </c>
      <c r="F345" s="377" t="s">
        <v>166</v>
      </c>
      <c r="G345" s="376" t="s">
        <v>951</v>
      </c>
      <c r="H345" s="378"/>
      <c r="I345" s="378"/>
      <c r="J345" s="376" t="s">
        <v>168</v>
      </c>
      <c r="K345" s="376" t="s">
        <v>222</v>
      </c>
      <c r="L345" s="376" t="s">
        <v>166</v>
      </c>
      <c r="M345" s="376" t="s">
        <v>171</v>
      </c>
      <c r="N345" s="376" t="s">
        <v>223</v>
      </c>
      <c r="O345" s="379">
        <v>0</v>
      </c>
      <c r="P345" s="460">
        <v>1</v>
      </c>
      <c r="Q345" s="460">
        <v>0</v>
      </c>
      <c r="R345" s="380">
        <v>0</v>
      </c>
      <c r="S345" s="460">
        <v>0</v>
      </c>
      <c r="T345" s="380">
        <v>104547.18</v>
      </c>
      <c r="U345" s="380">
        <v>2208.38</v>
      </c>
      <c r="V345" s="380">
        <v>20808.12</v>
      </c>
      <c r="W345" s="380">
        <v>180985.51</v>
      </c>
      <c r="X345" s="380">
        <v>41971.78</v>
      </c>
      <c r="Y345" s="380">
        <v>180985.51</v>
      </c>
      <c r="Z345" s="380">
        <v>41971.78</v>
      </c>
      <c r="AA345" s="378"/>
      <c r="AB345" s="376" t="s">
        <v>45</v>
      </c>
      <c r="AC345" s="376" t="s">
        <v>45</v>
      </c>
      <c r="AD345" s="378"/>
      <c r="AE345" s="378"/>
      <c r="AF345" s="378"/>
      <c r="AG345" s="378"/>
      <c r="AH345" s="379">
        <v>0</v>
      </c>
      <c r="AI345" s="379">
        <v>0</v>
      </c>
      <c r="AJ345" s="378"/>
      <c r="AK345" s="378"/>
      <c r="AL345" s="376" t="s">
        <v>181</v>
      </c>
      <c r="AM345" s="378"/>
      <c r="AN345" s="378"/>
      <c r="AO345" s="379">
        <v>0</v>
      </c>
      <c r="AP345" s="460">
        <v>0</v>
      </c>
      <c r="AQ345" s="460">
        <v>0</v>
      </c>
      <c r="AR345" s="459"/>
      <c r="AS345" s="462">
        <f t="shared" si="85"/>
        <v>0</v>
      </c>
      <c r="AT345">
        <f t="shared" si="86"/>
        <v>0</v>
      </c>
      <c r="AU345" s="462" t="str">
        <f>IF(AT345=0,"",IF(AND(AT345=1,M345="F",SUMIF(C2:C391,C345,AS2:AS391)&lt;=1),SUMIF(C2:C391,C345,AS2:AS391),IF(AND(AT345=1,M345="F",SUMIF(C2:C391,C345,AS2:AS391)&gt;1),1,"")))</f>
        <v/>
      </c>
      <c r="AV345" s="462" t="str">
        <f>IF(AT345=0,"",IF(AND(AT345=3,M345="F",SUMIF(C2:C391,C345,AS2:AS391)&lt;=1),SUMIF(C2:C391,C345,AS2:AS391),IF(AND(AT345=3,M345="F",SUMIF(C2:C391,C345,AS2:AS391)&gt;1),1,"")))</f>
        <v/>
      </c>
      <c r="AW345" s="462">
        <f>SUMIF(C2:C391,C345,O2:O391)</f>
        <v>0</v>
      </c>
      <c r="AX345" s="462">
        <f>IF(AND(M345="F",AS345&lt;&gt;0),SUMIF(C2:C391,C345,W2:W391),0)</f>
        <v>0</v>
      </c>
      <c r="AY345" s="462" t="str">
        <f t="shared" si="87"/>
        <v/>
      </c>
      <c r="AZ345" s="462" t="str">
        <f t="shared" si="88"/>
        <v/>
      </c>
      <c r="BA345" s="462">
        <f t="shared" si="89"/>
        <v>0</v>
      </c>
      <c r="BB345" s="462">
        <f>IF(AND(AT345=1,AK345="E",AU345&gt;=0.75,AW345=1),Health,IF(AND(AT345=1,AK345="E",AU345&gt;=0.75),Health*P345,IF(AND(AT345=1,AK345="E",AU345&gt;=0.5,AW345=1),PTHealth,IF(AND(AT345=1,AK345="E",AU345&gt;=0.5),PTHealth*P345,0))))</f>
        <v>0</v>
      </c>
      <c r="BC345" s="462">
        <f>IF(AND(AT345=3,AK345="E",AV345&gt;=0.75,AW345=1),Health,IF(AND(AT345=3,AK345="E",AV345&gt;=0.75),Health*P345,IF(AND(AT345=3,AK345="E",AV345&gt;=0.5,AW345=1),PTHealth,IF(AND(AT345=3,AK345="E",AV345&gt;=0.5),PTHealth*P345,0))))</f>
        <v>0</v>
      </c>
      <c r="BD345" s="462">
        <f>IF(AND(AT345&lt;&gt;0,AX345&gt;=MAXSSDI),SSDI*MAXSSDI*P345,IF(AT345&lt;&gt;0,SSDI*W345,0))</f>
        <v>0</v>
      </c>
      <c r="BE345" s="462">
        <f>IF(AT345&lt;&gt;0,SSHI*W345,0)</f>
        <v>0</v>
      </c>
      <c r="BF345" s="462">
        <f>IF(AND(AT345&lt;&gt;0,AN345&lt;&gt;"NE"),VLOOKUP(AN345,Retirement_Rates,3,FALSE)*W345,0)</f>
        <v>0</v>
      </c>
      <c r="BG345" s="462">
        <f>IF(AND(AT345&lt;&gt;0,AJ345&lt;&gt;"PF"),Life*W345,0)</f>
        <v>0</v>
      </c>
      <c r="BH345" s="462">
        <f>IF(AND(AT345&lt;&gt;0,AM345="Y"),UI*W345,0)</f>
        <v>0</v>
      </c>
      <c r="BI345" s="462">
        <f>IF(AND(AT345&lt;&gt;0,N345&lt;&gt;"NR"),DHR*W345,0)</f>
        <v>0</v>
      </c>
      <c r="BJ345" s="462">
        <f>IF(AT345&lt;&gt;0,WC*W345,0)</f>
        <v>0</v>
      </c>
      <c r="BK345" s="462">
        <f>IF(OR(AND(AT345&lt;&gt;0,AJ345&lt;&gt;"PF",AN345&lt;&gt;"NE",AG345&lt;&gt;"A"),AND(AL345="E",OR(AT345=1,AT345=3))),Sick*W345,0)</f>
        <v>0</v>
      </c>
      <c r="BL345" s="462">
        <f t="shared" si="90"/>
        <v>0</v>
      </c>
      <c r="BM345" s="462">
        <f t="shared" si="91"/>
        <v>0</v>
      </c>
      <c r="BN345" s="462">
        <f>IF(AND(AT345=1,AK345="E",AU345&gt;=0.75,AW345=1),HealthBY,IF(AND(AT345=1,AK345="E",AU345&gt;=0.75),HealthBY*P345,IF(AND(AT345=1,AK345="E",AU345&gt;=0.5,AW345=1),PTHealthBY,IF(AND(AT345=1,AK345="E",AU345&gt;=0.5),PTHealthBY*P345,0))))</f>
        <v>0</v>
      </c>
      <c r="BO345" s="462">
        <f>IF(AND(AT345=3,AK345="E",AV345&gt;=0.75,AW345=1),HealthBY,IF(AND(AT345=3,AK345="E",AV345&gt;=0.75),HealthBY*P345,IF(AND(AT345=3,AK345="E",AV345&gt;=0.5,AW345=1),PTHealthBY,IF(AND(AT345=3,AK345="E",AV345&gt;=0.5),PTHealthBY*P345,0))))</f>
        <v>0</v>
      </c>
      <c r="BP345" s="462">
        <f>IF(AND(AT345&lt;&gt;0,(AX345+BA345)&gt;=MAXSSDIBY),SSDIBY*MAXSSDIBY*P345,IF(AT345&lt;&gt;0,SSDIBY*W345,0))</f>
        <v>0</v>
      </c>
      <c r="BQ345" s="462">
        <f>IF(AT345&lt;&gt;0,SSHIBY*W345,0)</f>
        <v>0</v>
      </c>
      <c r="BR345" s="462">
        <f>IF(AND(AT345&lt;&gt;0,AN345&lt;&gt;"NE"),VLOOKUP(AN345,Retirement_Rates,4,FALSE)*W345,0)</f>
        <v>0</v>
      </c>
      <c r="BS345" s="462">
        <f>IF(AND(AT345&lt;&gt;0,AJ345&lt;&gt;"PF"),LifeBY*W345,0)</f>
        <v>0</v>
      </c>
      <c r="BT345" s="462">
        <f>IF(AND(AT345&lt;&gt;0,AM345="Y"),UIBY*W345,0)</f>
        <v>0</v>
      </c>
      <c r="BU345" s="462">
        <f>IF(AND(AT345&lt;&gt;0,N345&lt;&gt;"NR"),DHRBY*W345,0)</f>
        <v>0</v>
      </c>
      <c r="BV345" s="462">
        <f>IF(AT345&lt;&gt;0,WCBY*W345,0)</f>
        <v>0</v>
      </c>
      <c r="BW345" s="462">
        <f>IF(OR(AND(AT345&lt;&gt;0,AJ345&lt;&gt;"PF",AN345&lt;&gt;"NE",AG345&lt;&gt;"A"),AND(AL345="E",OR(AT345=1,AT345=3))),SickBY*W345,0)</f>
        <v>0</v>
      </c>
      <c r="BX345" s="462">
        <f t="shared" si="92"/>
        <v>0</v>
      </c>
      <c r="BY345" s="462">
        <f t="shared" si="93"/>
        <v>0</v>
      </c>
      <c r="BZ345" s="462">
        <f t="shared" si="94"/>
        <v>0</v>
      </c>
      <c r="CA345" s="462">
        <f t="shared" si="95"/>
        <v>0</v>
      </c>
      <c r="CB345" s="462">
        <f t="shared" si="96"/>
        <v>0</v>
      </c>
      <c r="CC345" s="462">
        <f>IF(AT345&lt;&gt;0,SSHICHG*Y345,0)</f>
        <v>0</v>
      </c>
      <c r="CD345" s="462">
        <f>IF(AND(AT345&lt;&gt;0,AN345&lt;&gt;"NE"),VLOOKUP(AN345,Retirement_Rates,5,FALSE)*Y345,0)</f>
        <v>0</v>
      </c>
      <c r="CE345" s="462">
        <f>IF(AND(AT345&lt;&gt;0,AJ345&lt;&gt;"PF"),LifeCHG*Y345,0)</f>
        <v>0</v>
      </c>
      <c r="CF345" s="462">
        <f>IF(AND(AT345&lt;&gt;0,AM345="Y"),UICHG*Y345,0)</f>
        <v>0</v>
      </c>
      <c r="CG345" s="462">
        <f>IF(AND(AT345&lt;&gt;0,N345&lt;&gt;"NR"),DHRCHG*Y345,0)</f>
        <v>0</v>
      </c>
      <c r="CH345" s="462">
        <f>IF(AT345&lt;&gt;0,WCCHG*Y345,0)</f>
        <v>0</v>
      </c>
      <c r="CI345" s="462">
        <f>IF(OR(AND(AT345&lt;&gt;0,AJ345&lt;&gt;"PF",AN345&lt;&gt;"NE",AG345&lt;&gt;"A"),AND(AL345="E",OR(AT345=1,AT345=3))),SickCHG*Y345,0)</f>
        <v>0</v>
      </c>
      <c r="CJ345" s="462">
        <f t="shared" si="97"/>
        <v>0</v>
      </c>
      <c r="CK345" s="462" t="str">
        <f t="shared" si="98"/>
        <v/>
      </c>
      <c r="CL345" s="462">
        <f t="shared" si="99"/>
        <v>106755.56</v>
      </c>
      <c r="CM345" s="462">
        <f t="shared" si="100"/>
        <v>20808.12</v>
      </c>
      <c r="CN345" s="462" t="str">
        <f t="shared" si="101"/>
        <v>0348-00</v>
      </c>
    </row>
    <row r="346" spans="1:92" ht="15" thickBot="1" x14ac:dyDescent="0.35">
      <c r="A346" s="376" t="s">
        <v>161</v>
      </c>
      <c r="B346" s="376" t="s">
        <v>162</v>
      </c>
      <c r="C346" s="376" t="s">
        <v>1008</v>
      </c>
      <c r="D346" s="376" t="s">
        <v>221</v>
      </c>
      <c r="E346" s="376" t="s">
        <v>428</v>
      </c>
      <c r="F346" s="377" t="s">
        <v>166</v>
      </c>
      <c r="G346" s="376" t="s">
        <v>951</v>
      </c>
      <c r="H346" s="378"/>
      <c r="I346" s="378"/>
      <c r="J346" s="376" t="s">
        <v>168</v>
      </c>
      <c r="K346" s="376" t="s">
        <v>222</v>
      </c>
      <c r="L346" s="376" t="s">
        <v>166</v>
      </c>
      <c r="M346" s="376" t="s">
        <v>225</v>
      </c>
      <c r="N346" s="376" t="s">
        <v>223</v>
      </c>
      <c r="O346" s="379">
        <v>0</v>
      </c>
      <c r="P346" s="460">
        <v>1</v>
      </c>
      <c r="Q346" s="460">
        <v>0</v>
      </c>
      <c r="R346" s="380">
        <v>0</v>
      </c>
      <c r="S346" s="460">
        <v>0</v>
      </c>
      <c r="T346" s="380">
        <v>0</v>
      </c>
      <c r="U346" s="380">
        <v>0</v>
      </c>
      <c r="V346" s="380">
        <v>0</v>
      </c>
      <c r="W346" s="380">
        <v>0</v>
      </c>
      <c r="X346" s="380">
        <v>0</v>
      </c>
      <c r="Y346" s="380">
        <v>0</v>
      </c>
      <c r="Z346" s="380">
        <v>0</v>
      </c>
      <c r="AA346" s="378"/>
      <c r="AB346" s="376" t="s">
        <v>45</v>
      </c>
      <c r="AC346" s="376" t="s">
        <v>45</v>
      </c>
      <c r="AD346" s="378"/>
      <c r="AE346" s="378"/>
      <c r="AF346" s="378"/>
      <c r="AG346" s="378"/>
      <c r="AH346" s="379">
        <v>0</v>
      </c>
      <c r="AI346" s="379">
        <v>0</v>
      </c>
      <c r="AJ346" s="378"/>
      <c r="AK346" s="378"/>
      <c r="AL346" s="376" t="s">
        <v>181</v>
      </c>
      <c r="AM346" s="378"/>
      <c r="AN346" s="378"/>
      <c r="AO346" s="379">
        <v>0</v>
      </c>
      <c r="AP346" s="460">
        <v>0</v>
      </c>
      <c r="AQ346" s="460">
        <v>0</v>
      </c>
      <c r="AR346" s="459"/>
      <c r="AS346" s="462">
        <f t="shared" si="85"/>
        <v>0</v>
      </c>
      <c r="AT346">
        <f t="shared" si="86"/>
        <v>0</v>
      </c>
      <c r="AU346" s="462" t="str">
        <f>IF(AT346=0,"",IF(AND(AT346=1,M346="F",SUMIF(C2:C391,C346,AS2:AS391)&lt;=1),SUMIF(C2:C391,C346,AS2:AS391),IF(AND(AT346=1,M346="F",SUMIF(C2:C391,C346,AS2:AS391)&gt;1),1,"")))</f>
        <v/>
      </c>
      <c r="AV346" s="462" t="str">
        <f>IF(AT346=0,"",IF(AND(AT346=3,M346="F",SUMIF(C2:C391,C346,AS2:AS391)&lt;=1),SUMIF(C2:C391,C346,AS2:AS391),IF(AND(AT346=3,M346="F",SUMIF(C2:C391,C346,AS2:AS391)&gt;1),1,"")))</f>
        <v/>
      </c>
      <c r="AW346" s="462">
        <f>SUMIF(C2:C391,C346,O2:O391)</f>
        <v>0</v>
      </c>
      <c r="AX346" s="462">
        <f>IF(AND(M346="F",AS346&lt;&gt;0),SUMIF(C2:C391,C346,W2:W391),0)</f>
        <v>0</v>
      </c>
      <c r="AY346" s="462" t="str">
        <f t="shared" si="87"/>
        <v/>
      </c>
      <c r="AZ346" s="462" t="str">
        <f t="shared" si="88"/>
        <v/>
      </c>
      <c r="BA346" s="462">
        <f t="shared" si="89"/>
        <v>0</v>
      </c>
      <c r="BB346" s="462">
        <f>IF(AND(AT346=1,AK346="E",AU346&gt;=0.75,AW346=1),Health,IF(AND(AT346=1,AK346="E",AU346&gt;=0.75),Health*P346,IF(AND(AT346=1,AK346="E",AU346&gt;=0.5,AW346=1),PTHealth,IF(AND(AT346=1,AK346="E",AU346&gt;=0.5),PTHealth*P346,0))))</f>
        <v>0</v>
      </c>
      <c r="BC346" s="462">
        <f>IF(AND(AT346=3,AK346="E",AV346&gt;=0.75,AW346=1),Health,IF(AND(AT346=3,AK346="E",AV346&gt;=0.75),Health*P346,IF(AND(AT346=3,AK346="E",AV346&gt;=0.5,AW346=1),PTHealth,IF(AND(AT346=3,AK346="E",AV346&gt;=0.5),PTHealth*P346,0))))</f>
        <v>0</v>
      </c>
      <c r="BD346" s="462">
        <f>IF(AND(AT346&lt;&gt;0,AX346&gt;=MAXSSDI),SSDI*MAXSSDI*P346,IF(AT346&lt;&gt;0,SSDI*W346,0))</f>
        <v>0</v>
      </c>
      <c r="BE346" s="462">
        <f>IF(AT346&lt;&gt;0,SSHI*W346,0)</f>
        <v>0</v>
      </c>
      <c r="BF346" s="462">
        <f>IF(AND(AT346&lt;&gt;0,AN346&lt;&gt;"NE"),VLOOKUP(AN346,Retirement_Rates,3,FALSE)*W346,0)</f>
        <v>0</v>
      </c>
      <c r="BG346" s="462">
        <f>IF(AND(AT346&lt;&gt;0,AJ346&lt;&gt;"PF"),Life*W346,0)</f>
        <v>0</v>
      </c>
      <c r="BH346" s="462">
        <f>IF(AND(AT346&lt;&gt;0,AM346="Y"),UI*W346,0)</f>
        <v>0</v>
      </c>
      <c r="BI346" s="462">
        <f>IF(AND(AT346&lt;&gt;0,N346&lt;&gt;"NR"),DHR*W346,0)</f>
        <v>0</v>
      </c>
      <c r="BJ346" s="462">
        <f>IF(AT346&lt;&gt;0,WC*W346,0)</f>
        <v>0</v>
      </c>
      <c r="BK346" s="462">
        <f>IF(OR(AND(AT346&lt;&gt;0,AJ346&lt;&gt;"PF",AN346&lt;&gt;"NE",AG346&lt;&gt;"A"),AND(AL346="E",OR(AT346=1,AT346=3))),Sick*W346,0)</f>
        <v>0</v>
      </c>
      <c r="BL346" s="462">
        <f t="shared" si="90"/>
        <v>0</v>
      </c>
      <c r="BM346" s="462">
        <f t="shared" si="91"/>
        <v>0</v>
      </c>
      <c r="BN346" s="462">
        <f>IF(AND(AT346=1,AK346="E",AU346&gt;=0.75,AW346=1),HealthBY,IF(AND(AT346=1,AK346="E",AU346&gt;=0.75),HealthBY*P346,IF(AND(AT346=1,AK346="E",AU346&gt;=0.5,AW346=1),PTHealthBY,IF(AND(AT346=1,AK346="E",AU346&gt;=0.5),PTHealthBY*P346,0))))</f>
        <v>0</v>
      </c>
      <c r="BO346" s="462">
        <f>IF(AND(AT346=3,AK346="E",AV346&gt;=0.75,AW346=1),HealthBY,IF(AND(AT346=3,AK346="E",AV346&gt;=0.75),HealthBY*P346,IF(AND(AT346=3,AK346="E",AV346&gt;=0.5,AW346=1),PTHealthBY,IF(AND(AT346=3,AK346="E",AV346&gt;=0.5),PTHealthBY*P346,0))))</f>
        <v>0</v>
      </c>
      <c r="BP346" s="462">
        <f>IF(AND(AT346&lt;&gt;0,(AX346+BA346)&gt;=MAXSSDIBY),SSDIBY*MAXSSDIBY*P346,IF(AT346&lt;&gt;0,SSDIBY*W346,0))</f>
        <v>0</v>
      </c>
      <c r="BQ346" s="462">
        <f>IF(AT346&lt;&gt;0,SSHIBY*W346,0)</f>
        <v>0</v>
      </c>
      <c r="BR346" s="462">
        <f>IF(AND(AT346&lt;&gt;0,AN346&lt;&gt;"NE"),VLOOKUP(AN346,Retirement_Rates,4,FALSE)*W346,0)</f>
        <v>0</v>
      </c>
      <c r="BS346" s="462">
        <f>IF(AND(AT346&lt;&gt;0,AJ346&lt;&gt;"PF"),LifeBY*W346,0)</f>
        <v>0</v>
      </c>
      <c r="BT346" s="462">
        <f>IF(AND(AT346&lt;&gt;0,AM346="Y"),UIBY*W346,0)</f>
        <v>0</v>
      </c>
      <c r="BU346" s="462">
        <f>IF(AND(AT346&lt;&gt;0,N346&lt;&gt;"NR"),DHRBY*W346,0)</f>
        <v>0</v>
      </c>
      <c r="BV346" s="462">
        <f>IF(AT346&lt;&gt;0,WCBY*W346,0)</f>
        <v>0</v>
      </c>
      <c r="BW346" s="462">
        <f>IF(OR(AND(AT346&lt;&gt;0,AJ346&lt;&gt;"PF",AN346&lt;&gt;"NE",AG346&lt;&gt;"A"),AND(AL346="E",OR(AT346=1,AT346=3))),SickBY*W346,0)</f>
        <v>0</v>
      </c>
      <c r="BX346" s="462">
        <f t="shared" si="92"/>
        <v>0</v>
      </c>
      <c r="BY346" s="462">
        <f t="shared" si="93"/>
        <v>0</v>
      </c>
      <c r="BZ346" s="462">
        <f t="shared" si="94"/>
        <v>0</v>
      </c>
      <c r="CA346" s="462">
        <f t="shared" si="95"/>
        <v>0</v>
      </c>
      <c r="CB346" s="462">
        <f t="shared" si="96"/>
        <v>0</v>
      </c>
      <c r="CC346" s="462">
        <f>IF(AT346&lt;&gt;0,SSHICHG*Y346,0)</f>
        <v>0</v>
      </c>
      <c r="CD346" s="462">
        <f>IF(AND(AT346&lt;&gt;0,AN346&lt;&gt;"NE"),VLOOKUP(AN346,Retirement_Rates,5,FALSE)*Y346,0)</f>
        <v>0</v>
      </c>
      <c r="CE346" s="462">
        <f>IF(AND(AT346&lt;&gt;0,AJ346&lt;&gt;"PF"),LifeCHG*Y346,0)</f>
        <v>0</v>
      </c>
      <c r="CF346" s="462">
        <f>IF(AND(AT346&lt;&gt;0,AM346="Y"),UICHG*Y346,0)</f>
        <v>0</v>
      </c>
      <c r="CG346" s="462">
        <f>IF(AND(AT346&lt;&gt;0,N346&lt;&gt;"NR"),DHRCHG*Y346,0)</f>
        <v>0</v>
      </c>
      <c r="CH346" s="462">
        <f>IF(AT346&lt;&gt;0,WCCHG*Y346,0)</f>
        <v>0</v>
      </c>
      <c r="CI346" s="462">
        <f>IF(OR(AND(AT346&lt;&gt;0,AJ346&lt;&gt;"PF",AN346&lt;&gt;"NE",AG346&lt;&gt;"A"),AND(AL346="E",OR(AT346=1,AT346=3))),SickCHG*Y346,0)</f>
        <v>0</v>
      </c>
      <c r="CJ346" s="462">
        <f t="shared" si="97"/>
        <v>0</v>
      </c>
      <c r="CK346" s="462" t="str">
        <f t="shared" si="98"/>
        <v/>
      </c>
      <c r="CL346" s="462">
        <f t="shared" si="99"/>
        <v>0</v>
      </c>
      <c r="CM346" s="462">
        <f t="shared" si="100"/>
        <v>0</v>
      </c>
      <c r="CN346" s="462" t="str">
        <f t="shared" si="101"/>
        <v>0348-00</v>
      </c>
    </row>
    <row r="347" spans="1:92" ht="15" thickBot="1" x14ac:dyDescent="0.35">
      <c r="A347" s="376" t="s">
        <v>161</v>
      </c>
      <c r="B347" s="376" t="s">
        <v>162</v>
      </c>
      <c r="C347" s="376" t="s">
        <v>931</v>
      </c>
      <c r="D347" s="376" t="s">
        <v>221</v>
      </c>
      <c r="E347" s="376" t="s">
        <v>428</v>
      </c>
      <c r="F347" s="377" t="s">
        <v>166</v>
      </c>
      <c r="G347" s="376" t="s">
        <v>951</v>
      </c>
      <c r="H347" s="378"/>
      <c r="I347" s="378"/>
      <c r="J347" s="376" t="s">
        <v>193</v>
      </c>
      <c r="K347" s="376" t="s">
        <v>222</v>
      </c>
      <c r="L347" s="376" t="s">
        <v>166</v>
      </c>
      <c r="M347" s="376" t="s">
        <v>225</v>
      </c>
      <c r="N347" s="376" t="s">
        <v>223</v>
      </c>
      <c r="O347" s="379">
        <v>0</v>
      </c>
      <c r="P347" s="460">
        <v>0.5</v>
      </c>
      <c r="Q347" s="460">
        <v>0</v>
      </c>
      <c r="R347" s="380">
        <v>0</v>
      </c>
      <c r="S347" s="460">
        <v>0</v>
      </c>
      <c r="T347" s="380">
        <v>0</v>
      </c>
      <c r="U347" s="380">
        <v>0</v>
      </c>
      <c r="V347" s="380">
        <v>0</v>
      </c>
      <c r="W347" s="380">
        <v>0</v>
      </c>
      <c r="X347" s="380">
        <v>0</v>
      </c>
      <c r="Y347" s="380">
        <v>0</v>
      </c>
      <c r="Z347" s="380">
        <v>0</v>
      </c>
      <c r="AA347" s="378"/>
      <c r="AB347" s="376" t="s">
        <v>45</v>
      </c>
      <c r="AC347" s="376" t="s">
        <v>45</v>
      </c>
      <c r="AD347" s="378"/>
      <c r="AE347" s="378"/>
      <c r="AF347" s="378"/>
      <c r="AG347" s="378"/>
      <c r="AH347" s="379">
        <v>0</v>
      </c>
      <c r="AI347" s="379">
        <v>0</v>
      </c>
      <c r="AJ347" s="378"/>
      <c r="AK347" s="378"/>
      <c r="AL347" s="376" t="s">
        <v>181</v>
      </c>
      <c r="AM347" s="378"/>
      <c r="AN347" s="378"/>
      <c r="AO347" s="379">
        <v>0</v>
      </c>
      <c r="AP347" s="460">
        <v>0</v>
      </c>
      <c r="AQ347" s="460">
        <v>0</v>
      </c>
      <c r="AR347" s="459"/>
      <c r="AS347" s="462">
        <f t="shared" si="85"/>
        <v>0</v>
      </c>
      <c r="AT347">
        <f t="shared" si="86"/>
        <v>0</v>
      </c>
      <c r="AU347" s="462" t="str">
        <f>IF(AT347=0,"",IF(AND(AT347=1,M347="F",SUMIF(C2:C391,C347,AS2:AS391)&lt;=1),SUMIF(C2:C391,C347,AS2:AS391),IF(AND(AT347=1,M347="F",SUMIF(C2:C391,C347,AS2:AS391)&gt;1),1,"")))</f>
        <v/>
      </c>
      <c r="AV347" s="462" t="str">
        <f>IF(AT347=0,"",IF(AND(AT347=3,M347="F",SUMIF(C2:C391,C347,AS2:AS391)&lt;=1),SUMIF(C2:C391,C347,AS2:AS391),IF(AND(AT347=3,M347="F",SUMIF(C2:C391,C347,AS2:AS391)&gt;1),1,"")))</f>
        <v/>
      </c>
      <c r="AW347" s="462">
        <f>SUMIF(C2:C391,C347,O2:O391)</f>
        <v>0</v>
      </c>
      <c r="AX347" s="462">
        <f>IF(AND(M347="F",AS347&lt;&gt;0),SUMIF(C2:C391,C347,W2:W391),0)</f>
        <v>0</v>
      </c>
      <c r="AY347" s="462" t="str">
        <f t="shared" si="87"/>
        <v/>
      </c>
      <c r="AZ347" s="462" t="str">
        <f t="shared" si="88"/>
        <v/>
      </c>
      <c r="BA347" s="462">
        <f t="shared" si="89"/>
        <v>0</v>
      </c>
      <c r="BB347" s="462">
        <f>IF(AND(AT347=1,AK347="E",AU347&gt;=0.75,AW347=1),Health,IF(AND(AT347=1,AK347="E",AU347&gt;=0.75),Health*P347,IF(AND(AT347=1,AK347="E",AU347&gt;=0.5,AW347=1),PTHealth,IF(AND(AT347=1,AK347="E",AU347&gt;=0.5),PTHealth*P347,0))))</f>
        <v>0</v>
      </c>
      <c r="BC347" s="462">
        <f>IF(AND(AT347=3,AK347="E",AV347&gt;=0.75,AW347=1),Health,IF(AND(AT347=3,AK347="E",AV347&gt;=0.75),Health*P347,IF(AND(AT347=3,AK347="E",AV347&gt;=0.5,AW347=1),PTHealth,IF(AND(AT347=3,AK347="E",AV347&gt;=0.5),PTHealth*P347,0))))</f>
        <v>0</v>
      </c>
      <c r="BD347" s="462">
        <f>IF(AND(AT347&lt;&gt;0,AX347&gt;=MAXSSDI),SSDI*MAXSSDI*P347,IF(AT347&lt;&gt;0,SSDI*W347,0))</f>
        <v>0</v>
      </c>
      <c r="BE347" s="462">
        <f>IF(AT347&lt;&gt;0,SSHI*W347,0)</f>
        <v>0</v>
      </c>
      <c r="BF347" s="462">
        <f>IF(AND(AT347&lt;&gt;0,AN347&lt;&gt;"NE"),VLOOKUP(AN347,Retirement_Rates,3,FALSE)*W347,0)</f>
        <v>0</v>
      </c>
      <c r="BG347" s="462">
        <f>IF(AND(AT347&lt;&gt;0,AJ347&lt;&gt;"PF"),Life*W347,0)</f>
        <v>0</v>
      </c>
      <c r="BH347" s="462">
        <f>IF(AND(AT347&lt;&gt;0,AM347="Y"),UI*W347,0)</f>
        <v>0</v>
      </c>
      <c r="BI347" s="462">
        <f>IF(AND(AT347&lt;&gt;0,N347&lt;&gt;"NR"),DHR*W347,0)</f>
        <v>0</v>
      </c>
      <c r="BJ347" s="462">
        <f>IF(AT347&lt;&gt;0,WC*W347,0)</f>
        <v>0</v>
      </c>
      <c r="BK347" s="462">
        <f>IF(OR(AND(AT347&lt;&gt;0,AJ347&lt;&gt;"PF",AN347&lt;&gt;"NE",AG347&lt;&gt;"A"),AND(AL347="E",OR(AT347=1,AT347=3))),Sick*W347,0)</f>
        <v>0</v>
      </c>
      <c r="BL347" s="462">
        <f t="shared" si="90"/>
        <v>0</v>
      </c>
      <c r="BM347" s="462">
        <f t="shared" si="91"/>
        <v>0</v>
      </c>
      <c r="BN347" s="462">
        <f>IF(AND(AT347=1,AK347="E",AU347&gt;=0.75,AW347=1),HealthBY,IF(AND(AT347=1,AK347="E",AU347&gt;=0.75),HealthBY*P347,IF(AND(AT347=1,AK347="E",AU347&gt;=0.5,AW347=1),PTHealthBY,IF(AND(AT347=1,AK347="E",AU347&gt;=0.5),PTHealthBY*P347,0))))</f>
        <v>0</v>
      </c>
      <c r="BO347" s="462">
        <f>IF(AND(AT347=3,AK347="E",AV347&gt;=0.75,AW347=1),HealthBY,IF(AND(AT347=3,AK347="E",AV347&gt;=0.75),HealthBY*P347,IF(AND(AT347=3,AK347="E",AV347&gt;=0.5,AW347=1),PTHealthBY,IF(AND(AT347=3,AK347="E",AV347&gt;=0.5),PTHealthBY*P347,0))))</f>
        <v>0</v>
      </c>
      <c r="BP347" s="462">
        <f>IF(AND(AT347&lt;&gt;0,(AX347+BA347)&gt;=MAXSSDIBY),SSDIBY*MAXSSDIBY*P347,IF(AT347&lt;&gt;0,SSDIBY*W347,0))</f>
        <v>0</v>
      </c>
      <c r="BQ347" s="462">
        <f>IF(AT347&lt;&gt;0,SSHIBY*W347,0)</f>
        <v>0</v>
      </c>
      <c r="BR347" s="462">
        <f>IF(AND(AT347&lt;&gt;0,AN347&lt;&gt;"NE"),VLOOKUP(AN347,Retirement_Rates,4,FALSE)*W347,0)</f>
        <v>0</v>
      </c>
      <c r="BS347" s="462">
        <f>IF(AND(AT347&lt;&gt;0,AJ347&lt;&gt;"PF"),LifeBY*W347,0)</f>
        <v>0</v>
      </c>
      <c r="BT347" s="462">
        <f>IF(AND(AT347&lt;&gt;0,AM347="Y"),UIBY*W347,0)</f>
        <v>0</v>
      </c>
      <c r="BU347" s="462">
        <f>IF(AND(AT347&lt;&gt;0,N347&lt;&gt;"NR"),DHRBY*W347,0)</f>
        <v>0</v>
      </c>
      <c r="BV347" s="462">
        <f>IF(AT347&lt;&gt;0,WCBY*W347,0)</f>
        <v>0</v>
      </c>
      <c r="BW347" s="462">
        <f>IF(OR(AND(AT347&lt;&gt;0,AJ347&lt;&gt;"PF",AN347&lt;&gt;"NE",AG347&lt;&gt;"A"),AND(AL347="E",OR(AT347=1,AT347=3))),SickBY*W347,0)</f>
        <v>0</v>
      </c>
      <c r="BX347" s="462">
        <f t="shared" si="92"/>
        <v>0</v>
      </c>
      <c r="BY347" s="462">
        <f t="shared" si="93"/>
        <v>0</v>
      </c>
      <c r="BZ347" s="462">
        <f t="shared" si="94"/>
        <v>0</v>
      </c>
      <c r="CA347" s="462">
        <f t="shared" si="95"/>
        <v>0</v>
      </c>
      <c r="CB347" s="462">
        <f t="shared" si="96"/>
        <v>0</v>
      </c>
      <c r="CC347" s="462">
        <f>IF(AT347&lt;&gt;0,SSHICHG*Y347,0)</f>
        <v>0</v>
      </c>
      <c r="CD347" s="462">
        <f>IF(AND(AT347&lt;&gt;0,AN347&lt;&gt;"NE"),VLOOKUP(AN347,Retirement_Rates,5,FALSE)*Y347,0)</f>
        <v>0</v>
      </c>
      <c r="CE347" s="462">
        <f>IF(AND(AT347&lt;&gt;0,AJ347&lt;&gt;"PF"),LifeCHG*Y347,0)</f>
        <v>0</v>
      </c>
      <c r="CF347" s="462">
        <f>IF(AND(AT347&lt;&gt;0,AM347="Y"),UICHG*Y347,0)</f>
        <v>0</v>
      </c>
      <c r="CG347" s="462">
        <f>IF(AND(AT347&lt;&gt;0,N347&lt;&gt;"NR"),DHRCHG*Y347,0)</f>
        <v>0</v>
      </c>
      <c r="CH347" s="462">
        <f>IF(AT347&lt;&gt;0,WCCHG*Y347,0)</f>
        <v>0</v>
      </c>
      <c r="CI347" s="462">
        <f>IF(OR(AND(AT347&lt;&gt;0,AJ347&lt;&gt;"PF",AN347&lt;&gt;"NE",AG347&lt;&gt;"A"),AND(AL347="E",OR(AT347=1,AT347=3))),SickCHG*Y347,0)</f>
        <v>0</v>
      </c>
      <c r="CJ347" s="462">
        <f t="shared" si="97"/>
        <v>0</v>
      </c>
      <c r="CK347" s="462" t="str">
        <f t="shared" si="98"/>
        <v/>
      </c>
      <c r="CL347" s="462">
        <f t="shared" si="99"/>
        <v>0</v>
      </c>
      <c r="CM347" s="462">
        <f t="shared" si="100"/>
        <v>0</v>
      </c>
      <c r="CN347" s="462" t="str">
        <f t="shared" si="101"/>
        <v>0348-00</v>
      </c>
    </row>
    <row r="348" spans="1:92" ht="15" thickBot="1" x14ac:dyDescent="0.35">
      <c r="A348" s="376" t="s">
        <v>161</v>
      </c>
      <c r="B348" s="376" t="s">
        <v>162</v>
      </c>
      <c r="C348" s="376" t="s">
        <v>932</v>
      </c>
      <c r="D348" s="376" t="s">
        <v>221</v>
      </c>
      <c r="E348" s="376" t="s">
        <v>428</v>
      </c>
      <c r="F348" s="377" t="s">
        <v>166</v>
      </c>
      <c r="G348" s="376" t="s">
        <v>951</v>
      </c>
      <c r="H348" s="378"/>
      <c r="I348" s="378"/>
      <c r="J348" s="376" t="s">
        <v>193</v>
      </c>
      <c r="K348" s="376" t="s">
        <v>222</v>
      </c>
      <c r="L348" s="376" t="s">
        <v>166</v>
      </c>
      <c r="M348" s="376" t="s">
        <v>225</v>
      </c>
      <c r="N348" s="376" t="s">
        <v>223</v>
      </c>
      <c r="O348" s="379">
        <v>0</v>
      </c>
      <c r="P348" s="460">
        <v>0.5</v>
      </c>
      <c r="Q348" s="460">
        <v>0</v>
      </c>
      <c r="R348" s="380">
        <v>0</v>
      </c>
      <c r="S348" s="460">
        <v>0</v>
      </c>
      <c r="T348" s="380">
        <v>0</v>
      </c>
      <c r="U348" s="380">
        <v>0</v>
      </c>
      <c r="V348" s="380">
        <v>0</v>
      </c>
      <c r="W348" s="380">
        <v>0</v>
      </c>
      <c r="X348" s="380">
        <v>0</v>
      </c>
      <c r="Y348" s="380">
        <v>0</v>
      </c>
      <c r="Z348" s="380">
        <v>0</v>
      </c>
      <c r="AA348" s="378"/>
      <c r="AB348" s="376" t="s">
        <v>45</v>
      </c>
      <c r="AC348" s="376" t="s">
        <v>45</v>
      </c>
      <c r="AD348" s="378"/>
      <c r="AE348" s="378"/>
      <c r="AF348" s="378"/>
      <c r="AG348" s="378"/>
      <c r="AH348" s="379">
        <v>0</v>
      </c>
      <c r="AI348" s="379">
        <v>0</v>
      </c>
      <c r="AJ348" s="378"/>
      <c r="AK348" s="378"/>
      <c r="AL348" s="376" t="s">
        <v>181</v>
      </c>
      <c r="AM348" s="378"/>
      <c r="AN348" s="378"/>
      <c r="AO348" s="379">
        <v>0</v>
      </c>
      <c r="AP348" s="460">
        <v>0</v>
      </c>
      <c r="AQ348" s="460">
        <v>0</v>
      </c>
      <c r="AR348" s="459"/>
      <c r="AS348" s="462">
        <f t="shared" si="85"/>
        <v>0</v>
      </c>
      <c r="AT348">
        <f t="shared" si="86"/>
        <v>0</v>
      </c>
      <c r="AU348" s="462" t="str">
        <f>IF(AT348=0,"",IF(AND(AT348=1,M348="F",SUMIF(C2:C391,C348,AS2:AS391)&lt;=1),SUMIF(C2:C391,C348,AS2:AS391),IF(AND(AT348=1,M348="F",SUMIF(C2:C391,C348,AS2:AS391)&gt;1),1,"")))</f>
        <v/>
      </c>
      <c r="AV348" s="462" t="str">
        <f>IF(AT348=0,"",IF(AND(AT348=3,M348="F",SUMIF(C2:C391,C348,AS2:AS391)&lt;=1),SUMIF(C2:C391,C348,AS2:AS391),IF(AND(AT348=3,M348="F",SUMIF(C2:C391,C348,AS2:AS391)&gt;1),1,"")))</f>
        <v/>
      </c>
      <c r="AW348" s="462">
        <f>SUMIF(C2:C391,C348,O2:O391)</f>
        <v>0</v>
      </c>
      <c r="AX348" s="462">
        <f>IF(AND(M348="F",AS348&lt;&gt;0),SUMIF(C2:C391,C348,W2:W391),0)</f>
        <v>0</v>
      </c>
      <c r="AY348" s="462" t="str">
        <f t="shared" si="87"/>
        <v/>
      </c>
      <c r="AZ348" s="462" t="str">
        <f t="shared" si="88"/>
        <v/>
      </c>
      <c r="BA348" s="462">
        <f t="shared" si="89"/>
        <v>0</v>
      </c>
      <c r="BB348" s="462">
        <f>IF(AND(AT348=1,AK348="E",AU348&gt;=0.75,AW348=1),Health,IF(AND(AT348=1,AK348="E",AU348&gt;=0.75),Health*P348,IF(AND(AT348=1,AK348="E",AU348&gt;=0.5,AW348=1),PTHealth,IF(AND(AT348=1,AK348="E",AU348&gt;=0.5),PTHealth*P348,0))))</f>
        <v>0</v>
      </c>
      <c r="BC348" s="462">
        <f>IF(AND(AT348=3,AK348="E",AV348&gt;=0.75,AW348=1),Health,IF(AND(AT348=3,AK348="E",AV348&gt;=0.75),Health*P348,IF(AND(AT348=3,AK348="E",AV348&gt;=0.5,AW348=1),PTHealth,IF(AND(AT348=3,AK348="E",AV348&gt;=0.5),PTHealth*P348,0))))</f>
        <v>0</v>
      </c>
      <c r="BD348" s="462">
        <f>IF(AND(AT348&lt;&gt;0,AX348&gt;=MAXSSDI),SSDI*MAXSSDI*P348,IF(AT348&lt;&gt;0,SSDI*W348,0))</f>
        <v>0</v>
      </c>
      <c r="BE348" s="462">
        <f>IF(AT348&lt;&gt;0,SSHI*W348,0)</f>
        <v>0</v>
      </c>
      <c r="BF348" s="462">
        <f>IF(AND(AT348&lt;&gt;0,AN348&lt;&gt;"NE"),VLOOKUP(AN348,Retirement_Rates,3,FALSE)*W348,0)</f>
        <v>0</v>
      </c>
      <c r="BG348" s="462">
        <f>IF(AND(AT348&lt;&gt;0,AJ348&lt;&gt;"PF"),Life*W348,0)</f>
        <v>0</v>
      </c>
      <c r="BH348" s="462">
        <f>IF(AND(AT348&lt;&gt;0,AM348="Y"),UI*W348,0)</f>
        <v>0</v>
      </c>
      <c r="BI348" s="462">
        <f>IF(AND(AT348&lt;&gt;0,N348&lt;&gt;"NR"),DHR*W348,0)</f>
        <v>0</v>
      </c>
      <c r="BJ348" s="462">
        <f>IF(AT348&lt;&gt;0,WC*W348,0)</f>
        <v>0</v>
      </c>
      <c r="BK348" s="462">
        <f>IF(OR(AND(AT348&lt;&gt;0,AJ348&lt;&gt;"PF",AN348&lt;&gt;"NE",AG348&lt;&gt;"A"),AND(AL348="E",OR(AT348=1,AT348=3))),Sick*W348,0)</f>
        <v>0</v>
      </c>
      <c r="BL348" s="462">
        <f t="shared" si="90"/>
        <v>0</v>
      </c>
      <c r="BM348" s="462">
        <f t="shared" si="91"/>
        <v>0</v>
      </c>
      <c r="BN348" s="462">
        <f>IF(AND(AT348=1,AK348="E",AU348&gt;=0.75,AW348=1),HealthBY,IF(AND(AT348=1,AK348="E",AU348&gt;=0.75),HealthBY*P348,IF(AND(AT348=1,AK348="E",AU348&gt;=0.5,AW348=1),PTHealthBY,IF(AND(AT348=1,AK348="E",AU348&gt;=0.5),PTHealthBY*P348,0))))</f>
        <v>0</v>
      </c>
      <c r="BO348" s="462">
        <f>IF(AND(AT348=3,AK348="E",AV348&gt;=0.75,AW348=1),HealthBY,IF(AND(AT348=3,AK348="E",AV348&gt;=0.75),HealthBY*P348,IF(AND(AT348=3,AK348="E",AV348&gt;=0.5,AW348=1),PTHealthBY,IF(AND(AT348=3,AK348="E",AV348&gt;=0.5),PTHealthBY*P348,0))))</f>
        <v>0</v>
      </c>
      <c r="BP348" s="462">
        <f>IF(AND(AT348&lt;&gt;0,(AX348+BA348)&gt;=MAXSSDIBY),SSDIBY*MAXSSDIBY*P348,IF(AT348&lt;&gt;0,SSDIBY*W348,0))</f>
        <v>0</v>
      </c>
      <c r="BQ348" s="462">
        <f>IF(AT348&lt;&gt;0,SSHIBY*W348,0)</f>
        <v>0</v>
      </c>
      <c r="BR348" s="462">
        <f>IF(AND(AT348&lt;&gt;0,AN348&lt;&gt;"NE"),VLOOKUP(AN348,Retirement_Rates,4,FALSE)*W348,0)</f>
        <v>0</v>
      </c>
      <c r="BS348" s="462">
        <f>IF(AND(AT348&lt;&gt;0,AJ348&lt;&gt;"PF"),LifeBY*W348,0)</f>
        <v>0</v>
      </c>
      <c r="BT348" s="462">
        <f>IF(AND(AT348&lt;&gt;0,AM348="Y"),UIBY*W348,0)</f>
        <v>0</v>
      </c>
      <c r="BU348" s="462">
        <f>IF(AND(AT348&lt;&gt;0,N348&lt;&gt;"NR"),DHRBY*W348,0)</f>
        <v>0</v>
      </c>
      <c r="BV348" s="462">
        <f>IF(AT348&lt;&gt;0,WCBY*W348,0)</f>
        <v>0</v>
      </c>
      <c r="BW348" s="462">
        <f>IF(OR(AND(AT348&lt;&gt;0,AJ348&lt;&gt;"PF",AN348&lt;&gt;"NE",AG348&lt;&gt;"A"),AND(AL348="E",OR(AT348=1,AT348=3))),SickBY*W348,0)</f>
        <v>0</v>
      </c>
      <c r="BX348" s="462">
        <f t="shared" si="92"/>
        <v>0</v>
      </c>
      <c r="BY348" s="462">
        <f t="shared" si="93"/>
        <v>0</v>
      </c>
      <c r="BZ348" s="462">
        <f t="shared" si="94"/>
        <v>0</v>
      </c>
      <c r="CA348" s="462">
        <f t="shared" si="95"/>
        <v>0</v>
      </c>
      <c r="CB348" s="462">
        <f t="shared" si="96"/>
        <v>0</v>
      </c>
      <c r="CC348" s="462">
        <f>IF(AT348&lt;&gt;0,SSHICHG*Y348,0)</f>
        <v>0</v>
      </c>
      <c r="CD348" s="462">
        <f>IF(AND(AT348&lt;&gt;0,AN348&lt;&gt;"NE"),VLOOKUP(AN348,Retirement_Rates,5,FALSE)*Y348,0)</f>
        <v>0</v>
      </c>
      <c r="CE348" s="462">
        <f>IF(AND(AT348&lt;&gt;0,AJ348&lt;&gt;"PF"),LifeCHG*Y348,0)</f>
        <v>0</v>
      </c>
      <c r="CF348" s="462">
        <f>IF(AND(AT348&lt;&gt;0,AM348="Y"),UICHG*Y348,0)</f>
        <v>0</v>
      </c>
      <c r="CG348" s="462">
        <f>IF(AND(AT348&lt;&gt;0,N348&lt;&gt;"NR"),DHRCHG*Y348,0)</f>
        <v>0</v>
      </c>
      <c r="CH348" s="462">
        <f>IF(AT348&lt;&gt;0,WCCHG*Y348,0)</f>
        <v>0</v>
      </c>
      <c r="CI348" s="462">
        <f>IF(OR(AND(AT348&lt;&gt;0,AJ348&lt;&gt;"PF",AN348&lt;&gt;"NE",AG348&lt;&gt;"A"),AND(AL348="E",OR(AT348=1,AT348=3))),SickCHG*Y348,0)</f>
        <v>0</v>
      </c>
      <c r="CJ348" s="462">
        <f t="shared" si="97"/>
        <v>0</v>
      </c>
      <c r="CK348" s="462" t="str">
        <f t="shared" si="98"/>
        <v/>
      </c>
      <c r="CL348" s="462">
        <f t="shared" si="99"/>
        <v>0</v>
      </c>
      <c r="CM348" s="462">
        <f t="shared" si="100"/>
        <v>0</v>
      </c>
      <c r="CN348" s="462" t="str">
        <f t="shared" si="101"/>
        <v>0348-00</v>
      </c>
    </row>
    <row r="349" spans="1:92" ht="15" thickBot="1" x14ac:dyDescent="0.35">
      <c r="A349" s="376" t="s">
        <v>161</v>
      </c>
      <c r="B349" s="376" t="s">
        <v>162</v>
      </c>
      <c r="C349" s="376" t="s">
        <v>829</v>
      </c>
      <c r="D349" s="376" t="s">
        <v>453</v>
      </c>
      <c r="E349" s="376" t="s">
        <v>428</v>
      </c>
      <c r="F349" s="377" t="s">
        <v>166</v>
      </c>
      <c r="G349" s="376" t="s">
        <v>951</v>
      </c>
      <c r="H349" s="378"/>
      <c r="I349" s="378"/>
      <c r="J349" s="376" t="s">
        <v>193</v>
      </c>
      <c r="K349" s="376" t="s">
        <v>454</v>
      </c>
      <c r="L349" s="376" t="s">
        <v>170</v>
      </c>
      <c r="M349" s="376" t="s">
        <v>225</v>
      </c>
      <c r="N349" s="376" t="s">
        <v>172</v>
      </c>
      <c r="O349" s="379">
        <v>0</v>
      </c>
      <c r="P349" s="460">
        <v>0.4</v>
      </c>
      <c r="Q349" s="460">
        <v>0.4</v>
      </c>
      <c r="R349" s="380">
        <v>80</v>
      </c>
      <c r="S349" s="460">
        <v>0.4</v>
      </c>
      <c r="T349" s="380">
        <v>25434.38</v>
      </c>
      <c r="U349" s="380">
        <v>0</v>
      </c>
      <c r="V349" s="380">
        <v>10247.09</v>
      </c>
      <c r="W349" s="380">
        <v>24186.240000000002</v>
      </c>
      <c r="X349" s="380">
        <v>10593.57</v>
      </c>
      <c r="Y349" s="380">
        <v>24186.240000000002</v>
      </c>
      <c r="Z349" s="380">
        <v>10472.64</v>
      </c>
      <c r="AA349" s="378"/>
      <c r="AB349" s="376" t="s">
        <v>45</v>
      </c>
      <c r="AC349" s="376" t="s">
        <v>45</v>
      </c>
      <c r="AD349" s="378"/>
      <c r="AE349" s="378"/>
      <c r="AF349" s="378"/>
      <c r="AG349" s="378"/>
      <c r="AH349" s="379">
        <v>0</v>
      </c>
      <c r="AI349" s="379">
        <v>0</v>
      </c>
      <c r="AJ349" s="378"/>
      <c r="AK349" s="378"/>
      <c r="AL349" s="376" t="s">
        <v>181</v>
      </c>
      <c r="AM349" s="378"/>
      <c r="AN349" s="378"/>
      <c r="AO349" s="379">
        <v>0</v>
      </c>
      <c r="AP349" s="460">
        <v>0</v>
      </c>
      <c r="AQ349" s="460">
        <v>0</v>
      </c>
      <c r="AR349" s="459"/>
      <c r="AS349" s="462">
        <f t="shared" si="85"/>
        <v>0</v>
      </c>
      <c r="AT349">
        <f t="shared" si="86"/>
        <v>0</v>
      </c>
      <c r="AU349" s="462" t="str">
        <f>IF(AT349=0,"",IF(AND(AT349=1,M349="F",SUMIF(C2:C391,C349,AS2:AS391)&lt;=1),SUMIF(C2:C391,C349,AS2:AS391),IF(AND(AT349=1,M349="F",SUMIF(C2:C391,C349,AS2:AS391)&gt;1),1,"")))</f>
        <v/>
      </c>
      <c r="AV349" s="462" t="str">
        <f>IF(AT349=0,"",IF(AND(AT349=3,M349="F",SUMIF(C2:C391,C349,AS2:AS391)&lt;=1),SUMIF(C2:C391,C349,AS2:AS391),IF(AND(AT349=3,M349="F",SUMIF(C2:C391,C349,AS2:AS391)&gt;1),1,"")))</f>
        <v/>
      </c>
      <c r="AW349" s="462">
        <f>SUMIF(C2:C391,C349,O2:O391)</f>
        <v>0</v>
      </c>
      <c r="AX349" s="462">
        <f>IF(AND(M349="F",AS349&lt;&gt;0),SUMIF(C2:C391,C349,W2:W391),0)</f>
        <v>0</v>
      </c>
      <c r="AY349" s="462" t="str">
        <f t="shared" si="87"/>
        <v/>
      </c>
      <c r="AZ349" s="462" t="str">
        <f t="shared" si="88"/>
        <v/>
      </c>
      <c r="BA349" s="462">
        <f t="shared" si="89"/>
        <v>0</v>
      </c>
      <c r="BB349" s="462">
        <f>IF(AND(AT349=1,AK349="E",AU349&gt;=0.75,AW349=1),Health,IF(AND(AT349=1,AK349="E",AU349&gt;=0.75),Health*P349,IF(AND(AT349=1,AK349="E",AU349&gt;=0.5,AW349=1),PTHealth,IF(AND(AT349=1,AK349="E",AU349&gt;=0.5),PTHealth*P349,0))))</f>
        <v>0</v>
      </c>
      <c r="BC349" s="462">
        <f>IF(AND(AT349=3,AK349="E",AV349&gt;=0.75,AW349=1),Health,IF(AND(AT349=3,AK349="E",AV349&gt;=0.75),Health*P349,IF(AND(AT349=3,AK349="E",AV349&gt;=0.5,AW349=1),PTHealth,IF(AND(AT349=3,AK349="E",AV349&gt;=0.5),PTHealth*P349,0))))</f>
        <v>0</v>
      </c>
      <c r="BD349" s="462">
        <f>IF(AND(AT349&lt;&gt;0,AX349&gt;=MAXSSDI),SSDI*MAXSSDI*P349,IF(AT349&lt;&gt;0,SSDI*W349,0))</f>
        <v>0</v>
      </c>
      <c r="BE349" s="462">
        <f>IF(AT349&lt;&gt;0,SSHI*W349,0)</f>
        <v>0</v>
      </c>
      <c r="BF349" s="462">
        <f>IF(AND(AT349&lt;&gt;0,AN349&lt;&gt;"NE"),VLOOKUP(AN349,Retirement_Rates,3,FALSE)*W349,0)</f>
        <v>0</v>
      </c>
      <c r="BG349" s="462">
        <f>IF(AND(AT349&lt;&gt;0,AJ349&lt;&gt;"PF"),Life*W349,0)</f>
        <v>0</v>
      </c>
      <c r="BH349" s="462">
        <f>IF(AND(AT349&lt;&gt;0,AM349="Y"),UI*W349,0)</f>
        <v>0</v>
      </c>
      <c r="BI349" s="462">
        <f>IF(AND(AT349&lt;&gt;0,N349&lt;&gt;"NR"),DHR*W349,0)</f>
        <v>0</v>
      </c>
      <c r="BJ349" s="462">
        <f>IF(AT349&lt;&gt;0,WC*W349,0)</f>
        <v>0</v>
      </c>
      <c r="BK349" s="462">
        <f>IF(OR(AND(AT349&lt;&gt;0,AJ349&lt;&gt;"PF",AN349&lt;&gt;"NE",AG349&lt;&gt;"A"),AND(AL349="E",OR(AT349=1,AT349=3))),Sick*W349,0)</f>
        <v>0</v>
      </c>
      <c r="BL349" s="462">
        <f t="shared" si="90"/>
        <v>0</v>
      </c>
      <c r="BM349" s="462">
        <f t="shared" si="91"/>
        <v>0</v>
      </c>
      <c r="BN349" s="462">
        <f>IF(AND(AT349=1,AK349="E",AU349&gt;=0.75,AW349=1),HealthBY,IF(AND(AT349=1,AK349="E",AU349&gt;=0.75),HealthBY*P349,IF(AND(AT349=1,AK349="E",AU349&gt;=0.5,AW349=1),PTHealthBY,IF(AND(AT349=1,AK349="E",AU349&gt;=0.5),PTHealthBY*P349,0))))</f>
        <v>0</v>
      </c>
      <c r="BO349" s="462">
        <f>IF(AND(AT349=3,AK349="E",AV349&gt;=0.75,AW349=1),HealthBY,IF(AND(AT349=3,AK349="E",AV349&gt;=0.75),HealthBY*P349,IF(AND(AT349=3,AK349="E",AV349&gt;=0.5,AW349=1),PTHealthBY,IF(AND(AT349=3,AK349="E",AV349&gt;=0.5),PTHealthBY*P349,0))))</f>
        <v>0</v>
      </c>
      <c r="BP349" s="462">
        <f>IF(AND(AT349&lt;&gt;0,(AX349+BA349)&gt;=MAXSSDIBY),SSDIBY*MAXSSDIBY*P349,IF(AT349&lt;&gt;0,SSDIBY*W349,0))</f>
        <v>0</v>
      </c>
      <c r="BQ349" s="462">
        <f>IF(AT349&lt;&gt;0,SSHIBY*W349,0)</f>
        <v>0</v>
      </c>
      <c r="BR349" s="462">
        <f>IF(AND(AT349&lt;&gt;0,AN349&lt;&gt;"NE"),VLOOKUP(AN349,Retirement_Rates,4,FALSE)*W349,0)</f>
        <v>0</v>
      </c>
      <c r="BS349" s="462">
        <f>IF(AND(AT349&lt;&gt;0,AJ349&lt;&gt;"PF"),LifeBY*W349,0)</f>
        <v>0</v>
      </c>
      <c r="BT349" s="462">
        <f>IF(AND(AT349&lt;&gt;0,AM349="Y"),UIBY*W349,0)</f>
        <v>0</v>
      </c>
      <c r="BU349" s="462">
        <f>IF(AND(AT349&lt;&gt;0,N349&lt;&gt;"NR"),DHRBY*W349,0)</f>
        <v>0</v>
      </c>
      <c r="BV349" s="462">
        <f>IF(AT349&lt;&gt;0,WCBY*W349,0)</f>
        <v>0</v>
      </c>
      <c r="BW349" s="462">
        <f>IF(OR(AND(AT349&lt;&gt;0,AJ349&lt;&gt;"PF",AN349&lt;&gt;"NE",AG349&lt;&gt;"A"),AND(AL349="E",OR(AT349=1,AT349=3))),SickBY*W349,0)</f>
        <v>0</v>
      </c>
      <c r="BX349" s="462">
        <f t="shared" si="92"/>
        <v>0</v>
      </c>
      <c r="BY349" s="462">
        <f t="shared" si="93"/>
        <v>0</v>
      </c>
      <c r="BZ349" s="462">
        <f t="shared" si="94"/>
        <v>0</v>
      </c>
      <c r="CA349" s="462">
        <f t="shared" si="95"/>
        <v>0</v>
      </c>
      <c r="CB349" s="462">
        <f t="shared" si="96"/>
        <v>0</v>
      </c>
      <c r="CC349" s="462">
        <f>IF(AT349&lt;&gt;0,SSHICHG*Y349,0)</f>
        <v>0</v>
      </c>
      <c r="CD349" s="462">
        <f>IF(AND(AT349&lt;&gt;0,AN349&lt;&gt;"NE"),VLOOKUP(AN349,Retirement_Rates,5,FALSE)*Y349,0)</f>
        <v>0</v>
      </c>
      <c r="CE349" s="462">
        <f>IF(AND(AT349&lt;&gt;0,AJ349&lt;&gt;"PF"),LifeCHG*Y349,0)</f>
        <v>0</v>
      </c>
      <c r="CF349" s="462">
        <f>IF(AND(AT349&lt;&gt;0,AM349="Y"),UICHG*Y349,0)</f>
        <v>0</v>
      </c>
      <c r="CG349" s="462">
        <f>IF(AND(AT349&lt;&gt;0,N349&lt;&gt;"NR"),DHRCHG*Y349,0)</f>
        <v>0</v>
      </c>
      <c r="CH349" s="462">
        <f>IF(AT349&lt;&gt;0,WCCHG*Y349,0)</f>
        <v>0</v>
      </c>
      <c r="CI349" s="462">
        <f>IF(OR(AND(AT349&lt;&gt;0,AJ349&lt;&gt;"PF",AN349&lt;&gt;"NE",AG349&lt;&gt;"A"),AND(AL349="E",OR(AT349=1,AT349=3))),SickCHG*Y349,0)</f>
        <v>0</v>
      </c>
      <c r="CJ349" s="462">
        <f t="shared" si="97"/>
        <v>0</v>
      </c>
      <c r="CK349" s="462" t="str">
        <f t="shared" si="98"/>
        <v/>
      </c>
      <c r="CL349" s="462" t="str">
        <f t="shared" si="99"/>
        <v/>
      </c>
      <c r="CM349" s="462" t="str">
        <f t="shared" si="100"/>
        <v/>
      </c>
      <c r="CN349" s="462" t="str">
        <f t="shared" si="101"/>
        <v>0348-00</v>
      </c>
    </row>
    <row r="350" spans="1:92" ht="15" thickBot="1" x14ac:dyDescent="0.35">
      <c r="A350" s="376" t="s">
        <v>161</v>
      </c>
      <c r="B350" s="376" t="s">
        <v>162</v>
      </c>
      <c r="C350" s="376" t="s">
        <v>1009</v>
      </c>
      <c r="D350" s="376" t="s">
        <v>221</v>
      </c>
      <c r="E350" s="376" t="s">
        <v>428</v>
      </c>
      <c r="F350" s="377" t="s">
        <v>166</v>
      </c>
      <c r="G350" s="376" t="s">
        <v>951</v>
      </c>
      <c r="H350" s="378"/>
      <c r="I350" s="378"/>
      <c r="J350" s="376" t="s">
        <v>193</v>
      </c>
      <c r="K350" s="376" t="s">
        <v>222</v>
      </c>
      <c r="L350" s="376" t="s">
        <v>166</v>
      </c>
      <c r="M350" s="376" t="s">
        <v>225</v>
      </c>
      <c r="N350" s="376" t="s">
        <v>223</v>
      </c>
      <c r="O350" s="379">
        <v>0</v>
      </c>
      <c r="P350" s="460">
        <v>1</v>
      </c>
      <c r="Q350" s="460">
        <v>0</v>
      </c>
      <c r="R350" s="380">
        <v>0</v>
      </c>
      <c r="S350" s="460">
        <v>0</v>
      </c>
      <c r="T350" s="380">
        <v>32415.119999999999</v>
      </c>
      <c r="U350" s="380">
        <v>0</v>
      </c>
      <c r="V350" s="380">
        <v>16598.14</v>
      </c>
      <c r="W350" s="380">
        <v>32415.119999999999</v>
      </c>
      <c r="X350" s="380">
        <v>16598.13</v>
      </c>
      <c r="Y350" s="380">
        <v>32415.119999999999</v>
      </c>
      <c r="Z350" s="380">
        <v>16598.13</v>
      </c>
      <c r="AA350" s="378"/>
      <c r="AB350" s="376" t="s">
        <v>45</v>
      </c>
      <c r="AC350" s="376" t="s">
        <v>45</v>
      </c>
      <c r="AD350" s="378"/>
      <c r="AE350" s="378"/>
      <c r="AF350" s="378"/>
      <c r="AG350" s="378"/>
      <c r="AH350" s="379">
        <v>0</v>
      </c>
      <c r="AI350" s="379">
        <v>0</v>
      </c>
      <c r="AJ350" s="378"/>
      <c r="AK350" s="378"/>
      <c r="AL350" s="376" t="s">
        <v>181</v>
      </c>
      <c r="AM350" s="378"/>
      <c r="AN350" s="378"/>
      <c r="AO350" s="379">
        <v>0</v>
      </c>
      <c r="AP350" s="460">
        <v>0</v>
      </c>
      <c r="AQ350" s="460">
        <v>0</v>
      </c>
      <c r="AR350" s="459"/>
      <c r="AS350" s="462">
        <f t="shared" si="85"/>
        <v>0</v>
      </c>
      <c r="AT350">
        <f t="shared" si="86"/>
        <v>0</v>
      </c>
      <c r="AU350" s="462" t="str">
        <f>IF(AT350=0,"",IF(AND(AT350=1,M350="F",SUMIF(C2:C391,C350,AS2:AS391)&lt;=1),SUMIF(C2:C391,C350,AS2:AS391),IF(AND(AT350=1,M350="F",SUMIF(C2:C391,C350,AS2:AS391)&gt;1),1,"")))</f>
        <v/>
      </c>
      <c r="AV350" s="462" t="str">
        <f>IF(AT350=0,"",IF(AND(AT350=3,M350="F",SUMIF(C2:C391,C350,AS2:AS391)&lt;=1),SUMIF(C2:C391,C350,AS2:AS391),IF(AND(AT350=3,M350="F",SUMIF(C2:C391,C350,AS2:AS391)&gt;1),1,"")))</f>
        <v/>
      </c>
      <c r="AW350" s="462">
        <f>SUMIF(C2:C391,C350,O2:O391)</f>
        <v>0</v>
      </c>
      <c r="AX350" s="462">
        <f>IF(AND(M350="F",AS350&lt;&gt;0),SUMIF(C2:C391,C350,W2:W391),0)</f>
        <v>0</v>
      </c>
      <c r="AY350" s="462" t="str">
        <f t="shared" si="87"/>
        <v/>
      </c>
      <c r="AZ350" s="462" t="str">
        <f t="shared" si="88"/>
        <v/>
      </c>
      <c r="BA350" s="462">
        <f t="shared" si="89"/>
        <v>0</v>
      </c>
      <c r="BB350" s="462">
        <f>IF(AND(AT350=1,AK350="E",AU350&gt;=0.75,AW350=1),Health,IF(AND(AT350=1,AK350="E",AU350&gt;=0.75),Health*P350,IF(AND(AT350=1,AK350="E",AU350&gt;=0.5,AW350=1),PTHealth,IF(AND(AT350=1,AK350="E",AU350&gt;=0.5),PTHealth*P350,0))))</f>
        <v>0</v>
      </c>
      <c r="BC350" s="462">
        <f>IF(AND(AT350=3,AK350="E",AV350&gt;=0.75,AW350=1),Health,IF(AND(AT350=3,AK350="E",AV350&gt;=0.75),Health*P350,IF(AND(AT350=3,AK350="E",AV350&gt;=0.5,AW350=1),PTHealth,IF(AND(AT350=3,AK350="E",AV350&gt;=0.5),PTHealth*P350,0))))</f>
        <v>0</v>
      </c>
      <c r="BD350" s="462">
        <f>IF(AND(AT350&lt;&gt;0,AX350&gt;=MAXSSDI),SSDI*MAXSSDI*P350,IF(AT350&lt;&gt;0,SSDI*W350,0))</f>
        <v>0</v>
      </c>
      <c r="BE350" s="462">
        <f>IF(AT350&lt;&gt;0,SSHI*W350,0)</f>
        <v>0</v>
      </c>
      <c r="BF350" s="462">
        <f>IF(AND(AT350&lt;&gt;0,AN350&lt;&gt;"NE"),VLOOKUP(AN350,Retirement_Rates,3,FALSE)*W350,0)</f>
        <v>0</v>
      </c>
      <c r="BG350" s="462">
        <f>IF(AND(AT350&lt;&gt;0,AJ350&lt;&gt;"PF"),Life*W350,0)</f>
        <v>0</v>
      </c>
      <c r="BH350" s="462">
        <f>IF(AND(AT350&lt;&gt;0,AM350="Y"),UI*W350,0)</f>
        <v>0</v>
      </c>
      <c r="BI350" s="462">
        <f>IF(AND(AT350&lt;&gt;0,N350&lt;&gt;"NR"),DHR*W350,0)</f>
        <v>0</v>
      </c>
      <c r="BJ350" s="462">
        <f>IF(AT350&lt;&gt;0,WC*W350,0)</f>
        <v>0</v>
      </c>
      <c r="BK350" s="462">
        <f>IF(OR(AND(AT350&lt;&gt;0,AJ350&lt;&gt;"PF",AN350&lt;&gt;"NE",AG350&lt;&gt;"A"),AND(AL350="E",OR(AT350=1,AT350=3))),Sick*W350,0)</f>
        <v>0</v>
      </c>
      <c r="BL350" s="462">
        <f t="shared" si="90"/>
        <v>0</v>
      </c>
      <c r="BM350" s="462">
        <f t="shared" si="91"/>
        <v>0</v>
      </c>
      <c r="BN350" s="462">
        <f>IF(AND(AT350=1,AK350="E",AU350&gt;=0.75,AW350=1),HealthBY,IF(AND(AT350=1,AK350="E",AU350&gt;=0.75),HealthBY*P350,IF(AND(AT350=1,AK350="E",AU350&gt;=0.5,AW350=1),PTHealthBY,IF(AND(AT350=1,AK350="E",AU350&gt;=0.5),PTHealthBY*P350,0))))</f>
        <v>0</v>
      </c>
      <c r="BO350" s="462">
        <f>IF(AND(AT350=3,AK350="E",AV350&gt;=0.75,AW350=1),HealthBY,IF(AND(AT350=3,AK350="E",AV350&gt;=0.75),HealthBY*P350,IF(AND(AT350=3,AK350="E",AV350&gt;=0.5,AW350=1),PTHealthBY,IF(AND(AT350=3,AK350="E",AV350&gt;=0.5),PTHealthBY*P350,0))))</f>
        <v>0</v>
      </c>
      <c r="BP350" s="462">
        <f>IF(AND(AT350&lt;&gt;0,(AX350+BA350)&gt;=MAXSSDIBY),SSDIBY*MAXSSDIBY*P350,IF(AT350&lt;&gt;0,SSDIBY*W350,0))</f>
        <v>0</v>
      </c>
      <c r="BQ350" s="462">
        <f>IF(AT350&lt;&gt;0,SSHIBY*W350,0)</f>
        <v>0</v>
      </c>
      <c r="BR350" s="462">
        <f>IF(AND(AT350&lt;&gt;0,AN350&lt;&gt;"NE"),VLOOKUP(AN350,Retirement_Rates,4,FALSE)*W350,0)</f>
        <v>0</v>
      </c>
      <c r="BS350" s="462">
        <f>IF(AND(AT350&lt;&gt;0,AJ350&lt;&gt;"PF"),LifeBY*W350,0)</f>
        <v>0</v>
      </c>
      <c r="BT350" s="462">
        <f>IF(AND(AT350&lt;&gt;0,AM350="Y"),UIBY*W350,0)</f>
        <v>0</v>
      </c>
      <c r="BU350" s="462">
        <f>IF(AND(AT350&lt;&gt;0,N350&lt;&gt;"NR"),DHRBY*W350,0)</f>
        <v>0</v>
      </c>
      <c r="BV350" s="462">
        <f>IF(AT350&lt;&gt;0,WCBY*W350,0)</f>
        <v>0</v>
      </c>
      <c r="BW350" s="462">
        <f>IF(OR(AND(AT350&lt;&gt;0,AJ350&lt;&gt;"PF",AN350&lt;&gt;"NE",AG350&lt;&gt;"A"),AND(AL350="E",OR(AT350=1,AT350=3))),SickBY*W350,0)</f>
        <v>0</v>
      </c>
      <c r="BX350" s="462">
        <f t="shared" si="92"/>
        <v>0</v>
      </c>
      <c r="BY350" s="462">
        <f t="shared" si="93"/>
        <v>0</v>
      </c>
      <c r="BZ350" s="462">
        <f t="shared" si="94"/>
        <v>0</v>
      </c>
      <c r="CA350" s="462">
        <f t="shared" si="95"/>
        <v>0</v>
      </c>
      <c r="CB350" s="462">
        <f t="shared" si="96"/>
        <v>0</v>
      </c>
      <c r="CC350" s="462">
        <f>IF(AT350&lt;&gt;0,SSHICHG*Y350,0)</f>
        <v>0</v>
      </c>
      <c r="CD350" s="462">
        <f>IF(AND(AT350&lt;&gt;0,AN350&lt;&gt;"NE"),VLOOKUP(AN350,Retirement_Rates,5,FALSE)*Y350,0)</f>
        <v>0</v>
      </c>
      <c r="CE350" s="462">
        <f>IF(AND(AT350&lt;&gt;0,AJ350&lt;&gt;"PF"),LifeCHG*Y350,0)</f>
        <v>0</v>
      </c>
      <c r="CF350" s="462">
        <f>IF(AND(AT350&lt;&gt;0,AM350="Y"),UICHG*Y350,0)</f>
        <v>0</v>
      </c>
      <c r="CG350" s="462">
        <f>IF(AND(AT350&lt;&gt;0,N350&lt;&gt;"NR"),DHRCHG*Y350,0)</f>
        <v>0</v>
      </c>
      <c r="CH350" s="462">
        <f>IF(AT350&lt;&gt;0,WCCHG*Y350,0)</f>
        <v>0</v>
      </c>
      <c r="CI350" s="462">
        <f>IF(OR(AND(AT350&lt;&gt;0,AJ350&lt;&gt;"PF",AN350&lt;&gt;"NE",AG350&lt;&gt;"A"),AND(AL350="E",OR(AT350=1,AT350=3))),SickCHG*Y350,0)</f>
        <v>0</v>
      </c>
      <c r="CJ350" s="462">
        <f t="shared" si="97"/>
        <v>0</v>
      </c>
      <c r="CK350" s="462" t="str">
        <f t="shared" si="98"/>
        <v/>
      </c>
      <c r="CL350" s="462">
        <f t="shared" si="99"/>
        <v>32415.119999999999</v>
      </c>
      <c r="CM350" s="462">
        <f t="shared" si="100"/>
        <v>16598.14</v>
      </c>
      <c r="CN350" s="462" t="str">
        <f t="shared" si="101"/>
        <v>0348-00</v>
      </c>
    </row>
    <row r="351" spans="1:92" ht="15" thickBot="1" x14ac:dyDescent="0.35">
      <c r="A351" s="376" t="s">
        <v>161</v>
      </c>
      <c r="B351" s="376" t="s">
        <v>162</v>
      </c>
      <c r="C351" s="376" t="s">
        <v>1010</v>
      </c>
      <c r="D351" s="376" t="s">
        <v>981</v>
      </c>
      <c r="E351" s="376" t="s">
        <v>428</v>
      </c>
      <c r="F351" s="377" t="s">
        <v>166</v>
      </c>
      <c r="G351" s="376" t="s">
        <v>951</v>
      </c>
      <c r="H351" s="378"/>
      <c r="I351" s="378"/>
      <c r="J351" s="376" t="s">
        <v>168</v>
      </c>
      <c r="K351" s="376" t="s">
        <v>982</v>
      </c>
      <c r="L351" s="376" t="s">
        <v>240</v>
      </c>
      <c r="M351" s="376" t="s">
        <v>171</v>
      </c>
      <c r="N351" s="376" t="s">
        <v>172</v>
      </c>
      <c r="O351" s="379">
        <v>1</v>
      </c>
      <c r="P351" s="460">
        <v>1</v>
      </c>
      <c r="Q351" s="460">
        <v>1</v>
      </c>
      <c r="R351" s="380">
        <v>60</v>
      </c>
      <c r="S351" s="460">
        <v>0.75</v>
      </c>
      <c r="T351" s="380">
        <v>21644.33</v>
      </c>
      <c r="U351" s="380">
        <v>0</v>
      </c>
      <c r="V351" s="380">
        <v>11997.34</v>
      </c>
      <c r="W351" s="380">
        <v>33758.400000000001</v>
      </c>
      <c r="X351" s="380">
        <v>19683.46</v>
      </c>
      <c r="Y351" s="380">
        <v>33758.400000000001</v>
      </c>
      <c r="Z351" s="380">
        <v>19781.36</v>
      </c>
      <c r="AA351" s="376" t="s">
        <v>1011</v>
      </c>
      <c r="AB351" s="376" t="s">
        <v>702</v>
      </c>
      <c r="AC351" s="376" t="s">
        <v>1012</v>
      </c>
      <c r="AD351" s="376" t="s">
        <v>176</v>
      </c>
      <c r="AE351" s="376" t="s">
        <v>982</v>
      </c>
      <c r="AF351" s="376" t="s">
        <v>244</v>
      </c>
      <c r="AG351" s="376" t="s">
        <v>178</v>
      </c>
      <c r="AH351" s="381">
        <v>21.64</v>
      </c>
      <c r="AI351" s="379">
        <v>902</v>
      </c>
      <c r="AJ351" s="376" t="s">
        <v>249</v>
      </c>
      <c r="AK351" s="376" t="s">
        <v>180</v>
      </c>
      <c r="AL351" s="376" t="s">
        <v>181</v>
      </c>
      <c r="AM351" s="376" t="s">
        <v>182</v>
      </c>
      <c r="AN351" s="376" t="s">
        <v>68</v>
      </c>
      <c r="AO351" s="379">
        <v>60</v>
      </c>
      <c r="AP351" s="460">
        <v>1</v>
      </c>
      <c r="AQ351" s="460">
        <v>0.75</v>
      </c>
      <c r="AR351" s="458" t="s">
        <v>183</v>
      </c>
      <c r="AS351" s="462">
        <f t="shared" si="85"/>
        <v>0.75</v>
      </c>
      <c r="AT351">
        <f t="shared" si="86"/>
        <v>1</v>
      </c>
      <c r="AU351" s="462">
        <f>IF(AT351=0,"",IF(AND(AT351=1,M351="F",SUMIF(C2:C391,C351,AS2:AS391)&lt;=1),SUMIF(C2:C391,C351,AS2:AS391),IF(AND(AT351=1,M351="F",SUMIF(C2:C391,C351,AS2:AS391)&gt;1),1,"")))</f>
        <v>0.75</v>
      </c>
      <c r="AV351" s="462" t="str">
        <f>IF(AT351=0,"",IF(AND(AT351=3,M351="F",SUMIF(C2:C391,C351,AS2:AS391)&lt;=1),SUMIF(C2:C391,C351,AS2:AS391),IF(AND(AT351=3,M351="F",SUMIF(C2:C391,C351,AS2:AS391)&gt;1),1,"")))</f>
        <v/>
      </c>
      <c r="AW351" s="462">
        <f>SUMIF(C2:C391,C351,O2:O391)</f>
        <v>1</v>
      </c>
      <c r="AX351" s="462">
        <f>IF(AND(M351="F",AS351&lt;&gt;0),SUMIF(C2:C391,C351,W2:W391),0)</f>
        <v>33758.400000000001</v>
      </c>
      <c r="AY351" s="462">
        <f t="shared" si="87"/>
        <v>33758.400000000001</v>
      </c>
      <c r="AZ351" s="462" t="str">
        <f t="shared" si="88"/>
        <v/>
      </c>
      <c r="BA351" s="462">
        <f t="shared" si="89"/>
        <v>0</v>
      </c>
      <c r="BB351" s="462">
        <f>IF(AND(AT351=1,AK351="E",AU351&gt;=0.75,AW351=1),Health,IF(AND(AT351=1,AK351="E",AU351&gt;=0.75),Health*P351,IF(AND(AT351=1,AK351="E",AU351&gt;=0.5,AW351=1),PTHealth,IF(AND(AT351=1,AK351="E",AU351&gt;=0.5),PTHealth*P351,0))))</f>
        <v>11650</v>
      </c>
      <c r="BC351" s="462">
        <f>IF(AND(AT351=3,AK351="E",AV351&gt;=0.75,AW351=1),Health,IF(AND(AT351=3,AK351="E",AV351&gt;=0.75),Health*P351,IF(AND(AT351=3,AK351="E",AV351&gt;=0.5,AW351=1),PTHealth,IF(AND(AT351=3,AK351="E",AV351&gt;=0.5),PTHealth*P351,0))))</f>
        <v>0</v>
      </c>
      <c r="BD351" s="462">
        <f>IF(AND(AT351&lt;&gt;0,AX351&gt;=MAXSSDI),SSDI*MAXSSDI*P351,IF(AT351&lt;&gt;0,SSDI*W351,0))</f>
        <v>2093.0208000000002</v>
      </c>
      <c r="BE351" s="462">
        <f>IF(AT351&lt;&gt;0,SSHI*W351,0)</f>
        <v>489.49680000000006</v>
      </c>
      <c r="BF351" s="462">
        <f>IF(AND(AT351&lt;&gt;0,AN351&lt;&gt;"NE"),VLOOKUP(AN351,Retirement_Rates,3,FALSE)*W351,0)</f>
        <v>4030.7529600000003</v>
      </c>
      <c r="BG351" s="462">
        <f>IF(AND(AT351&lt;&gt;0,AJ351&lt;&gt;"PF"),Life*W351,0)</f>
        <v>243.39806400000003</v>
      </c>
      <c r="BH351" s="462">
        <f>IF(AND(AT351&lt;&gt;0,AM351="Y"),UI*W351,0)</f>
        <v>165.41615999999999</v>
      </c>
      <c r="BI351" s="462">
        <f>IF(AND(AT351&lt;&gt;0,N351&lt;&gt;"NR"),DHR*W351,0)</f>
        <v>103.300704</v>
      </c>
      <c r="BJ351" s="462">
        <f>IF(AT351&lt;&gt;0,WC*W351,0)</f>
        <v>908.1009600000001</v>
      </c>
      <c r="BK351" s="462">
        <f>IF(OR(AND(AT351&lt;&gt;0,AJ351&lt;&gt;"PF",AN351&lt;&gt;"NE",AG351&lt;&gt;"A"),AND(AL351="E",OR(AT351=1,AT351=3))),Sick*W351,0)</f>
        <v>0</v>
      </c>
      <c r="BL351" s="462">
        <f t="shared" si="90"/>
        <v>8033.4864480000006</v>
      </c>
      <c r="BM351" s="462">
        <f t="shared" si="91"/>
        <v>0</v>
      </c>
      <c r="BN351" s="462">
        <f>IF(AND(AT351=1,AK351="E",AU351&gt;=0.75,AW351=1),HealthBY,IF(AND(AT351=1,AK351="E",AU351&gt;=0.75),HealthBY*P351,IF(AND(AT351=1,AK351="E",AU351&gt;=0.5,AW351=1),PTHealthBY,IF(AND(AT351=1,AK351="E",AU351&gt;=0.5),PTHealthBY*P351,0))))</f>
        <v>11650</v>
      </c>
      <c r="BO351" s="462">
        <f>IF(AND(AT351=3,AK351="E",AV351&gt;=0.75,AW351=1),HealthBY,IF(AND(AT351=3,AK351="E",AV351&gt;=0.75),HealthBY*P351,IF(AND(AT351=3,AK351="E",AV351&gt;=0.5,AW351=1),PTHealthBY,IF(AND(AT351=3,AK351="E",AV351&gt;=0.5),PTHealthBY*P351,0))))</f>
        <v>0</v>
      </c>
      <c r="BP351" s="462">
        <f>IF(AND(AT351&lt;&gt;0,(AX351+BA351)&gt;=MAXSSDIBY),SSDIBY*MAXSSDIBY*P351,IF(AT351&lt;&gt;0,SSDIBY*W351,0))</f>
        <v>2093.0208000000002</v>
      </c>
      <c r="BQ351" s="462">
        <f>IF(AT351&lt;&gt;0,SSHIBY*W351,0)</f>
        <v>489.49680000000006</v>
      </c>
      <c r="BR351" s="462">
        <f>IF(AND(AT351&lt;&gt;0,AN351&lt;&gt;"NE"),VLOOKUP(AN351,Retirement_Rates,4,FALSE)*W351,0)</f>
        <v>4030.7529600000003</v>
      </c>
      <c r="BS351" s="462">
        <f>IF(AND(AT351&lt;&gt;0,AJ351&lt;&gt;"PF"),LifeBY*W351,0)</f>
        <v>243.39806400000003</v>
      </c>
      <c r="BT351" s="462">
        <f>IF(AND(AT351&lt;&gt;0,AM351="Y"),UIBY*W351,0)</f>
        <v>0</v>
      </c>
      <c r="BU351" s="462">
        <f>IF(AND(AT351&lt;&gt;0,N351&lt;&gt;"NR"),DHRBY*W351,0)</f>
        <v>103.300704</v>
      </c>
      <c r="BV351" s="462">
        <f>IF(AT351&lt;&gt;0,WCBY*W351,0)</f>
        <v>1171.4164800000001</v>
      </c>
      <c r="BW351" s="462">
        <f>IF(OR(AND(AT351&lt;&gt;0,AJ351&lt;&gt;"PF",AN351&lt;&gt;"NE",AG351&lt;&gt;"A"),AND(AL351="E",OR(AT351=1,AT351=3))),SickBY*W351,0)</f>
        <v>0</v>
      </c>
      <c r="BX351" s="462">
        <f t="shared" si="92"/>
        <v>8131.3858080000009</v>
      </c>
      <c r="BY351" s="462">
        <f t="shared" si="93"/>
        <v>0</v>
      </c>
      <c r="BZ351" s="462">
        <f t="shared" si="94"/>
        <v>0</v>
      </c>
      <c r="CA351" s="462">
        <f t="shared" si="95"/>
        <v>0</v>
      </c>
      <c r="CB351" s="462">
        <f t="shared" si="96"/>
        <v>0</v>
      </c>
      <c r="CC351" s="462">
        <f>IF(AT351&lt;&gt;0,SSHICHG*Y351,0)</f>
        <v>0</v>
      </c>
      <c r="CD351" s="462">
        <f>IF(AND(AT351&lt;&gt;0,AN351&lt;&gt;"NE"),VLOOKUP(AN351,Retirement_Rates,5,FALSE)*Y351,0)</f>
        <v>0</v>
      </c>
      <c r="CE351" s="462">
        <f>IF(AND(AT351&lt;&gt;0,AJ351&lt;&gt;"PF"),LifeCHG*Y351,0)</f>
        <v>0</v>
      </c>
      <c r="CF351" s="462">
        <f>IF(AND(AT351&lt;&gt;0,AM351="Y"),UICHG*Y351,0)</f>
        <v>-165.41615999999999</v>
      </c>
      <c r="CG351" s="462">
        <f>IF(AND(AT351&lt;&gt;0,N351&lt;&gt;"NR"),DHRCHG*Y351,0)</f>
        <v>0</v>
      </c>
      <c r="CH351" s="462">
        <f>IF(AT351&lt;&gt;0,WCCHG*Y351,0)</f>
        <v>263.31552000000005</v>
      </c>
      <c r="CI351" s="462">
        <f>IF(OR(AND(AT351&lt;&gt;0,AJ351&lt;&gt;"PF",AN351&lt;&gt;"NE",AG351&lt;&gt;"A"),AND(AL351="E",OR(AT351=1,AT351=3))),SickCHG*Y351,0)</f>
        <v>0</v>
      </c>
      <c r="CJ351" s="462">
        <f t="shared" si="97"/>
        <v>97.899360000000058</v>
      </c>
      <c r="CK351" s="462" t="str">
        <f t="shared" si="98"/>
        <v/>
      </c>
      <c r="CL351" s="462" t="str">
        <f t="shared" si="99"/>
        <v/>
      </c>
      <c r="CM351" s="462" t="str">
        <f t="shared" si="100"/>
        <v/>
      </c>
      <c r="CN351" s="462" t="str">
        <f t="shared" si="101"/>
        <v>0348-00</v>
      </c>
    </row>
    <row r="352" spans="1:92" ht="15" thickBot="1" x14ac:dyDescent="0.35">
      <c r="A352" s="376" t="s">
        <v>161</v>
      </c>
      <c r="B352" s="376" t="s">
        <v>162</v>
      </c>
      <c r="C352" s="376" t="s">
        <v>980</v>
      </c>
      <c r="D352" s="376" t="s">
        <v>981</v>
      </c>
      <c r="E352" s="376" t="s">
        <v>428</v>
      </c>
      <c r="F352" s="377" t="s">
        <v>166</v>
      </c>
      <c r="G352" s="376" t="s">
        <v>951</v>
      </c>
      <c r="H352" s="378"/>
      <c r="I352" s="378"/>
      <c r="J352" s="376" t="s">
        <v>229</v>
      </c>
      <c r="K352" s="376" t="s">
        <v>982</v>
      </c>
      <c r="L352" s="376" t="s">
        <v>240</v>
      </c>
      <c r="M352" s="376" t="s">
        <v>171</v>
      </c>
      <c r="N352" s="376" t="s">
        <v>172</v>
      </c>
      <c r="O352" s="379">
        <v>1</v>
      </c>
      <c r="P352" s="460">
        <v>0.75</v>
      </c>
      <c r="Q352" s="460">
        <v>0.75</v>
      </c>
      <c r="R352" s="380">
        <v>80</v>
      </c>
      <c r="S352" s="460">
        <v>0.75</v>
      </c>
      <c r="T352" s="380">
        <v>33784.79</v>
      </c>
      <c r="U352" s="380">
        <v>0</v>
      </c>
      <c r="V352" s="380">
        <v>16497.990000000002</v>
      </c>
      <c r="W352" s="380">
        <v>34803.599999999999</v>
      </c>
      <c r="X352" s="380">
        <v>17019.669999999998</v>
      </c>
      <c r="Y352" s="380">
        <v>34803.599999999999</v>
      </c>
      <c r="Z352" s="380">
        <v>17120.61</v>
      </c>
      <c r="AA352" s="376" t="s">
        <v>983</v>
      </c>
      <c r="AB352" s="376" t="s">
        <v>984</v>
      </c>
      <c r="AC352" s="376" t="s">
        <v>985</v>
      </c>
      <c r="AD352" s="376" t="s">
        <v>176</v>
      </c>
      <c r="AE352" s="376" t="s">
        <v>982</v>
      </c>
      <c r="AF352" s="376" t="s">
        <v>244</v>
      </c>
      <c r="AG352" s="376" t="s">
        <v>178</v>
      </c>
      <c r="AH352" s="381">
        <v>22.31</v>
      </c>
      <c r="AI352" s="381">
        <v>14555.8</v>
      </c>
      <c r="AJ352" s="376" t="s">
        <v>179</v>
      </c>
      <c r="AK352" s="376" t="s">
        <v>180</v>
      </c>
      <c r="AL352" s="376" t="s">
        <v>181</v>
      </c>
      <c r="AM352" s="376" t="s">
        <v>182</v>
      </c>
      <c r="AN352" s="376" t="s">
        <v>68</v>
      </c>
      <c r="AO352" s="379">
        <v>80</v>
      </c>
      <c r="AP352" s="460">
        <v>1</v>
      </c>
      <c r="AQ352" s="460">
        <v>0.75</v>
      </c>
      <c r="AR352" s="458" t="s">
        <v>183</v>
      </c>
      <c r="AS352" s="462">
        <f t="shared" si="85"/>
        <v>0.75</v>
      </c>
      <c r="AT352">
        <f t="shared" si="86"/>
        <v>1</v>
      </c>
      <c r="AU352" s="462">
        <f>IF(AT352=0,"",IF(AND(AT352=1,M352="F",SUMIF(C2:C391,C352,AS2:AS391)&lt;=1),SUMIF(C2:C391,C352,AS2:AS391),IF(AND(AT352=1,M352="F",SUMIF(C2:C391,C352,AS2:AS391)&gt;1),1,"")))</f>
        <v>1</v>
      </c>
      <c r="AV352" s="462" t="str">
        <f>IF(AT352=0,"",IF(AND(AT352=3,M352="F",SUMIF(C2:C391,C352,AS2:AS391)&lt;=1),SUMIF(C2:C391,C352,AS2:AS391),IF(AND(AT352=3,M352="F",SUMIF(C2:C391,C352,AS2:AS391)&gt;1),1,"")))</f>
        <v/>
      </c>
      <c r="AW352" s="462">
        <f>SUMIF(C2:C391,C352,O2:O391)</f>
        <v>2</v>
      </c>
      <c r="AX352" s="462">
        <f>IF(AND(M352="F",AS352&lt;&gt;0),SUMIF(C2:C391,C352,W2:W391),0)</f>
        <v>46404.800000000003</v>
      </c>
      <c r="AY352" s="462">
        <f t="shared" si="87"/>
        <v>34803.599999999999</v>
      </c>
      <c r="AZ352" s="462" t="str">
        <f t="shared" si="88"/>
        <v/>
      </c>
      <c r="BA352" s="462">
        <f t="shared" si="89"/>
        <v>0</v>
      </c>
      <c r="BB352" s="462">
        <f>IF(AND(AT352=1,AK352="E",AU352&gt;=0.75,AW352=1),Health,IF(AND(AT352=1,AK352="E",AU352&gt;=0.75),Health*P352,IF(AND(AT352=1,AK352="E",AU352&gt;=0.5,AW352=1),PTHealth,IF(AND(AT352=1,AK352="E",AU352&gt;=0.5),PTHealth*P352,0))))</f>
        <v>8737.5</v>
      </c>
      <c r="BC352" s="462">
        <f>IF(AND(AT352=3,AK352="E",AV352&gt;=0.75,AW352=1),Health,IF(AND(AT352=3,AK352="E",AV352&gt;=0.75),Health*P352,IF(AND(AT352=3,AK352="E",AV352&gt;=0.5,AW352=1),PTHealth,IF(AND(AT352=3,AK352="E",AV352&gt;=0.5),PTHealth*P352,0))))</f>
        <v>0</v>
      </c>
      <c r="BD352" s="462">
        <f>IF(AND(AT352&lt;&gt;0,AX352&gt;=MAXSSDI),SSDI*MAXSSDI*P352,IF(AT352&lt;&gt;0,SSDI*W352,0))</f>
        <v>2157.8231999999998</v>
      </c>
      <c r="BE352" s="462">
        <f>IF(AT352&lt;&gt;0,SSHI*W352,0)</f>
        <v>504.65219999999999</v>
      </c>
      <c r="BF352" s="462">
        <f>IF(AND(AT352&lt;&gt;0,AN352&lt;&gt;"NE"),VLOOKUP(AN352,Retirement_Rates,3,FALSE)*W352,0)</f>
        <v>4155.5498399999997</v>
      </c>
      <c r="BG352" s="462">
        <f>IF(AND(AT352&lt;&gt;0,AJ352&lt;&gt;"PF"),Life*W352,0)</f>
        <v>250.93395599999999</v>
      </c>
      <c r="BH352" s="462">
        <f>IF(AND(AT352&lt;&gt;0,AM352="Y"),UI*W352,0)</f>
        <v>170.53763999999998</v>
      </c>
      <c r="BI352" s="462">
        <f>IF(AND(AT352&lt;&gt;0,N352&lt;&gt;"NR"),DHR*W352,0)</f>
        <v>106.49901599999998</v>
      </c>
      <c r="BJ352" s="462">
        <f>IF(AT352&lt;&gt;0,WC*W352,0)</f>
        <v>936.21683999999993</v>
      </c>
      <c r="BK352" s="462">
        <f>IF(OR(AND(AT352&lt;&gt;0,AJ352&lt;&gt;"PF",AN352&lt;&gt;"NE",AG352&lt;&gt;"A"),AND(AL352="E",OR(AT352=1,AT352=3))),Sick*W352,0)</f>
        <v>0</v>
      </c>
      <c r="BL352" s="462">
        <f t="shared" si="90"/>
        <v>8282.2126919999973</v>
      </c>
      <c r="BM352" s="462">
        <f t="shared" si="91"/>
        <v>0</v>
      </c>
      <c r="BN352" s="462">
        <f>IF(AND(AT352=1,AK352="E",AU352&gt;=0.75,AW352=1),HealthBY,IF(AND(AT352=1,AK352="E",AU352&gt;=0.75),HealthBY*P352,IF(AND(AT352=1,AK352="E",AU352&gt;=0.5,AW352=1),PTHealthBY,IF(AND(AT352=1,AK352="E",AU352&gt;=0.5),PTHealthBY*P352,0))))</f>
        <v>8737.5</v>
      </c>
      <c r="BO352" s="462">
        <f>IF(AND(AT352=3,AK352="E",AV352&gt;=0.75,AW352=1),HealthBY,IF(AND(AT352=3,AK352="E",AV352&gt;=0.75),HealthBY*P352,IF(AND(AT352=3,AK352="E",AV352&gt;=0.5,AW352=1),PTHealthBY,IF(AND(AT352=3,AK352="E",AV352&gt;=0.5),PTHealthBY*P352,0))))</f>
        <v>0</v>
      </c>
      <c r="BP352" s="462">
        <f>IF(AND(AT352&lt;&gt;0,(AX352+BA352)&gt;=MAXSSDIBY),SSDIBY*MAXSSDIBY*P352,IF(AT352&lt;&gt;0,SSDIBY*W352,0))</f>
        <v>2157.8231999999998</v>
      </c>
      <c r="BQ352" s="462">
        <f>IF(AT352&lt;&gt;0,SSHIBY*W352,0)</f>
        <v>504.65219999999999</v>
      </c>
      <c r="BR352" s="462">
        <f>IF(AND(AT352&lt;&gt;0,AN352&lt;&gt;"NE"),VLOOKUP(AN352,Retirement_Rates,4,FALSE)*W352,0)</f>
        <v>4155.5498399999997</v>
      </c>
      <c r="BS352" s="462">
        <f>IF(AND(AT352&lt;&gt;0,AJ352&lt;&gt;"PF"),LifeBY*W352,0)</f>
        <v>250.93395599999999</v>
      </c>
      <c r="BT352" s="462">
        <f>IF(AND(AT352&lt;&gt;0,AM352="Y"),UIBY*W352,0)</f>
        <v>0</v>
      </c>
      <c r="BU352" s="462">
        <f>IF(AND(AT352&lt;&gt;0,N352&lt;&gt;"NR"),DHRBY*W352,0)</f>
        <v>106.49901599999998</v>
      </c>
      <c r="BV352" s="462">
        <f>IF(AT352&lt;&gt;0,WCBY*W352,0)</f>
        <v>1207.6849199999999</v>
      </c>
      <c r="BW352" s="462">
        <f>IF(OR(AND(AT352&lt;&gt;0,AJ352&lt;&gt;"PF",AN352&lt;&gt;"NE",AG352&lt;&gt;"A"),AND(AL352="E",OR(AT352=1,AT352=3))),SickBY*W352,0)</f>
        <v>0</v>
      </c>
      <c r="BX352" s="462">
        <f t="shared" si="92"/>
        <v>8383.1431319999992</v>
      </c>
      <c r="BY352" s="462">
        <f t="shared" si="93"/>
        <v>0</v>
      </c>
      <c r="BZ352" s="462">
        <f t="shared" si="94"/>
        <v>0</v>
      </c>
      <c r="CA352" s="462">
        <f t="shared" si="95"/>
        <v>0</v>
      </c>
      <c r="CB352" s="462">
        <f t="shared" si="96"/>
        <v>0</v>
      </c>
      <c r="CC352" s="462">
        <f>IF(AT352&lt;&gt;0,SSHICHG*Y352,0)</f>
        <v>0</v>
      </c>
      <c r="CD352" s="462">
        <f>IF(AND(AT352&lt;&gt;0,AN352&lt;&gt;"NE"),VLOOKUP(AN352,Retirement_Rates,5,FALSE)*Y352,0)</f>
        <v>0</v>
      </c>
      <c r="CE352" s="462">
        <f>IF(AND(AT352&lt;&gt;0,AJ352&lt;&gt;"PF"),LifeCHG*Y352,0)</f>
        <v>0</v>
      </c>
      <c r="CF352" s="462">
        <f>IF(AND(AT352&lt;&gt;0,AM352="Y"),UICHG*Y352,0)</f>
        <v>-170.53763999999998</v>
      </c>
      <c r="CG352" s="462">
        <f>IF(AND(AT352&lt;&gt;0,N352&lt;&gt;"NR"),DHRCHG*Y352,0)</f>
        <v>0</v>
      </c>
      <c r="CH352" s="462">
        <f>IF(AT352&lt;&gt;0,WCCHG*Y352,0)</f>
        <v>271.46808000000004</v>
      </c>
      <c r="CI352" s="462">
        <f>IF(OR(AND(AT352&lt;&gt;0,AJ352&lt;&gt;"PF",AN352&lt;&gt;"NE",AG352&lt;&gt;"A"),AND(AL352="E",OR(AT352=1,AT352=3))),SickCHG*Y352,0)</f>
        <v>0</v>
      </c>
      <c r="CJ352" s="462">
        <f t="shared" si="97"/>
        <v>100.93044000000006</v>
      </c>
      <c r="CK352" s="462" t="str">
        <f t="shared" si="98"/>
        <v/>
      </c>
      <c r="CL352" s="462" t="str">
        <f t="shared" si="99"/>
        <v/>
      </c>
      <c r="CM352" s="462" t="str">
        <f t="shared" si="100"/>
        <v/>
      </c>
      <c r="CN352" s="462" t="str">
        <f t="shared" si="101"/>
        <v>0348-00</v>
      </c>
    </row>
    <row r="353" spans="1:92" ht="15" thickBot="1" x14ac:dyDescent="0.35">
      <c r="A353" s="376" t="s">
        <v>161</v>
      </c>
      <c r="B353" s="376" t="s">
        <v>162</v>
      </c>
      <c r="C353" s="376" t="s">
        <v>986</v>
      </c>
      <c r="D353" s="376" t="s">
        <v>981</v>
      </c>
      <c r="E353" s="376" t="s">
        <v>428</v>
      </c>
      <c r="F353" s="377" t="s">
        <v>166</v>
      </c>
      <c r="G353" s="376" t="s">
        <v>951</v>
      </c>
      <c r="H353" s="378"/>
      <c r="I353" s="378"/>
      <c r="J353" s="376" t="s">
        <v>168</v>
      </c>
      <c r="K353" s="376" t="s">
        <v>982</v>
      </c>
      <c r="L353" s="376" t="s">
        <v>240</v>
      </c>
      <c r="M353" s="376" t="s">
        <v>171</v>
      </c>
      <c r="N353" s="376" t="s">
        <v>172</v>
      </c>
      <c r="O353" s="379">
        <v>1</v>
      </c>
      <c r="P353" s="460">
        <v>1</v>
      </c>
      <c r="Q353" s="460">
        <v>1</v>
      </c>
      <c r="R353" s="380">
        <v>80</v>
      </c>
      <c r="S353" s="460">
        <v>1</v>
      </c>
      <c r="T353" s="380">
        <v>50132.800000000003</v>
      </c>
      <c r="U353" s="380">
        <v>0</v>
      </c>
      <c r="V353" s="380">
        <v>22297.08</v>
      </c>
      <c r="W353" s="380">
        <v>51563.199999999997</v>
      </c>
      <c r="X353" s="380">
        <v>23920.46</v>
      </c>
      <c r="Y353" s="380">
        <v>51563.199999999997</v>
      </c>
      <c r="Z353" s="380">
        <v>24070</v>
      </c>
      <c r="AA353" s="376" t="s">
        <v>987</v>
      </c>
      <c r="AB353" s="376" t="s">
        <v>988</v>
      </c>
      <c r="AC353" s="376" t="s">
        <v>989</v>
      </c>
      <c r="AD353" s="376" t="s">
        <v>615</v>
      </c>
      <c r="AE353" s="376" t="s">
        <v>982</v>
      </c>
      <c r="AF353" s="376" t="s">
        <v>244</v>
      </c>
      <c r="AG353" s="376" t="s">
        <v>178</v>
      </c>
      <c r="AH353" s="381">
        <v>24.79</v>
      </c>
      <c r="AI353" s="381">
        <v>40180.300000000003</v>
      </c>
      <c r="AJ353" s="376" t="s">
        <v>179</v>
      </c>
      <c r="AK353" s="376" t="s">
        <v>180</v>
      </c>
      <c r="AL353" s="376" t="s">
        <v>181</v>
      </c>
      <c r="AM353" s="376" t="s">
        <v>182</v>
      </c>
      <c r="AN353" s="376" t="s">
        <v>68</v>
      </c>
      <c r="AO353" s="379">
        <v>80</v>
      </c>
      <c r="AP353" s="460">
        <v>1</v>
      </c>
      <c r="AQ353" s="460">
        <v>1</v>
      </c>
      <c r="AR353" s="458" t="s">
        <v>183</v>
      </c>
      <c r="AS353" s="462">
        <f t="shared" si="85"/>
        <v>1</v>
      </c>
      <c r="AT353">
        <f t="shared" si="86"/>
        <v>1</v>
      </c>
      <c r="AU353" s="462">
        <f>IF(AT353=0,"",IF(AND(AT353=1,M353="F",SUMIF(C2:C391,C353,AS2:AS391)&lt;=1),SUMIF(C2:C391,C353,AS2:AS391),IF(AND(AT353=1,M353="F",SUMIF(C2:C391,C353,AS2:AS391)&gt;1),1,"")))</f>
        <v>1</v>
      </c>
      <c r="AV353" s="462" t="str">
        <f>IF(AT353=0,"",IF(AND(AT353=3,M353="F",SUMIF(C2:C391,C353,AS2:AS391)&lt;=1),SUMIF(C2:C391,C353,AS2:AS391),IF(AND(AT353=3,M353="F",SUMIF(C2:C391,C353,AS2:AS391)&gt;1),1,"")))</f>
        <v/>
      </c>
      <c r="AW353" s="462">
        <f>SUMIF(C2:C391,C353,O2:O391)</f>
        <v>2</v>
      </c>
      <c r="AX353" s="462">
        <f>IF(AND(M353="F",AS353&lt;&gt;0),SUMIF(C2:C391,C353,W2:W391),0)</f>
        <v>51563.199999999997</v>
      </c>
      <c r="AY353" s="462">
        <f t="shared" si="87"/>
        <v>51563.199999999997</v>
      </c>
      <c r="AZ353" s="462" t="str">
        <f t="shared" si="88"/>
        <v/>
      </c>
      <c r="BA353" s="462">
        <f t="shared" si="89"/>
        <v>0</v>
      </c>
      <c r="BB353" s="462">
        <f>IF(AND(AT353=1,AK353="E",AU353&gt;=0.75,AW353=1),Health,IF(AND(AT353=1,AK353="E",AU353&gt;=0.75),Health*P353,IF(AND(AT353=1,AK353="E",AU353&gt;=0.5,AW353=1),PTHealth,IF(AND(AT353=1,AK353="E",AU353&gt;=0.5),PTHealth*P353,0))))</f>
        <v>11650</v>
      </c>
      <c r="BC353" s="462">
        <f>IF(AND(AT353=3,AK353="E",AV353&gt;=0.75,AW353=1),Health,IF(AND(AT353=3,AK353="E",AV353&gt;=0.75),Health*P353,IF(AND(AT353=3,AK353="E",AV353&gt;=0.5,AW353=1),PTHealth,IF(AND(AT353=3,AK353="E",AV353&gt;=0.5),PTHealth*P353,0))))</f>
        <v>0</v>
      </c>
      <c r="BD353" s="462">
        <f>IF(AND(AT353&lt;&gt;0,AX353&gt;=MAXSSDI),SSDI*MAXSSDI*P353,IF(AT353&lt;&gt;0,SSDI*W353,0))</f>
        <v>3196.9184</v>
      </c>
      <c r="BE353" s="462">
        <f>IF(AT353&lt;&gt;0,SSHI*W353,0)</f>
        <v>747.66639999999995</v>
      </c>
      <c r="BF353" s="462">
        <f>IF(AND(AT353&lt;&gt;0,AN353&lt;&gt;"NE"),VLOOKUP(AN353,Retirement_Rates,3,FALSE)*W353,0)</f>
        <v>6156.6460799999995</v>
      </c>
      <c r="BG353" s="462">
        <f>IF(AND(AT353&lt;&gt;0,AJ353&lt;&gt;"PF"),Life*W353,0)</f>
        <v>371.77067199999999</v>
      </c>
      <c r="BH353" s="462">
        <f>IF(AND(AT353&lt;&gt;0,AM353="Y"),UI*W353,0)</f>
        <v>252.65967999999998</v>
      </c>
      <c r="BI353" s="462">
        <f>IF(AND(AT353&lt;&gt;0,N353&lt;&gt;"NR"),DHR*W353,0)</f>
        <v>157.78339199999999</v>
      </c>
      <c r="BJ353" s="462">
        <f>IF(AT353&lt;&gt;0,WC*W353,0)</f>
        <v>1387.05008</v>
      </c>
      <c r="BK353" s="462">
        <f>IF(OR(AND(AT353&lt;&gt;0,AJ353&lt;&gt;"PF",AN353&lt;&gt;"NE",AG353&lt;&gt;"A"),AND(AL353="E",OR(AT353=1,AT353=3))),Sick*W353,0)</f>
        <v>0</v>
      </c>
      <c r="BL353" s="462">
        <f t="shared" si="90"/>
        <v>12270.494704000001</v>
      </c>
      <c r="BM353" s="462">
        <f t="shared" si="91"/>
        <v>0</v>
      </c>
      <c r="BN353" s="462">
        <f>IF(AND(AT353=1,AK353="E",AU353&gt;=0.75,AW353=1),HealthBY,IF(AND(AT353=1,AK353="E",AU353&gt;=0.75),HealthBY*P353,IF(AND(AT353=1,AK353="E",AU353&gt;=0.5,AW353=1),PTHealthBY,IF(AND(AT353=1,AK353="E",AU353&gt;=0.5),PTHealthBY*P353,0))))</f>
        <v>11650</v>
      </c>
      <c r="BO353" s="462">
        <f>IF(AND(AT353=3,AK353="E",AV353&gt;=0.75,AW353=1),HealthBY,IF(AND(AT353=3,AK353="E",AV353&gt;=0.75),HealthBY*P353,IF(AND(AT353=3,AK353="E",AV353&gt;=0.5,AW353=1),PTHealthBY,IF(AND(AT353=3,AK353="E",AV353&gt;=0.5),PTHealthBY*P353,0))))</f>
        <v>0</v>
      </c>
      <c r="BP353" s="462">
        <f>IF(AND(AT353&lt;&gt;0,(AX353+BA353)&gt;=MAXSSDIBY),SSDIBY*MAXSSDIBY*P353,IF(AT353&lt;&gt;0,SSDIBY*W353,0))</f>
        <v>3196.9184</v>
      </c>
      <c r="BQ353" s="462">
        <f>IF(AT353&lt;&gt;0,SSHIBY*W353,0)</f>
        <v>747.66639999999995</v>
      </c>
      <c r="BR353" s="462">
        <f>IF(AND(AT353&lt;&gt;0,AN353&lt;&gt;"NE"),VLOOKUP(AN353,Retirement_Rates,4,FALSE)*W353,0)</f>
        <v>6156.6460799999995</v>
      </c>
      <c r="BS353" s="462">
        <f>IF(AND(AT353&lt;&gt;0,AJ353&lt;&gt;"PF"),LifeBY*W353,0)</f>
        <v>371.77067199999999</v>
      </c>
      <c r="BT353" s="462">
        <f>IF(AND(AT353&lt;&gt;0,AM353="Y"),UIBY*W353,0)</f>
        <v>0</v>
      </c>
      <c r="BU353" s="462">
        <f>IF(AND(AT353&lt;&gt;0,N353&lt;&gt;"NR"),DHRBY*W353,0)</f>
        <v>157.78339199999999</v>
      </c>
      <c r="BV353" s="462">
        <f>IF(AT353&lt;&gt;0,WCBY*W353,0)</f>
        <v>1789.2430400000001</v>
      </c>
      <c r="BW353" s="462">
        <f>IF(OR(AND(AT353&lt;&gt;0,AJ353&lt;&gt;"PF",AN353&lt;&gt;"NE",AG353&lt;&gt;"A"),AND(AL353="E",OR(AT353=1,AT353=3))),SickBY*W353,0)</f>
        <v>0</v>
      </c>
      <c r="BX353" s="462">
        <f t="shared" si="92"/>
        <v>12420.027983999998</v>
      </c>
      <c r="BY353" s="462">
        <f t="shared" si="93"/>
        <v>0</v>
      </c>
      <c r="BZ353" s="462">
        <f t="shared" si="94"/>
        <v>0</v>
      </c>
      <c r="CA353" s="462">
        <f t="shared" si="95"/>
        <v>0</v>
      </c>
      <c r="CB353" s="462">
        <f t="shared" si="96"/>
        <v>0</v>
      </c>
      <c r="CC353" s="462">
        <f>IF(AT353&lt;&gt;0,SSHICHG*Y353,0)</f>
        <v>0</v>
      </c>
      <c r="CD353" s="462">
        <f>IF(AND(AT353&lt;&gt;0,AN353&lt;&gt;"NE"),VLOOKUP(AN353,Retirement_Rates,5,FALSE)*Y353,0)</f>
        <v>0</v>
      </c>
      <c r="CE353" s="462">
        <f>IF(AND(AT353&lt;&gt;0,AJ353&lt;&gt;"PF"),LifeCHG*Y353,0)</f>
        <v>0</v>
      </c>
      <c r="CF353" s="462">
        <f>IF(AND(AT353&lt;&gt;0,AM353="Y"),UICHG*Y353,0)</f>
        <v>-252.65967999999998</v>
      </c>
      <c r="CG353" s="462">
        <f>IF(AND(AT353&lt;&gt;0,N353&lt;&gt;"NR"),DHRCHG*Y353,0)</f>
        <v>0</v>
      </c>
      <c r="CH353" s="462">
        <f>IF(AT353&lt;&gt;0,WCCHG*Y353,0)</f>
        <v>402.19296000000003</v>
      </c>
      <c r="CI353" s="462">
        <f>IF(OR(AND(AT353&lt;&gt;0,AJ353&lt;&gt;"PF",AN353&lt;&gt;"NE",AG353&lt;&gt;"A"),AND(AL353="E",OR(AT353=1,AT353=3))),SickCHG*Y353,0)</f>
        <v>0</v>
      </c>
      <c r="CJ353" s="462">
        <f t="shared" si="97"/>
        <v>149.53328000000005</v>
      </c>
      <c r="CK353" s="462" t="str">
        <f t="shared" si="98"/>
        <v/>
      </c>
      <c r="CL353" s="462" t="str">
        <f t="shared" si="99"/>
        <v/>
      </c>
      <c r="CM353" s="462" t="str">
        <f t="shared" si="100"/>
        <v/>
      </c>
      <c r="CN353" s="462" t="str">
        <f t="shared" si="101"/>
        <v>0348-00</v>
      </c>
    </row>
    <row r="354" spans="1:92" ht="15" thickBot="1" x14ac:dyDescent="0.35">
      <c r="A354" s="376" t="s">
        <v>161</v>
      </c>
      <c r="B354" s="376" t="s">
        <v>162</v>
      </c>
      <c r="C354" s="376" t="s">
        <v>923</v>
      </c>
      <c r="D354" s="376" t="s">
        <v>690</v>
      </c>
      <c r="E354" s="376" t="s">
        <v>428</v>
      </c>
      <c r="F354" s="377" t="s">
        <v>166</v>
      </c>
      <c r="G354" s="376" t="s">
        <v>951</v>
      </c>
      <c r="H354" s="378"/>
      <c r="I354" s="378"/>
      <c r="J354" s="376" t="s">
        <v>193</v>
      </c>
      <c r="K354" s="376" t="s">
        <v>691</v>
      </c>
      <c r="L354" s="376" t="s">
        <v>170</v>
      </c>
      <c r="M354" s="376" t="s">
        <v>171</v>
      </c>
      <c r="N354" s="376" t="s">
        <v>172</v>
      </c>
      <c r="O354" s="379">
        <v>1</v>
      </c>
      <c r="P354" s="460">
        <v>0.97</v>
      </c>
      <c r="Q354" s="460">
        <v>0.97</v>
      </c>
      <c r="R354" s="380">
        <v>80</v>
      </c>
      <c r="S354" s="460">
        <v>0.97</v>
      </c>
      <c r="T354" s="380">
        <v>62674.52</v>
      </c>
      <c r="U354" s="380">
        <v>0</v>
      </c>
      <c r="V354" s="380">
        <v>24462.91</v>
      </c>
      <c r="W354" s="380">
        <v>64159.68</v>
      </c>
      <c r="X354" s="380">
        <v>26568.54</v>
      </c>
      <c r="Y354" s="380">
        <v>64159.68</v>
      </c>
      <c r="Z354" s="380">
        <v>26754.6</v>
      </c>
      <c r="AA354" s="376" t="s">
        <v>924</v>
      </c>
      <c r="AB354" s="376" t="s">
        <v>925</v>
      </c>
      <c r="AC354" s="376" t="s">
        <v>445</v>
      </c>
      <c r="AD354" s="376" t="s">
        <v>324</v>
      </c>
      <c r="AE354" s="376" t="s">
        <v>691</v>
      </c>
      <c r="AF354" s="376" t="s">
        <v>177</v>
      </c>
      <c r="AG354" s="376" t="s">
        <v>178</v>
      </c>
      <c r="AH354" s="381">
        <v>31.8</v>
      </c>
      <c r="AI354" s="381">
        <v>31516.5</v>
      </c>
      <c r="AJ354" s="376" t="s">
        <v>179</v>
      </c>
      <c r="AK354" s="376" t="s">
        <v>180</v>
      </c>
      <c r="AL354" s="376" t="s">
        <v>181</v>
      </c>
      <c r="AM354" s="376" t="s">
        <v>182</v>
      </c>
      <c r="AN354" s="376" t="s">
        <v>68</v>
      </c>
      <c r="AO354" s="379">
        <v>80</v>
      </c>
      <c r="AP354" s="460">
        <v>1</v>
      </c>
      <c r="AQ354" s="460">
        <v>0.97</v>
      </c>
      <c r="AR354" s="458" t="s">
        <v>183</v>
      </c>
      <c r="AS354" s="462">
        <f t="shared" si="85"/>
        <v>0.97</v>
      </c>
      <c r="AT354">
        <f t="shared" si="86"/>
        <v>1</v>
      </c>
      <c r="AU354" s="462">
        <f>IF(AT354=0,"",IF(AND(AT354=1,M354="F",SUMIF(C2:C391,C354,AS2:AS391)&lt;=1),SUMIF(C2:C391,C354,AS2:AS391),IF(AND(AT354=1,M354="F",SUMIF(C2:C391,C354,AS2:AS391)&gt;1),1,"")))</f>
        <v>1</v>
      </c>
      <c r="AV354" s="462" t="str">
        <f>IF(AT354=0,"",IF(AND(AT354=3,M354="F",SUMIF(C2:C391,C354,AS2:AS391)&lt;=1),SUMIF(C2:C391,C354,AS2:AS391),IF(AND(AT354=3,M354="F",SUMIF(C2:C391,C354,AS2:AS391)&gt;1),1,"")))</f>
        <v/>
      </c>
      <c r="AW354" s="462">
        <f>SUMIF(C2:C391,C354,O2:O391)</f>
        <v>2</v>
      </c>
      <c r="AX354" s="462">
        <f>IF(AND(M354="F",AS354&lt;&gt;0),SUMIF(C2:C391,C354,W2:W391),0)</f>
        <v>66144</v>
      </c>
      <c r="AY354" s="462">
        <f t="shared" si="87"/>
        <v>64159.68</v>
      </c>
      <c r="AZ354" s="462" t="str">
        <f t="shared" si="88"/>
        <v/>
      </c>
      <c r="BA354" s="462">
        <f t="shared" si="89"/>
        <v>0</v>
      </c>
      <c r="BB354" s="462">
        <f>IF(AND(AT354=1,AK354="E",AU354&gt;=0.75,AW354=1),Health,IF(AND(AT354=1,AK354="E",AU354&gt;=0.75),Health*P354,IF(AND(AT354=1,AK354="E",AU354&gt;=0.5,AW354=1),PTHealth,IF(AND(AT354=1,AK354="E",AU354&gt;=0.5),PTHealth*P354,0))))</f>
        <v>11300.5</v>
      </c>
      <c r="BC354" s="462">
        <f>IF(AND(AT354=3,AK354="E",AV354&gt;=0.75,AW354=1),Health,IF(AND(AT354=3,AK354="E",AV354&gt;=0.75),Health*P354,IF(AND(AT354=3,AK354="E",AV354&gt;=0.5,AW354=1),PTHealth,IF(AND(AT354=3,AK354="E",AV354&gt;=0.5),PTHealth*P354,0))))</f>
        <v>0</v>
      </c>
      <c r="BD354" s="462">
        <f>IF(AND(AT354&lt;&gt;0,AX354&gt;=MAXSSDI),SSDI*MAXSSDI*P354,IF(AT354&lt;&gt;0,SSDI*W354,0))</f>
        <v>3977.9001600000001</v>
      </c>
      <c r="BE354" s="462">
        <f>IF(AT354&lt;&gt;0,SSHI*W354,0)</f>
        <v>930.31536000000006</v>
      </c>
      <c r="BF354" s="462">
        <f>IF(AND(AT354&lt;&gt;0,AN354&lt;&gt;"NE"),VLOOKUP(AN354,Retirement_Rates,3,FALSE)*W354,0)</f>
        <v>7660.6657920000007</v>
      </c>
      <c r="BG354" s="462">
        <f>IF(AND(AT354&lt;&gt;0,AJ354&lt;&gt;"PF"),Life*W354,0)</f>
        <v>462.59129280000002</v>
      </c>
      <c r="BH354" s="462">
        <f>IF(AND(AT354&lt;&gt;0,AM354="Y"),UI*W354,0)</f>
        <v>314.38243199999999</v>
      </c>
      <c r="BI354" s="462">
        <f>IF(AND(AT354&lt;&gt;0,N354&lt;&gt;"NR"),DHR*W354,0)</f>
        <v>196.32862079999998</v>
      </c>
      <c r="BJ354" s="462">
        <f>IF(AT354&lt;&gt;0,WC*W354,0)</f>
        <v>1725.8953920000001</v>
      </c>
      <c r="BK354" s="462">
        <f>IF(OR(AND(AT354&lt;&gt;0,AJ354&lt;&gt;"PF",AN354&lt;&gt;"NE",AG354&lt;&gt;"A"),AND(AL354="E",OR(AT354=1,AT354=3))),Sick*W354,0)</f>
        <v>0</v>
      </c>
      <c r="BL354" s="462">
        <f t="shared" si="90"/>
        <v>15268.079049600003</v>
      </c>
      <c r="BM354" s="462">
        <f t="shared" si="91"/>
        <v>0</v>
      </c>
      <c r="BN354" s="462">
        <f>IF(AND(AT354=1,AK354="E",AU354&gt;=0.75,AW354=1),HealthBY,IF(AND(AT354=1,AK354="E",AU354&gt;=0.75),HealthBY*P354,IF(AND(AT354=1,AK354="E",AU354&gt;=0.5,AW354=1),PTHealthBY,IF(AND(AT354=1,AK354="E",AU354&gt;=0.5),PTHealthBY*P354,0))))</f>
        <v>11300.5</v>
      </c>
      <c r="BO354" s="462">
        <f>IF(AND(AT354=3,AK354="E",AV354&gt;=0.75,AW354=1),HealthBY,IF(AND(AT354=3,AK354="E",AV354&gt;=0.75),HealthBY*P354,IF(AND(AT354=3,AK354="E",AV354&gt;=0.5,AW354=1),PTHealthBY,IF(AND(AT354=3,AK354="E",AV354&gt;=0.5),PTHealthBY*P354,0))))</f>
        <v>0</v>
      </c>
      <c r="BP354" s="462">
        <f>IF(AND(AT354&lt;&gt;0,(AX354+BA354)&gt;=MAXSSDIBY),SSDIBY*MAXSSDIBY*P354,IF(AT354&lt;&gt;0,SSDIBY*W354,0))</f>
        <v>3977.9001600000001</v>
      </c>
      <c r="BQ354" s="462">
        <f>IF(AT354&lt;&gt;0,SSHIBY*W354,0)</f>
        <v>930.31536000000006</v>
      </c>
      <c r="BR354" s="462">
        <f>IF(AND(AT354&lt;&gt;0,AN354&lt;&gt;"NE"),VLOOKUP(AN354,Retirement_Rates,4,FALSE)*W354,0)</f>
        <v>7660.6657920000007</v>
      </c>
      <c r="BS354" s="462">
        <f>IF(AND(AT354&lt;&gt;0,AJ354&lt;&gt;"PF"),LifeBY*W354,0)</f>
        <v>462.59129280000002</v>
      </c>
      <c r="BT354" s="462">
        <f>IF(AND(AT354&lt;&gt;0,AM354="Y"),UIBY*W354,0)</f>
        <v>0</v>
      </c>
      <c r="BU354" s="462">
        <f>IF(AND(AT354&lt;&gt;0,N354&lt;&gt;"NR"),DHRBY*W354,0)</f>
        <v>196.32862079999998</v>
      </c>
      <c r="BV354" s="462">
        <f>IF(AT354&lt;&gt;0,WCBY*W354,0)</f>
        <v>2226.3408960000002</v>
      </c>
      <c r="BW354" s="462">
        <f>IF(OR(AND(AT354&lt;&gt;0,AJ354&lt;&gt;"PF",AN354&lt;&gt;"NE",AG354&lt;&gt;"A"),AND(AL354="E",OR(AT354=1,AT354=3))),SickBY*W354,0)</f>
        <v>0</v>
      </c>
      <c r="BX354" s="462">
        <f t="shared" si="92"/>
        <v>15454.142121600002</v>
      </c>
      <c r="BY354" s="462">
        <f t="shared" si="93"/>
        <v>0</v>
      </c>
      <c r="BZ354" s="462">
        <f t="shared" si="94"/>
        <v>0</v>
      </c>
      <c r="CA354" s="462">
        <f t="shared" si="95"/>
        <v>0</v>
      </c>
      <c r="CB354" s="462">
        <f t="shared" si="96"/>
        <v>0</v>
      </c>
      <c r="CC354" s="462">
        <f>IF(AT354&lt;&gt;0,SSHICHG*Y354,0)</f>
        <v>0</v>
      </c>
      <c r="CD354" s="462">
        <f>IF(AND(AT354&lt;&gt;0,AN354&lt;&gt;"NE"),VLOOKUP(AN354,Retirement_Rates,5,FALSE)*Y354,0)</f>
        <v>0</v>
      </c>
      <c r="CE354" s="462">
        <f>IF(AND(AT354&lt;&gt;0,AJ354&lt;&gt;"PF"),LifeCHG*Y354,0)</f>
        <v>0</v>
      </c>
      <c r="CF354" s="462">
        <f>IF(AND(AT354&lt;&gt;0,AM354="Y"),UICHG*Y354,0)</f>
        <v>-314.38243199999999</v>
      </c>
      <c r="CG354" s="462">
        <f>IF(AND(AT354&lt;&gt;0,N354&lt;&gt;"NR"),DHRCHG*Y354,0)</f>
        <v>0</v>
      </c>
      <c r="CH354" s="462">
        <f>IF(AT354&lt;&gt;0,WCCHG*Y354,0)</f>
        <v>500.44550400000008</v>
      </c>
      <c r="CI354" s="462">
        <f>IF(OR(AND(AT354&lt;&gt;0,AJ354&lt;&gt;"PF",AN354&lt;&gt;"NE",AG354&lt;&gt;"A"),AND(AL354="E",OR(AT354=1,AT354=3))),SickCHG*Y354,0)</f>
        <v>0</v>
      </c>
      <c r="CJ354" s="462">
        <f t="shared" si="97"/>
        <v>186.06307200000009</v>
      </c>
      <c r="CK354" s="462" t="str">
        <f t="shared" si="98"/>
        <v/>
      </c>
      <c r="CL354" s="462" t="str">
        <f t="shared" si="99"/>
        <v/>
      </c>
      <c r="CM354" s="462" t="str">
        <f t="shared" si="100"/>
        <v/>
      </c>
      <c r="CN354" s="462" t="str">
        <f t="shared" si="101"/>
        <v>0348-00</v>
      </c>
    </row>
    <row r="355" spans="1:92" ht="15" thickBot="1" x14ac:dyDescent="0.35">
      <c r="A355" s="376" t="s">
        <v>161</v>
      </c>
      <c r="B355" s="376" t="s">
        <v>162</v>
      </c>
      <c r="C355" s="376" t="s">
        <v>1013</v>
      </c>
      <c r="D355" s="376" t="s">
        <v>221</v>
      </c>
      <c r="E355" s="376" t="s">
        <v>1014</v>
      </c>
      <c r="F355" s="382" t="s">
        <v>936</v>
      </c>
      <c r="G355" s="376" t="s">
        <v>1015</v>
      </c>
      <c r="H355" s="378"/>
      <c r="I355" s="378"/>
      <c r="J355" s="376" t="s">
        <v>168</v>
      </c>
      <c r="K355" s="376" t="s">
        <v>222</v>
      </c>
      <c r="L355" s="376" t="s">
        <v>166</v>
      </c>
      <c r="M355" s="376" t="s">
        <v>225</v>
      </c>
      <c r="N355" s="376" t="s">
        <v>223</v>
      </c>
      <c r="O355" s="379">
        <v>0</v>
      </c>
      <c r="P355" s="460">
        <v>1</v>
      </c>
      <c r="Q355" s="460">
        <v>0</v>
      </c>
      <c r="R355" s="380">
        <v>0</v>
      </c>
      <c r="S355" s="460">
        <v>0</v>
      </c>
      <c r="T355" s="380">
        <v>0</v>
      </c>
      <c r="U355" s="380">
        <v>0</v>
      </c>
      <c r="V355" s="380">
        <v>0</v>
      </c>
      <c r="W355" s="380">
        <v>0</v>
      </c>
      <c r="X355" s="380">
        <v>0</v>
      </c>
      <c r="Y355" s="380">
        <v>0</v>
      </c>
      <c r="Z355" s="380">
        <v>0</v>
      </c>
      <c r="AA355" s="378"/>
      <c r="AB355" s="376" t="s">
        <v>45</v>
      </c>
      <c r="AC355" s="376" t="s">
        <v>45</v>
      </c>
      <c r="AD355" s="378"/>
      <c r="AE355" s="378"/>
      <c r="AF355" s="378"/>
      <c r="AG355" s="378"/>
      <c r="AH355" s="379">
        <v>0</v>
      </c>
      <c r="AI355" s="379">
        <v>0</v>
      </c>
      <c r="AJ355" s="378"/>
      <c r="AK355" s="378"/>
      <c r="AL355" s="376" t="s">
        <v>181</v>
      </c>
      <c r="AM355" s="378"/>
      <c r="AN355" s="378"/>
      <c r="AO355" s="379">
        <v>0</v>
      </c>
      <c r="AP355" s="460">
        <v>0</v>
      </c>
      <c r="AQ355" s="460">
        <v>0</v>
      </c>
      <c r="AR355" s="459"/>
      <c r="AS355" s="462">
        <f t="shared" si="85"/>
        <v>0</v>
      </c>
      <c r="AT355">
        <f t="shared" si="86"/>
        <v>0</v>
      </c>
      <c r="AU355" s="462" t="str">
        <f>IF(AT355=0,"",IF(AND(AT355=1,M355="F",SUMIF(C2:C391,C355,AS2:AS391)&lt;=1),SUMIF(C2:C391,C355,AS2:AS391),IF(AND(AT355=1,M355="F",SUMIF(C2:C391,C355,AS2:AS391)&gt;1),1,"")))</f>
        <v/>
      </c>
      <c r="AV355" s="462" t="str">
        <f>IF(AT355=0,"",IF(AND(AT355=3,M355="F",SUMIF(C2:C391,C355,AS2:AS391)&lt;=1),SUMIF(C2:C391,C355,AS2:AS391),IF(AND(AT355=3,M355="F",SUMIF(C2:C391,C355,AS2:AS391)&gt;1),1,"")))</f>
        <v/>
      </c>
      <c r="AW355" s="462">
        <f>SUMIF(C2:C391,C355,O2:O391)</f>
        <v>0</v>
      </c>
      <c r="AX355" s="462">
        <f>IF(AND(M355="F",AS355&lt;&gt;0),SUMIF(C2:C391,C355,W2:W391),0)</f>
        <v>0</v>
      </c>
      <c r="AY355" s="462" t="str">
        <f t="shared" si="87"/>
        <v/>
      </c>
      <c r="AZ355" s="462" t="str">
        <f t="shared" si="88"/>
        <v/>
      </c>
      <c r="BA355" s="462">
        <f t="shared" si="89"/>
        <v>0</v>
      </c>
      <c r="BB355" s="462">
        <f>IF(AND(AT355=1,AK355="E",AU355&gt;=0.75,AW355=1),Health,IF(AND(AT355=1,AK355="E",AU355&gt;=0.75),Health*P355,IF(AND(AT355=1,AK355="E",AU355&gt;=0.5,AW355=1),PTHealth,IF(AND(AT355=1,AK355="E",AU355&gt;=0.5),PTHealth*P355,0))))</f>
        <v>0</v>
      </c>
      <c r="BC355" s="462">
        <f>IF(AND(AT355=3,AK355="E",AV355&gt;=0.75,AW355=1),Health,IF(AND(AT355=3,AK355="E",AV355&gt;=0.75),Health*P355,IF(AND(AT355=3,AK355="E",AV355&gt;=0.5,AW355=1),PTHealth,IF(AND(AT355=3,AK355="E",AV355&gt;=0.5),PTHealth*P355,0))))</f>
        <v>0</v>
      </c>
      <c r="BD355" s="462">
        <f>IF(AND(AT355&lt;&gt;0,AX355&gt;=MAXSSDI),SSDI*MAXSSDI*P355,IF(AT355&lt;&gt;0,SSDI*W355,0))</f>
        <v>0</v>
      </c>
      <c r="BE355" s="462">
        <f>IF(AT355&lt;&gt;0,SSHI*W355,0)</f>
        <v>0</v>
      </c>
      <c r="BF355" s="462">
        <f>IF(AND(AT355&lt;&gt;0,AN355&lt;&gt;"NE"),VLOOKUP(AN355,Retirement_Rates,3,FALSE)*W355,0)</f>
        <v>0</v>
      </c>
      <c r="BG355" s="462">
        <f>IF(AND(AT355&lt;&gt;0,AJ355&lt;&gt;"PF"),Life*W355,0)</f>
        <v>0</v>
      </c>
      <c r="BH355" s="462">
        <f>IF(AND(AT355&lt;&gt;0,AM355="Y"),UI*W355,0)</f>
        <v>0</v>
      </c>
      <c r="BI355" s="462">
        <f>IF(AND(AT355&lt;&gt;0,N355&lt;&gt;"NR"),DHR*W355,0)</f>
        <v>0</v>
      </c>
      <c r="BJ355" s="462">
        <f>IF(AT355&lt;&gt;0,WC*W355,0)</f>
        <v>0</v>
      </c>
      <c r="BK355" s="462">
        <f>IF(OR(AND(AT355&lt;&gt;0,AJ355&lt;&gt;"PF",AN355&lt;&gt;"NE",AG355&lt;&gt;"A"),AND(AL355="E",OR(AT355=1,AT355=3))),Sick*W355,0)</f>
        <v>0</v>
      </c>
      <c r="BL355" s="462">
        <f t="shared" si="90"/>
        <v>0</v>
      </c>
      <c r="BM355" s="462">
        <f t="shared" si="91"/>
        <v>0</v>
      </c>
      <c r="BN355" s="462">
        <f>IF(AND(AT355=1,AK355="E",AU355&gt;=0.75,AW355=1),HealthBY,IF(AND(AT355=1,AK355="E",AU355&gt;=0.75),HealthBY*P355,IF(AND(AT355=1,AK355="E",AU355&gt;=0.5,AW355=1),PTHealthBY,IF(AND(AT355=1,AK355="E",AU355&gt;=0.5),PTHealthBY*P355,0))))</f>
        <v>0</v>
      </c>
      <c r="BO355" s="462">
        <f>IF(AND(AT355=3,AK355="E",AV355&gt;=0.75,AW355=1),HealthBY,IF(AND(AT355=3,AK355="E",AV355&gt;=0.75),HealthBY*P355,IF(AND(AT355=3,AK355="E",AV355&gt;=0.5,AW355=1),PTHealthBY,IF(AND(AT355=3,AK355="E",AV355&gt;=0.5),PTHealthBY*P355,0))))</f>
        <v>0</v>
      </c>
      <c r="BP355" s="462">
        <f>IF(AND(AT355&lt;&gt;0,(AX355+BA355)&gt;=MAXSSDIBY),SSDIBY*MAXSSDIBY*P355,IF(AT355&lt;&gt;0,SSDIBY*W355,0))</f>
        <v>0</v>
      </c>
      <c r="BQ355" s="462">
        <f>IF(AT355&lt;&gt;0,SSHIBY*W355,0)</f>
        <v>0</v>
      </c>
      <c r="BR355" s="462">
        <f>IF(AND(AT355&lt;&gt;0,AN355&lt;&gt;"NE"),VLOOKUP(AN355,Retirement_Rates,4,FALSE)*W355,0)</f>
        <v>0</v>
      </c>
      <c r="BS355" s="462">
        <f>IF(AND(AT355&lt;&gt;0,AJ355&lt;&gt;"PF"),LifeBY*W355,0)</f>
        <v>0</v>
      </c>
      <c r="BT355" s="462">
        <f>IF(AND(AT355&lt;&gt;0,AM355="Y"),UIBY*W355,0)</f>
        <v>0</v>
      </c>
      <c r="BU355" s="462">
        <f>IF(AND(AT355&lt;&gt;0,N355&lt;&gt;"NR"),DHRBY*W355,0)</f>
        <v>0</v>
      </c>
      <c r="BV355" s="462">
        <f>IF(AT355&lt;&gt;0,WCBY*W355,0)</f>
        <v>0</v>
      </c>
      <c r="BW355" s="462">
        <f>IF(OR(AND(AT355&lt;&gt;0,AJ355&lt;&gt;"PF",AN355&lt;&gt;"NE",AG355&lt;&gt;"A"),AND(AL355="E",OR(AT355=1,AT355=3))),SickBY*W355,0)</f>
        <v>0</v>
      </c>
      <c r="BX355" s="462">
        <f t="shared" si="92"/>
        <v>0</v>
      </c>
      <c r="BY355" s="462">
        <f t="shared" si="93"/>
        <v>0</v>
      </c>
      <c r="BZ355" s="462">
        <f t="shared" si="94"/>
        <v>0</v>
      </c>
      <c r="CA355" s="462">
        <f t="shared" si="95"/>
        <v>0</v>
      </c>
      <c r="CB355" s="462">
        <f t="shared" si="96"/>
        <v>0</v>
      </c>
      <c r="CC355" s="462">
        <f>IF(AT355&lt;&gt;0,SSHICHG*Y355,0)</f>
        <v>0</v>
      </c>
      <c r="CD355" s="462">
        <f>IF(AND(AT355&lt;&gt;0,AN355&lt;&gt;"NE"),VLOOKUP(AN355,Retirement_Rates,5,FALSE)*Y355,0)</f>
        <v>0</v>
      </c>
      <c r="CE355" s="462">
        <f>IF(AND(AT355&lt;&gt;0,AJ355&lt;&gt;"PF"),LifeCHG*Y355,0)</f>
        <v>0</v>
      </c>
      <c r="CF355" s="462">
        <f>IF(AND(AT355&lt;&gt;0,AM355="Y"),UICHG*Y355,0)</f>
        <v>0</v>
      </c>
      <c r="CG355" s="462">
        <f>IF(AND(AT355&lt;&gt;0,N355&lt;&gt;"NR"),DHRCHG*Y355,0)</f>
        <v>0</v>
      </c>
      <c r="CH355" s="462">
        <f>IF(AT355&lt;&gt;0,WCCHG*Y355,0)</f>
        <v>0</v>
      </c>
      <c r="CI355" s="462">
        <f>IF(OR(AND(AT355&lt;&gt;0,AJ355&lt;&gt;"PF",AN355&lt;&gt;"NE",AG355&lt;&gt;"A"),AND(AL355="E",OR(AT355=1,AT355=3))),SickCHG*Y355,0)</f>
        <v>0</v>
      </c>
      <c r="CJ355" s="462">
        <f t="shared" si="97"/>
        <v>0</v>
      </c>
      <c r="CK355" s="462" t="str">
        <f t="shared" si="98"/>
        <v/>
      </c>
      <c r="CL355" s="462">
        <f t="shared" si="99"/>
        <v>0</v>
      </c>
      <c r="CM355" s="462">
        <f t="shared" si="100"/>
        <v>0</v>
      </c>
      <c r="CN355" s="462" t="str">
        <f t="shared" si="101"/>
        <v>0410-01</v>
      </c>
    </row>
    <row r="356" spans="1:92" ht="15" thickBot="1" x14ac:dyDescent="0.35">
      <c r="A356" s="376" t="s">
        <v>161</v>
      </c>
      <c r="B356" s="376" t="s">
        <v>162</v>
      </c>
      <c r="C356" s="376" t="s">
        <v>1016</v>
      </c>
      <c r="D356" s="376" t="s">
        <v>221</v>
      </c>
      <c r="E356" s="376" t="s">
        <v>1014</v>
      </c>
      <c r="F356" s="382" t="s">
        <v>936</v>
      </c>
      <c r="G356" s="376" t="s">
        <v>1015</v>
      </c>
      <c r="H356" s="378"/>
      <c r="I356" s="378"/>
      <c r="J356" s="376" t="s">
        <v>168</v>
      </c>
      <c r="K356" s="376" t="s">
        <v>222</v>
      </c>
      <c r="L356" s="376" t="s">
        <v>166</v>
      </c>
      <c r="M356" s="376" t="s">
        <v>225</v>
      </c>
      <c r="N356" s="376" t="s">
        <v>223</v>
      </c>
      <c r="O356" s="379">
        <v>0</v>
      </c>
      <c r="P356" s="460">
        <v>1</v>
      </c>
      <c r="Q356" s="460">
        <v>0</v>
      </c>
      <c r="R356" s="380">
        <v>0</v>
      </c>
      <c r="S356" s="460">
        <v>0</v>
      </c>
      <c r="T356" s="380">
        <v>0</v>
      </c>
      <c r="U356" s="380">
        <v>0</v>
      </c>
      <c r="V356" s="380">
        <v>0</v>
      </c>
      <c r="W356" s="380">
        <v>0</v>
      </c>
      <c r="X356" s="380">
        <v>0</v>
      </c>
      <c r="Y356" s="380">
        <v>0</v>
      </c>
      <c r="Z356" s="380">
        <v>0</v>
      </c>
      <c r="AA356" s="378"/>
      <c r="AB356" s="376" t="s">
        <v>45</v>
      </c>
      <c r="AC356" s="376" t="s">
        <v>45</v>
      </c>
      <c r="AD356" s="378"/>
      <c r="AE356" s="378"/>
      <c r="AF356" s="378"/>
      <c r="AG356" s="378"/>
      <c r="AH356" s="379">
        <v>0</v>
      </c>
      <c r="AI356" s="379">
        <v>0</v>
      </c>
      <c r="AJ356" s="378"/>
      <c r="AK356" s="378"/>
      <c r="AL356" s="376" t="s">
        <v>181</v>
      </c>
      <c r="AM356" s="378"/>
      <c r="AN356" s="378"/>
      <c r="AO356" s="379">
        <v>0</v>
      </c>
      <c r="AP356" s="460">
        <v>0</v>
      </c>
      <c r="AQ356" s="460">
        <v>0</v>
      </c>
      <c r="AR356" s="459"/>
      <c r="AS356" s="462">
        <f t="shared" si="85"/>
        <v>0</v>
      </c>
      <c r="AT356">
        <f t="shared" si="86"/>
        <v>0</v>
      </c>
      <c r="AU356" s="462" t="str">
        <f>IF(AT356=0,"",IF(AND(AT356=1,M356="F",SUMIF(C2:C391,C356,AS2:AS391)&lt;=1),SUMIF(C2:C391,C356,AS2:AS391),IF(AND(AT356=1,M356="F",SUMIF(C2:C391,C356,AS2:AS391)&gt;1),1,"")))</f>
        <v/>
      </c>
      <c r="AV356" s="462" t="str">
        <f>IF(AT356=0,"",IF(AND(AT356=3,M356="F",SUMIF(C2:C391,C356,AS2:AS391)&lt;=1),SUMIF(C2:C391,C356,AS2:AS391),IF(AND(AT356=3,M356="F",SUMIF(C2:C391,C356,AS2:AS391)&gt;1),1,"")))</f>
        <v/>
      </c>
      <c r="AW356" s="462">
        <f>SUMIF(C2:C391,C356,O2:O391)</f>
        <v>0</v>
      </c>
      <c r="AX356" s="462">
        <f>IF(AND(M356="F",AS356&lt;&gt;0),SUMIF(C2:C391,C356,W2:W391),0)</f>
        <v>0</v>
      </c>
      <c r="AY356" s="462" t="str">
        <f t="shared" si="87"/>
        <v/>
      </c>
      <c r="AZ356" s="462" t="str">
        <f t="shared" si="88"/>
        <v/>
      </c>
      <c r="BA356" s="462">
        <f t="shared" si="89"/>
        <v>0</v>
      </c>
      <c r="BB356" s="462">
        <f>IF(AND(AT356=1,AK356="E",AU356&gt;=0.75,AW356=1),Health,IF(AND(AT356=1,AK356="E",AU356&gt;=0.75),Health*P356,IF(AND(AT356=1,AK356="E",AU356&gt;=0.5,AW356=1),PTHealth,IF(AND(AT356=1,AK356="E",AU356&gt;=0.5),PTHealth*P356,0))))</f>
        <v>0</v>
      </c>
      <c r="BC356" s="462">
        <f>IF(AND(AT356=3,AK356="E",AV356&gt;=0.75,AW356=1),Health,IF(AND(AT356=3,AK356="E",AV356&gt;=0.75),Health*P356,IF(AND(AT356=3,AK356="E",AV356&gt;=0.5,AW356=1),PTHealth,IF(AND(AT356=3,AK356="E",AV356&gt;=0.5),PTHealth*P356,0))))</f>
        <v>0</v>
      </c>
      <c r="BD356" s="462">
        <f>IF(AND(AT356&lt;&gt;0,AX356&gt;=MAXSSDI),SSDI*MAXSSDI*P356,IF(AT356&lt;&gt;0,SSDI*W356,0))</f>
        <v>0</v>
      </c>
      <c r="BE356" s="462">
        <f>IF(AT356&lt;&gt;0,SSHI*W356,0)</f>
        <v>0</v>
      </c>
      <c r="BF356" s="462">
        <f>IF(AND(AT356&lt;&gt;0,AN356&lt;&gt;"NE"),VLOOKUP(AN356,Retirement_Rates,3,FALSE)*W356,0)</f>
        <v>0</v>
      </c>
      <c r="BG356" s="462">
        <f>IF(AND(AT356&lt;&gt;0,AJ356&lt;&gt;"PF"),Life*W356,0)</f>
        <v>0</v>
      </c>
      <c r="BH356" s="462">
        <f>IF(AND(AT356&lt;&gt;0,AM356="Y"),UI*W356,0)</f>
        <v>0</v>
      </c>
      <c r="BI356" s="462">
        <f>IF(AND(AT356&lt;&gt;0,N356&lt;&gt;"NR"),DHR*W356,0)</f>
        <v>0</v>
      </c>
      <c r="BJ356" s="462">
        <f>IF(AT356&lt;&gt;0,WC*W356,0)</f>
        <v>0</v>
      </c>
      <c r="BK356" s="462">
        <f>IF(OR(AND(AT356&lt;&gt;0,AJ356&lt;&gt;"PF",AN356&lt;&gt;"NE",AG356&lt;&gt;"A"),AND(AL356="E",OR(AT356=1,AT356=3))),Sick*W356,0)</f>
        <v>0</v>
      </c>
      <c r="BL356" s="462">
        <f t="shared" si="90"/>
        <v>0</v>
      </c>
      <c r="BM356" s="462">
        <f t="shared" si="91"/>
        <v>0</v>
      </c>
      <c r="BN356" s="462">
        <f>IF(AND(AT356=1,AK356="E",AU356&gt;=0.75,AW356=1),HealthBY,IF(AND(AT356=1,AK356="E",AU356&gt;=0.75),HealthBY*P356,IF(AND(AT356=1,AK356="E",AU356&gt;=0.5,AW356=1),PTHealthBY,IF(AND(AT356=1,AK356="E",AU356&gt;=0.5),PTHealthBY*P356,0))))</f>
        <v>0</v>
      </c>
      <c r="BO356" s="462">
        <f>IF(AND(AT356=3,AK356="E",AV356&gt;=0.75,AW356=1),HealthBY,IF(AND(AT356=3,AK356="E",AV356&gt;=0.75),HealthBY*P356,IF(AND(AT356=3,AK356="E",AV356&gt;=0.5,AW356=1),PTHealthBY,IF(AND(AT356=3,AK356="E",AV356&gt;=0.5),PTHealthBY*P356,0))))</f>
        <v>0</v>
      </c>
      <c r="BP356" s="462">
        <f>IF(AND(AT356&lt;&gt;0,(AX356+BA356)&gt;=MAXSSDIBY),SSDIBY*MAXSSDIBY*P356,IF(AT356&lt;&gt;0,SSDIBY*W356,0))</f>
        <v>0</v>
      </c>
      <c r="BQ356" s="462">
        <f>IF(AT356&lt;&gt;0,SSHIBY*W356,0)</f>
        <v>0</v>
      </c>
      <c r="BR356" s="462">
        <f>IF(AND(AT356&lt;&gt;0,AN356&lt;&gt;"NE"),VLOOKUP(AN356,Retirement_Rates,4,FALSE)*W356,0)</f>
        <v>0</v>
      </c>
      <c r="BS356" s="462">
        <f>IF(AND(AT356&lt;&gt;0,AJ356&lt;&gt;"PF"),LifeBY*W356,0)</f>
        <v>0</v>
      </c>
      <c r="BT356" s="462">
        <f>IF(AND(AT356&lt;&gt;0,AM356="Y"),UIBY*W356,0)</f>
        <v>0</v>
      </c>
      <c r="BU356" s="462">
        <f>IF(AND(AT356&lt;&gt;0,N356&lt;&gt;"NR"),DHRBY*W356,0)</f>
        <v>0</v>
      </c>
      <c r="BV356" s="462">
        <f>IF(AT356&lt;&gt;0,WCBY*W356,0)</f>
        <v>0</v>
      </c>
      <c r="BW356" s="462">
        <f>IF(OR(AND(AT356&lt;&gt;0,AJ356&lt;&gt;"PF",AN356&lt;&gt;"NE",AG356&lt;&gt;"A"),AND(AL356="E",OR(AT356=1,AT356=3))),SickBY*W356,0)</f>
        <v>0</v>
      </c>
      <c r="BX356" s="462">
        <f t="shared" si="92"/>
        <v>0</v>
      </c>
      <c r="BY356" s="462">
        <f t="shared" si="93"/>
        <v>0</v>
      </c>
      <c r="BZ356" s="462">
        <f t="shared" si="94"/>
        <v>0</v>
      </c>
      <c r="CA356" s="462">
        <f t="shared" si="95"/>
        <v>0</v>
      </c>
      <c r="CB356" s="462">
        <f t="shared" si="96"/>
        <v>0</v>
      </c>
      <c r="CC356" s="462">
        <f>IF(AT356&lt;&gt;0,SSHICHG*Y356,0)</f>
        <v>0</v>
      </c>
      <c r="CD356" s="462">
        <f>IF(AND(AT356&lt;&gt;0,AN356&lt;&gt;"NE"),VLOOKUP(AN356,Retirement_Rates,5,FALSE)*Y356,0)</f>
        <v>0</v>
      </c>
      <c r="CE356" s="462">
        <f>IF(AND(AT356&lt;&gt;0,AJ356&lt;&gt;"PF"),LifeCHG*Y356,0)</f>
        <v>0</v>
      </c>
      <c r="CF356" s="462">
        <f>IF(AND(AT356&lt;&gt;0,AM356="Y"),UICHG*Y356,0)</f>
        <v>0</v>
      </c>
      <c r="CG356" s="462">
        <f>IF(AND(AT356&lt;&gt;0,N356&lt;&gt;"NR"),DHRCHG*Y356,0)</f>
        <v>0</v>
      </c>
      <c r="CH356" s="462">
        <f>IF(AT356&lt;&gt;0,WCCHG*Y356,0)</f>
        <v>0</v>
      </c>
      <c r="CI356" s="462">
        <f>IF(OR(AND(AT356&lt;&gt;0,AJ356&lt;&gt;"PF",AN356&lt;&gt;"NE",AG356&lt;&gt;"A"),AND(AL356="E",OR(AT356=1,AT356=3))),SickCHG*Y356,0)</f>
        <v>0</v>
      </c>
      <c r="CJ356" s="462">
        <f t="shared" si="97"/>
        <v>0</v>
      </c>
      <c r="CK356" s="462" t="str">
        <f t="shared" si="98"/>
        <v/>
      </c>
      <c r="CL356" s="462">
        <f t="shared" si="99"/>
        <v>0</v>
      </c>
      <c r="CM356" s="462">
        <f t="shared" si="100"/>
        <v>0</v>
      </c>
      <c r="CN356" s="462" t="str">
        <f t="shared" si="101"/>
        <v>0410-01</v>
      </c>
    </row>
    <row r="357" spans="1:92" ht="15" thickBot="1" x14ac:dyDescent="0.35">
      <c r="A357" s="376" t="s">
        <v>161</v>
      </c>
      <c r="B357" s="376" t="s">
        <v>162</v>
      </c>
      <c r="C357" s="376" t="s">
        <v>610</v>
      </c>
      <c r="D357" s="376" t="s">
        <v>221</v>
      </c>
      <c r="E357" s="376" t="s">
        <v>1014</v>
      </c>
      <c r="F357" s="382" t="s">
        <v>936</v>
      </c>
      <c r="G357" s="376" t="s">
        <v>1015</v>
      </c>
      <c r="H357" s="378"/>
      <c r="I357" s="378"/>
      <c r="J357" s="376" t="s">
        <v>168</v>
      </c>
      <c r="K357" s="376" t="s">
        <v>222</v>
      </c>
      <c r="L357" s="376" t="s">
        <v>166</v>
      </c>
      <c r="M357" s="376" t="s">
        <v>171</v>
      </c>
      <c r="N357" s="376" t="s">
        <v>223</v>
      </c>
      <c r="O357" s="379">
        <v>0</v>
      </c>
      <c r="P357" s="460">
        <v>1</v>
      </c>
      <c r="Q357" s="460">
        <v>0</v>
      </c>
      <c r="R357" s="380">
        <v>0</v>
      </c>
      <c r="S357" s="460">
        <v>0</v>
      </c>
      <c r="T357" s="380">
        <v>72322.37</v>
      </c>
      <c r="U357" s="380">
        <v>1785</v>
      </c>
      <c r="V357" s="380">
        <v>9387.52</v>
      </c>
      <c r="W357" s="380">
        <v>89939</v>
      </c>
      <c r="X357" s="380">
        <v>11455.89</v>
      </c>
      <c r="Y357" s="380">
        <v>89939</v>
      </c>
      <c r="Z357" s="380">
        <v>11455.89</v>
      </c>
      <c r="AA357" s="378"/>
      <c r="AB357" s="376" t="s">
        <v>45</v>
      </c>
      <c r="AC357" s="376" t="s">
        <v>45</v>
      </c>
      <c r="AD357" s="378"/>
      <c r="AE357" s="378"/>
      <c r="AF357" s="378"/>
      <c r="AG357" s="378"/>
      <c r="AH357" s="379">
        <v>0</v>
      </c>
      <c r="AI357" s="379">
        <v>0</v>
      </c>
      <c r="AJ357" s="378"/>
      <c r="AK357" s="378"/>
      <c r="AL357" s="376" t="s">
        <v>181</v>
      </c>
      <c r="AM357" s="378"/>
      <c r="AN357" s="378"/>
      <c r="AO357" s="379">
        <v>0</v>
      </c>
      <c r="AP357" s="460">
        <v>0</v>
      </c>
      <c r="AQ357" s="460">
        <v>0</v>
      </c>
      <c r="AR357" s="459"/>
      <c r="AS357" s="462">
        <f t="shared" si="85"/>
        <v>0</v>
      </c>
      <c r="AT357">
        <f t="shared" si="86"/>
        <v>0</v>
      </c>
      <c r="AU357" s="462" t="str">
        <f>IF(AT357=0,"",IF(AND(AT357=1,M357="F",SUMIF(C2:C391,C357,AS2:AS391)&lt;=1),SUMIF(C2:C391,C357,AS2:AS391),IF(AND(AT357=1,M357="F",SUMIF(C2:C391,C357,AS2:AS391)&gt;1),1,"")))</f>
        <v/>
      </c>
      <c r="AV357" s="462" t="str">
        <f>IF(AT357=0,"",IF(AND(AT357=3,M357="F",SUMIF(C2:C391,C357,AS2:AS391)&lt;=1),SUMIF(C2:C391,C357,AS2:AS391),IF(AND(AT357=3,M357="F",SUMIF(C2:C391,C357,AS2:AS391)&gt;1),1,"")))</f>
        <v/>
      </c>
      <c r="AW357" s="462">
        <f>SUMIF(C2:C391,C357,O2:O391)</f>
        <v>0</v>
      </c>
      <c r="AX357" s="462">
        <f>IF(AND(M357="F",AS357&lt;&gt;0),SUMIF(C2:C391,C357,W2:W391),0)</f>
        <v>0</v>
      </c>
      <c r="AY357" s="462" t="str">
        <f t="shared" si="87"/>
        <v/>
      </c>
      <c r="AZ357" s="462" t="str">
        <f t="shared" si="88"/>
        <v/>
      </c>
      <c r="BA357" s="462">
        <f t="shared" si="89"/>
        <v>0</v>
      </c>
      <c r="BB357" s="462">
        <f>IF(AND(AT357=1,AK357="E",AU357&gt;=0.75,AW357=1),Health,IF(AND(AT357=1,AK357="E",AU357&gt;=0.75),Health*P357,IF(AND(AT357=1,AK357="E",AU357&gt;=0.5,AW357=1),PTHealth,IF(AND(AT357=1,AK357="E",AU357&gt;=0.5),PTHealth*P357,0))))</f>
        <v>0</v>
      </c>
      <c r="BC357" s="462">
        <f>IF(AND(AT357=3,AK357="E",AV357&gt;=0.75,AW357=1),Health,IF(AND(AT357=3,AK357="E",AV357&gt;=0.75),Health*P357,IF(AND(AT357=3,AK357="E",AV357&gt;=0.5,AW357=1),PTHealth,IF(AND(AT357=3,AK357="E",AV357&gt;=0.5),PTHealth*P357,0))))</f>
        <v>0</v>
      </c>
      <c r="BD357" s="462">
        <f>IF(AND(AT357&lt;&gt;0,AX357&gt;=MAXSSDI),SSDI*MAXSSDI*P357,IF(AT357&lt;&gt;0,SSDI*W357,0))</f>
        <v>0</v>
      </c>
      <c r="BE357" s="462">
        <f>IF(AT357&lt;&gt;0,SSHI*W357,0)</f>
        <v>0</v>
      </c>
      <c r="BF357" s="462">
        <f>IF(AND(AT357&lt;&gt;0,AN357&lt;&gt;"NE"),VLOOKUP(AN357,Retirement_Rates,3,FALSE)*W357,0)</f>
        <v>0</v>
      </c>
      <c r="BG357" s="462">
        <f>IF(AND(AT357&lt;&gt;0,AJ357&lt;&gt;"PF"),Life*W357,0)</f>
        <v>0</v>
      </c>
      <c r="BH357" s="462">
        <f>IF(AND(AT357&lt;&gt;0,AM357="Y"),UI*W357,0)</f>
        <v>0</v>
      </c>
      <c r="BI357" s="462">
        <f>IF(AND(AT357&lt;&gt;0,N357&lt;&gt;"NR"),DHR*W357,0)</f>
        <v>0</v>
      </c>
      <c r="BJ357" s="462">
        <f>IF(AT357&lt;&gt;0,WC*W357,0)</f>
        <v>0</v>
      </c>
      <c r="BK357" s="462">
        <f>IF(OR(AND(AT357&lt;&gt;0,AJ357&lt;&gt;"PF",AN357&lt;&gt;"NE",AG357&lt;&gt;"A"),AND(AL357="E",OR(AT357=1,AT357=3))),Sick*W357,0)</f>
        <v>0</v>
      </c>
      <c r="BL357" s="462">
        <f t="shared" si="90"/>
        <v>0</v>
      </c>
      <c r="BM357" s="462">
        <f t="shared" si="91"/>
        <v>0</v>
      </c>
      <c r="BN357" s="462">
        <f>IF(AND(AT357=1,AK357="E",AU357&gt;=0.75,AW357=1),HealthBY,IF(AND(AT357=1,AK357="E",AU357&gt;=0.75),HealthBY*P357,IF(AND(AT357=1,AK357="E",AU357&gt;=0.5,AW357=1),PTHealthBY,IF(AND(AT357=1,AK357="E",AU357&gt;=0.5),PTHealthBY*P357,0))))</f>
        <v>0</v>
      </c>
      <c r="BO357" s="462">
        <f>IF(AND(AT357=3,AK357="E",AV357&gt;=0.75,AW357=1),HealthBY,IF(AND(AT357=3,AK357="E",AV357&gt;=0.75),HealthBY*P357,IF(AND(AT357=3,AK357="E",AV357&gt;=0.5,AW357=1),PTHealthBY,IF(AND(AT357=3,AK357="E",AV357&gt;=0.5),PTHealthBY*P357,0))))</f>
        <v>0</v>
      </c>
      <c r="BP357" s="462">
        <f>IF(AND(AT357&lt;&gt;0,(AX357+BA357)&gt;=MAXSSDIBY),SSDIBY*MAXSSDIBY*P357,IF(AT357&lt;&gt;0,SSDIBY*W357,0))</f>
        <v>0</v>
      </c>
      <c r="BQ357" s="462">
        <f>IF(AT357&lt;&gt;0,SSHIBY*W357,0)</f>
        <v>0</v>
      </c>
      <c r="BR357" s="462">
        <f>IF(AND(AT357&lt;&gt;0,AN357&lt;&gt;"NE"),VLOOKUP(AN357,Retirement_Rates,4,FALSE)*W357,0)</f>
        <v>0</v>
      </c>
      <c r="BS357" s="462">
        <f>IF(AND(AT357&lt;&gt;0,AJ357&lt;&gt;"PF"),LifeBY*W357,0)</f>
        <v>0</v>
      </c>
      <c r="BT357" s="462">
        <f>IF(AND(AT357&lt;&gt;0,AM357="Y"),UIBY*W357,0)</f>
        <v>0</v>
      </c>
      <c r="BU357" s="462">
        <f>IF(AND(AT357&lt;&gt;0,N357&lt;&gt;"NR"),DHRBY*W357,0)</f>
        <v>0</v>
      </c>
      <c r="BV357" s="462">
        <f>IF(AT357&lt;&gt;0,WCBY*W357,0)</f>
        <v>0</v>
      </c>
      <c r="BW357" s="462">
        <f>IF(OR(AND(AT357&lt;&gt;0,AJ357&lt;&gt;"PF",AN357&lt;&gt;"NE",AG357&lt;&gt;"A"),AND(AL357="E",OR(AT357=1,AT357=3))),SickBY*W357,0)</f>
        <v>0</v>
      </c>
      <c r="BX357" s="462">
        <f t="shared" si="92"/>
        <v>0</v>
      </c>
      <c r="BY357" s="462">
        <f t="shared" si="93"/>
        <v>0</v>
      </c>
      <c r="BZ357" s="462">
        <f t="shared" si="94"/>
        <v>0</v>
      </c>
      <c r="CA357" s="462">
        <f t="shared" si="95"/>
        <v>0</v>
      </c>
      <c r="CB357" s="462">
        <f t="shared" si="96"/>
        <v>0</v>
      </c>
      <c r="CC357" s="462">
        <f>IF(AT357&lt;&gt;0,SSHICHG*Y357,0)</f>
        <v>0</v>
      </c>
      <c r="CD357" s="462">
        <f>IF(AND(AT357&lt;&gt;0,AN357&lt;&gt;"NE"),VLOOKUP(AN357,Retirement_Rates,5,FALSE)*Y357,0)</f>
        <v>0</v>
      </c>
      <c r="CE357" s="462">
        <f>IF(AND(AT357&lt;&gt;0,AJ357&lt;&gt;"PF"),LifeCHG*Y357,0)</f>
        <v>0</v>
      </c>
      <c r="CF357" s="462">
        <f>IF(AND(AT357&lt;&gt;0,AM357="Y"),UICHG*Y357,0)</f>
        <v>0</v>
      </c>
      <c r="CG357" s="462">
        <f>IF(AND(AT357&lt;&gt;0,N357&lt;&gt;"NR"),DHRCHG*Y357,0)</f>
        <v>0</v>
      </c>
      <c r="CH357" s="462">
        <f>IF(AT357&lt;&gt;0,WCCHG*Y357,0)</f>
        <v>0</v>
      </c>
      <c r="CI357" s="462">
        <f>IF(OR(AND(AT357&lt;&gt;0,AJ357&lt;&gt;"PF",AN357&lt;&gt;"NE",AG357&lt;&gt;"A"),AND(AL357="E",OR(AT357=1,AT357=3))),SickCHG*Y357,0)</f>
        <v>0</v>
      </c>
      <c r="CJ357" s="462">
        <f t="shared" si="97"/>
        <v>0</v>
      </c>
      <c r="CK357" s="462" t="str">
        <f t="shared" si="98"/>
        <v/>
      </c>
      <c r="CL357" s="462">
        <f t="shared" si="99"/>
        <v>74107.37</v>
      </c>
      <c r="CM357" s="462">
        <f t="shared" si="100"/>
        <v>9387.52</v>
      </c>
      <c r="CN357" s="462" t="str">
        <f t="shared" si="101"/>
        <v>0410-01</v>
      </c>
    </row>
    <row r="358" spans="1:92" ht="15" thickBot="1" x14ac:dyDescent="0.35">
      <c r="A358" s="376" t="s">
        <v>161</v>
      </c>
      <c r="B358" s="376" t="s">
        <v>162</v>
      </c>
      <c r="C358" s="376" t="s">
        <v>1017</v>
      </c>
      <c r="D358" s="376" t="s">
        <v>221</v>
      </c>
      <c r="E358" s="376" t="s">
        <v>1014</v>
      </c>
      <c r="F358" s="382" t="s">
        <v>936</v>
      </c>
      <c r="G358" s="376" t="s">
        <v>1015</v>
      </c>
      <c r="H358" s="378"/>
      <c r="I358" s="378"/>
      <c r="J358" s="376" t="s">
        <v>168</v>
      </c>
      <c r="K358" s="376" t="s">
        <v>222</v>
      </c>
      <c r="L358" s="376" t="s">
        <v>166</v>
      </c>
      <c r="M358" s="376" t="s">
        <v>171</v>
      </c>
      <c r="N358" s="376" t="s">
        <v>223</v>
      </c>
      <c r="O358" s="379">
        <v>0</v>
      </c>
      <c r="P358" s="460">
        <v>1</v>
      </c>
      <c r="Q358" s="460">
        <v>0</v>
      </c>
      <c r="R358" s="380">
        <v>0</v>
      </c>
      <c r="S358" s="460">
        <v>0</v>
      </c>
      <c r="T358" s="380">
        <v>63235.88</v>
      </c>
      <c r="U358" s="380">
        <v>3439.37</v>
      </c>
      <c r="V358" s="380">
        <v>8514.59</v>
      </c>
      <c r="W358" s="380">
        <v>66675.25</v>
      </c>
      <c r="X358" s="380">
        <v>8514.59</v>
      </c>
      <c r="Y358" s="380">
        <v>66675.25</v>
      </c>
      <c r="Z358" s="380">
        <v>8514.59</v>
      </c>
      <c r="AA358" s="378"/>
      <c r="AB358" s="376" t="s">
        <v>45</v>
      </c>
      <c r="AC358" s="376" t="s">
        <v>45</v>
      </c>
      <c r="AD358" s="378"/>
      <c r="AE358" s="378"/>
      <c r="AF358" s="378"/>
      <c r="AG358" s="378"/>
      <c r="AH358" s="379">
        <v>0</v>
      </c>
      <c r="AI358" s="379">
        <v>0</v>
      </c>
      <c r="AJ358" s="378"/>
      <c r="AK358" s="378"/>
      <c r="AL358" s="376" t="s">
        <v>181</v>
      </c>
      <c r="AM358" s="378"/>
      <c r="AN358" s="378"/>
      <c r="AO358" s="379">
        <v>0</v>
      </c>
      <c r="AP358" s="460">
        <v>0</v>
      </c>
      <c r="AQ358" s="460">
        <v>0</v>
      </c>
      <c r="AR358" s="459"/>
      <c r="AS358" s="462">
        <f t="shared" si="85"/>
        <v>0</v>
      </c>
      <c r="AT358">
        <f t="shared" si="86"/>
        <v>0</v>
      </c>
      <c r="AU358" s="462" t="str">
        <f>IF(AT358=0,"",IF(AND(AT358=1,M358="F",SUMIF(C2:C391,C358,AS2:AS391)&lt;=1),SUMIF(C2:C391,C358,AS2:AS391),IF(AND(AT358=1,M358="F",SUMIF(C2:C391,C358,AS2:AS391)&gt;1),1,"")))</f>
        <v/>
      </c>
      <c r="AV358" s="462" t="str">
        <f>IF(AT358=0,"",IF(AND(AT358=3,M358="F",SUMIF(C2:C391,C358,AS2:AS391)&lt;=1),SUMIF(C2:C391,C358,AS2:AS391),IF(AND(AT358=3,M358="F",SUMIF(C2:C391,C358,AS2:AS391)&gt;1),1,"")))</f>
        <v/>
      </c>
      <c r="AW358" s="462">
        <f>SUMIF(C2:C391,C358,O2:O391)</f>
        <v>0</v>
      </c>
      <c r="AX358" s="462">
        <f>IF(AND(M358="F",AS358&lt;&gt;0),SUMIF(C2:C391,C358,W2:W391),0)</f>
        <v>0</v>
      </c>
      <c r="AY358" s="462" t="str">
        <f t="shared" si="87"/>
        <v/>
      </c>
      <c r="AZ358" s="462" t="str">
        <f t="shared" si="88"/>
        <v/>
      </c>
      <c r="BA358" s="462">
        <f t="shared" si="89"/>
        <v>0</v>
      </c>
      <c r="BB358" s="462">
        <f>IF(AND(AT358=1,AK358="E",AU358&gt;=0.75,AW358=1),Health,IF(AND(AT358=1,AK358="E",AU358&gt;=0.75),Health*P358,IF(AND(AT358=1,AK358="E",AU358&gt;=0.5,AW358=1),PTHealth,IF(AND(AT358=1,AK358="E",AU358&gt;=0.5),PTHealth*P358,0))))</f>
        <v>0</v>
      </c>
      <c r="BC358" s="462">
        <f>IF(AND(AT358=3,AK358="E",AV358&gt;=0.75,AW358=1),Health,IF(AND(AT358=3,AK358="E",AV358&gt;=0.75),Health*P358,IF(AND(AT358=3,AK358="E",AV358&gt;=0.5,AW358=1),PTHealth,IF(AND(AT358=3,AK358="E",AV358&gt;=0.5),PTHealth*P358,0))))</f>
        <v>0</v>
      </c>
      <c r="BD358" s="462">
        <f>IF(AND(AT358&lt;&gt;0,AX358&gt;=MAXSSDI),SSDI*MAXSSDI*P358,IF(AT358&lt;&gt;0,SSDI*W358,0))</f>
        <v>0</v>
      </c>
      <c r="BE358" s="462">
        <f>IF(AT358&lt;&gt;0,SSHI*W358,0)</f>
        <v>0</v>
      </c>
      <c r="BF358" s="462">
        <f>IF(AND(AT358&lt;&gt;0,AN358&lt;&gt;"NE"),VLOOKUP(AN358,Retirement_Rates,3,FALSE)*W358,0)</f>
        <v>0</v>
      </c>
      <c r="BG358" s="462">
        <f>IF(AND(AT358&lt;&gt;0,AJ358&lt;&gt;"PF"),Life*W358,0)</f>
        <v>0</v>
      </c>
      <c r="BH358" s="462">
        <f>IF(AND(AT358&lt;&gt;0,AM358="Y"),UI*W358,0)</f>
        <v>0</v>
      </c>
      <c r="BI358" s="462">
        <f>IF(AND(AT358&lt;&gt;0,N358&lt;&gt;"NR"),DHR*W358,0)</f>
        <v>0</v>
      </c>
      <c r="BJ358" s="462">
        <f>IF(AT358&lt;&gt;0,WC*W358,0)</f>
        <v>0</v>
      </c>
      <c r="BK358" s="462">
        <f>IF(OR(AND(AT358&lt;&gt;0,AJ358&lt;&gt;"PF",AN358&lt;&gt;"NE",AG358&lt;&gt;"A"),AND(AL358="E",OR(AT358=1,AT358=3))),Sick*W358,0)</f>
        <v>0</v>
      </c>
      <c r="BL358" s="462">
        <f t="shared" si="90"/>
        <v>0</v>
      </c>
      <c r="BM358" s="462">
        <f t="shared" si="91"/>
        <v>0</v>
      </c>
      <c r="BN358" s="462">
        <f>IF(AND(AT358=1,AK358="E",AU358&gt;=0.75,AW358=1),HealthBY,IF(AND(AT358=1,AK358="E",AU358&gt;=0.75),HealthBY*P358,IF(AND(AT358=1,AK358="E",AU358&gt;=0.5,AW358=1),PTHealthBY,IF(AND(AT358=1,AK358="E",AU358&gt;=0.5),PTHealthBY*P358,0))))</f>
        <v>0</v>
      </c>
      <c r="BO358" s="462">
        <f>IF(AND(AT358=3,AK358="E",AV358&gt;=0.75,AW358=1),HealthBY,IF(AND(AT358=3,AK358="E",AV358&gt;=0.75),HealthBY*P358,IF(AND(AT358=3,AK358="E",AV358&gt;=0.5,AW358=1),PTHealthBY,IF(AND(AT358=3,AK358="E",AV358&gt;=0.5),PTHealthBY*P358,0))))</f>
        <v>0</v>
      </c>
      <c r="BP358" s="462">
        <f>IF(AND(AT358&lt;&gt;0,(AX358+BA358)&gt;=MAXSSDIBY),SSDIBY*MAXSSDIBY*P358,IF(AT358&lt;&gt;0,SSDIBY*W358,0))</f>
        <v>0</v>
      </c>
      <c r="BQ358" s="462">
        <f>IF(AT358&lt;&gt;0,SSHIBY*W358,0)</f>
        <v>0</v>
      </c>
      <c r="BR358" s="462">
        <f>IF(AND(AT358&lt;&gt;0,AN358&lt;&gt;"NE"),VLOOKUP(AN358,Retirement_Rates,4,FALSE)*W358,0)</f>
        <v>0</v>
      </c>
      <c r="BS358" s="462">
        <f>IF(AND(AT358&lt;&gt;0,AJ358&lt;&gt;"PF"),LifeBY*W358,0)</f>
        <v>0</v>
      </c>
      <c r="BT358" s="462">
        <f>IF(AND(AT358&lt;&gt;0,AM358="Y"),UIBY*W358,0)</f>
        <v>0</v>
      </c>
      <c r="BU358" s="462">
        <f>IF(AND(AT358&lt;&gt;0,N358&lt;&gt;"NR"),DHRBY*W358,0)</f>
        <v>0</v>
      </c>
      <c r="BV358" s="462">
        <f>IF(AT358&lt;&gt;0,WCBY*W358,0)</f>
        <v>0</v>
      </c>
      <c r="BW358" s="462">
        <f>IF(OR(AND(AT358&lt;&gt;0,AJ358&lt;&gt;"PF",AN358&lt;&gt;"NE",AG358&lt;&gt;"A"),AND(AL358="E",OR(AT358=1,AT358=3))),SickBY*W358,0)</f>
        <v>0</v>
      </c>
      <c r="BX358" s="462">
        <f t="shared" si="92"/>
        <v>0</v>
      </c>
      <c r="BY358" s="462">
        <f t="shared" si="93"/>
        <v>0</v>
      </c>
      <c r="BZ358" s="462">
        <f t="shared" si="94"/>
        <v>0</v>
      </c>
      <c r="CA358" s="462">
        <f t="shared" si="95"/>
        <v>0</v>
      </c>
      <c r="CB358" s="462">
        <f t="shared" si="96"/>
        <v>0</v>
      </c>
      <c r="CC358" s="462">
        <f>IF(AT358&lt;&gt;0,SSHICHG*Y358,0)</f>
        <v>0</v>
      </c>
      <c r="CD358" s="462">
        <f>IF(AND(AT358&lt;&gt;0,AN358&lt;&gt;"NE"),VLOOKUP(AN358,Retirement_Rates,5,FALSE)*Y358,0)</f>
        <v>0</v>
      </c>
      <c r="CE358" s="462">
        <f>IF(AND(AT358&lt;&gt;0,AJ358&lt;&gt;"PF"),LifeCHG*Y358,0)</f>
        <v>0</v>
      </c>
      <c r="CF358" s="462">
        <f>IF(AND(AT358&lt;&gt;0,AM358="Y"),UICHG*Y358,0)</f>
        <v>0</v>
      </c>
      <c r="CG358" s="462">
        <f>IF(AND(AT358&lt;&gt;0,N358&lt;&gt;"NR"),DHRCHG*Y358,0)</f>
        <v>0</v>
      </c>
      <c r="CH358" s="462">
        <f>IF(AT358&lt;&gt;0,WCCHG*Y358,0)</f>
        <v>0</v>
      </c>
      <c r="CI358" s="462">
        <f>IF(OR(AND(AT358&lt;&gt;0,AJ358&lt;&gt;"PF",AN358&lt;&gt;"NE",AG358&lt;&gt;"A"),AND(AL358="E",OR(AT358=1,AT358=3))),SickCHG*Y358,0)</f>
        <v>0</v>
      </c>
      <c r="CJ358" s="462">
        <f t="shared" si="97"/>
        <v>0</v>
      </c>
      <c r="CK358" s="462" t="str">
        <f t="shared" si="98"/>
        <v/>
      </c>
      <c r="CL358" s="462">
        <f t="shared" si="99"/>
        <v>66675.25</v>
      </c>
      <c r="CM358" s="462">
        <f t="shared" si="100"/>
        <v>8514.59</v>
      </c>
      <c r="CN358" s="462" t="str">
        <f t="shared" si="101"/>
        <v>0410-01</v>
      </c>
    </row>
    <row r="359" spans="1:92" ht="15" thickBot="1" x14ac:dyDescent="0.35">
      <c r="A359" s="376" t="s">
        <v>161</v>
      </c>
      <c r="B359" s="376" t="s">
        <v>162</v>
      </c>
      <c r="C359" s="376" t="s">
        <v>1018</v>
      </c>
      <c r="D359" s="376" t="s">
        <v>221</v>
      </c>
      <c r="E359" s="376" t="s">
        <v>1014</v>
      </c>
      <c r="F359" s="382" t="s">
        <v>936</v>
      </c>
      <c r="G359" s="376" t="s">
        <v>1015</v>
      </c>
      <c r="H359" s="378"/>
      <c r="I359" s="378"/>
      <c r="J359" s="376" t="s">
        <v>168</v>
      </c>
      <c r="K359" s="376" t="s">
        <v>222</v>
      </c>
      <c r="L359" s="376" t="s">
        <v>166</v>
      </c>
      <c r="M359" s="376" t="s">
        <v>225</v>
      </c>
      <c r="N359" s="376" t="s">
        <v>223</v>
      </c>
      <c r="O359" s="379">
        <v>0</v>
      </c>
      <c r="P359" s="460">
        <v>1</v>
      </c>
      <c r="Q359" s="460">
        <v>0</v>
      </c>
      <c r="R359" s="380">
        <v>0</v>
      </c>
      <c r="S359" s="460">
        <v>0</v>
      </c>
      <c r="T359" s="380">
        <v>0</v>
      </c>
      <c r="U359" s="380">
        <v>0</v>
      </c>
      <c r="V359" s="380">
        <v>0</v>
      </c>
      <c r="W359" s="380">
        <v>0</v>
      </c>
      <c r="X359" s="380">
        <v>0</v>
      </c>
      <c r="Y359" s="380">
        <v>0</v>
      </c>
      <c r="Z359" s="380">
        <v>0</v>
      </c>
      <c r="AA359" s="378"/>
      <c r="AB359" s="376" t="s">
        <v>45</v>
      </c>
      <c r="AC359" s="376" t="s">
        <v>45</v>
      </c>
      <c r="AD359" s="378"/>
      <c r="AE359" s="378"/>
      <c r="AF359" s="378"/>
      <c r="AG359" s="378"/>
      <c r="AH359" s="379">
        <v>0</v>
      </c>
      <c r="AI359" s="379">
        <v>0</v>
      </c>
      <c r="AJ359" s="378"/>
      <c r="AK359" s="378"/>
      <c r="AL359" s="376" t="s">
        <v>181</v>
      </c>
      <c r="AM359" s="378"/>
      <c r="AN359" s="378"/>
      <c r="AO359" s="379">
        <v>0</v>
      </c>
      <c r="AP359" s="460">
        <v>0</v>
      </c>
      <c r="AQ359" s="460">
        <v>0</v>
      </c>
      <c r="AR359" s="459"/>
      <c r="AS359" s="462">
        <f t="shared" si="85"/>
        <v>0</v>
      </c>
      <c r="AT359">
        <f t="shared" si="86"/>
        <v>0</v>
      </c>
      <c r="AU359" s="462" t="str">
        <f>IF(AT359=0,"",IF(AND(AT359=1,M359="F",SUMIF(C2:C391,C359,AS2:AS391)&lt;=1),SUMIF(C2:C391,C359,AS2:AS391),IF(AND(AT359=1,M359="F",SUMIF(C2:C391,C359,AS2:AS391)&gt;1),1,"")))</f>
        <v/>
      </c>
      <c r="AV359" s="462" t="str">
        <f>IF(AT359=0,"",IF(AND(AT359=3,M359="F",SUMIF(C2:C391,C359,AS2:AS391)&lt;=1),SUMIF(C2:C391,C359,AS2:AS391),IF(AND(AT359=3,M359="F",SUMIF(C2:C391,C359,AS2:AS391)&gt;1),1,"")))</f>
        <v/>
      </c>
      <c r="AW359" s="462">
        <f>SUMIF(C2:C391,C359,O2:O391)</f>
        <v>0</v>
      </c>
      <c r="AX359" s="462">
        <f>IF(AND(M359="F",AS359&lt;&gt;0),SUMIF(C2:C391,C359,W2:W391),0)</f>
        <v>0</v>
      </c>
      <c r="AY359" s="462" t="str">
        <f t="shared" si="87"/>
        <v/>
      </c>
      <c r="AZ359" s="462" t="str">
        <f t="shared" si="88"/>
        <v/>
      </c>
      <c r="BA359" s="462">
        <f t="shared" si="89"/>
        <v>0</v>
      </c>
      <c r="BB359" s="462">
        <f>IF(AND(AT359=1,AK359="E",AU359&gt;=0.75,AW359=1),Health,IF(AND(AT359=1,AK359="E",AU359&gt;=0.75),Health*P359,IF(AND(AT359=1,AK359="E",AU359&gt;=0.5,AW359=1),PTHealth,IF(AND(AT359=1,AK359="E",AU359&gt;=0.5),PTHealth*P359,0))))</f>
        <v>0</v>
      </c>
      <c r="BC359" s="462">
        <f>IF(AND(AT359=3,AK359="E",AV359&gt;=0.75,AW359=1),Health,IF(AND(AT359=3,AK359="E",AV359&gt;=0.75),Health*P359,IF(AND(AT359=3,AK359="E",AV359&gt;=0.5,AW359=1),PTHealth,IF(AND(AT359=3,AK359="E",AV359&gt;=0.5),PTHealth*P359,0))))</f>
        <v>0</v>
      </c>
      <c r="BD359" s="462">
        <f>IF(AND(AT359&lt;&gt;0,AX359&gt;=MAXSSDI),SSDI*MAXSSDI*P359,IF(AT359&lt;&gt;0,SSDI*W359,0))</f>
        <v>0</v>
      </c>
      <c r="BE359" s="462">
        <f>IF(AT359&lt;&gt;0,SSHI*W359,0)</f>
        <v>0</v>
      </c>
      <c r="BF359" s="462">
        <f>IF(AND(AT359&lt;&gt;0,AN359&lt;&gt;"NE"),VLOOKUP(AN359,Retirement_Rates,3,FALSE)*W359,0)</f>
        <v>0</v>
      </c>
      <c r="BG359" s="462">
        <f>IF(AND(AT359&lt;&gt;0,AJ359&lt;&gt;"PF"),Life*W359,0)</f>
        <v>0</v>
      </c>
      <c r="BH359" s="462">
        <f>IF(AND(AT359&lt;&gt;0,AM359="Y"),UI*W359,0)</f>
        <v>0</v>
      </c>
      <c r="BI359" s="462">
        <f>IF(AND(AT359&lt;&gt;0,N359&lt;&gt;"NR"),DHR*W359,0)</f>
        <v>0</v>
      </c>
      <c r="BJ359" s="462">
        <f>IF(AT359&lt;&gt;0,WC*W359,0)</f>
        <v>0</v>
      </c>
      <c r="BK359" s="462">
        <f>IF(OR(AND(AT359&lt;&gt;0,AJ359&lt;&gt;"PF",AN359&lt;&gt;"NE",AG359&lt;&gt;"A"),AND(AL359="E",OR(AT359=1,AT359=3))),Sick*W359,0)</f>
        <v>0</v>
      </c>
      <c r="BL359" s="462">
        <f t="shared" si="90"/>
        <v>0</v>
      </c>
      <c r="BM359" s="462">
        <f t="shared" si="91"/>
        <v>0</v>
      </c>
      <c r="BN359" s="462">
        <f>IF(AND(AT359=1,AK359="E",AU359&gt;=0.75,AW359=1),HealthBY,IF(AND(AT359=1,AK359="E",AU359&gt;=0.75),HealthBY*P359,IF(AND(AT359=1,AK359="E",AU359&gt;=0.5,AW359=1),PTHealthBY,IF(AND(AT359=1,AK359="E",AU359&gt;=0.5),PTHealthBY*P359,0))))</f>
        <v>0</v>
      </c>
      <c r="BO359" s="462">
        <f>IF(AND(AT359=3,AK359="E",AV359&gt;=0.75,AW359=1),HealthBY,IF(AND(AT359=3,AK359="E",AV359&gt;=0.75),HealthBY*P359,IF(AND(AT359=3,AK359="E",AV359&gt;=0.5,AW359=1),PTHealthBY,IF(AND(AT359=3,AK359="E",AV359&gt;=0.5),PTHealthBY*P359,0))))</f>
        <v>0</v>
      </c>
      <c r="BP359" s="462">
        <f>IF(AND(AT359&lt;&gt;0,(AX359+BA359)&gt;=MAXSSDIBY),SSDIBY*MAXSSDIBY*P359,IF(AT359&lt;&gt;0,SSDIBY*W359,0))</f>
        <v>0</v>
      </c>
      <c r="BQ359" s="462">
        <f>IF(AT359&lt;&gt;0,SSHIBY*W359,0)</f>
        <v>0</v>
      </c>
      <c r="BR359" s="462">
        <f>IF(AND(AT359&lt;&gt;0,AN359&lt;&gt;"NE"),VLOOKUP(AN359,Retirement_Rates,4,FALSE)*W359,0)</f>
        <v>0</v>
      </c>
      <c r="BS359" s="462">
        <f>IF(AND(AT359&lt;&gt;0,AJ359&lt;&gt;"PF"),LifeBY*W359,0)</f>
        <v>0</v>
      </c>
      <c r="BT359" s="462">
        <f>IF(AND(AT359&lt;&gt;0,AM359="Y"),UIBY*W359,0)</f>
        <v>0</v>
      </c>
      <c r="BU359" s="462">
        <f>IF(AND(AT359&lt;&gt;0,N359&lt;&gt;"NR"),DHRBY*W359,0)</f>
        <v>0</v>
      </c>
      <c r="BV359" s="462">
        <f>IF(AT359&lt;&gt;0,WCBY*W359,0)</f>
        <v>0</v>
      </c>
      <c r="BW359" s="462">
        <f>IF(OR(AND(AT359&lt;&gt;0,AJ359&lt;&gt;"PF",AN359&lt;&gt;"NE",AG359&lt;&gt;"A"),AND(AL359="E",OR(AT359=1,AT359=3))),SickBY*W359,0)</f>
        <v>0</v>
      </c>
      <c r="BX359" s="462">
        <f t="shared" si="92"/>
        <v>0</v>
      </c>
      <c r="BY359" s="462">
        <f t="shared" si="93"/>
        <v>0</v>
      </c>
      <c r="BZ359" s="462">
        <f t="shared" si="94"/>
        <v>0</v>
      </c>
      <c r="CA359" s="462">
        <f t="shared" si="95"/>
        <v>0</v>
      </c>
      <c r="CB359" s="462">
        <f t="shared" si="96"/>
        <v>0</v>
      </c>
      <c r="CC359" s="462">
        <f>IF(AT359&lt;&gt;0,SSHICHG*Y359,0)</f>
        <v>0</v>
      </c>
      <c r="CD359" s="462">
        <f>IF(AND(AT359&lt;&gt;0,AN359&lt;&gt;"NE"),VLOOKUP(AN359,Retirement_Rates,5,FALSE)*Y359,0)</f>
        <v>0</v>
      </c>
      <c r="CE359" s="462">
        <f>IF(AND(AT359&lt;&gt;0,AJ359&lt;&gt;"PF"),LifeCHG*Y359,0)</f>
        <v>0</v>
      </c>
      <c r="CF359" s="462">
        <f>IF(AND(AT359&lt;&gt;0,AM359="Y"),UICHG*Y359,0)</f>
        <v>0</v>
      </c>
      <c r="CG359" s="462">
        <f>IF(AND(AT359&lt;&gt;0,N359&lt;&gt;"NR"),DHRCHG*Y359,0)</f>
        <v>0</v>
      </c>
      <c r="CH359" s="462">
        <f>IF(AT359&lt;&gt;0,WCCHG*Y359,0)</f>
        <v>0</v>
      </c>
      <c r="CI359" s="462">
        <f>IF(OR(AND(AT359&lt;&gt;0,AJ359&lt;&gt;"PF",AN359&lt;&gt;"NE",AG359&lt;&gt;"A"),AND(AL359="E",OR(AT359=1,AT359=3))),SickCHG*Y359,0)</f>
        <v>0</v>
      </c>
      <c r="CJ359" s="462">
        <f t="shared" si="97"/>
        <v>0</v>
      </c>
      <c r="CK359" s="462" t="str">
        <f t="shared" si="98"/>
        <v/>
      </c>
      <c r="CL359" s="462">
        <f t="shared" si="99"/>
        <v>0</v>
      </c>
      <c r="CM359" s="462">
        <f t="shared" si="100"/>
        <v>0</v>
      </c>
      <c r="CN359" s="462" t="str">
        <f t="shared" si="101"/>
        <v>0410-01</v>
      </c>
    </row>
    <row r="360" spans="1:92" ht="15" thickBot="1" x14ac:dyDescent="0.35">
      <c r="A360" s="376" t="s">
        <v>161</v>
      </c>
      <c r="B360" s="376" t="s">
        <v>162</v>
      </c>
      <c r="C360" s="376" t="s">
        <v>956</v>
      </c>
      <c r="D360" s="376" t="s">
        <v>221</v>
      </c>
      <c r="E360" s="376" t="s">
        <v>1014</v>
      </c>
      <c r="F360" s="382" t="s">
        <v>936</v>
      </c>
      <c r="G360" s="376" t="s">
        <v>1015</v>
      </c>
      <c r="H360" s="378"/>
      <c r="I360" s="378"/>
      <c r="J360" s="376" t="s">
        <v>168</v>
      </c>
      <c r="K360" s="376" t="s">
        <v>222</v>
      </c>
      <c r="L360" s="376" t="s">
        <v>166</v>
      </c>
      <c r="M360" s="376" t="s">
        <v>171</v>
      </c>
      <c r="N360" s="376" t="s">
        <v>223</v>
      </c>
      <c r="O360" s="379">
        <v>0</v>
      </c>
      <c r="P360" s="460">
        <v>0</v>
      </c>
      <c r="Q360" s="460">
        <v>0</v>
      </c>
      <c r="R360" s="380">
        <v>0</v>
      </c>
      <c r="S360" s="460">
        <v>0</v>
      </c>
      <c r="T360" s="380">
        <v>1752.25</v>
      </c>
      <c r="U360" s="380">
        <v>0</v>
      </c>
      <c r="V360" s="380">
        <v>380</v>
      </c>
      <c r="W360" s="380">
        <v>0</v>
      </c>
      <c r="X360" s="380">
        <v>0</v>
      </c>
      <c r="Y360" s="380">
        <v>0</v>
      </c>
      <c r="Z360" s="380">
        <v>0</v>
      </c>
      <c r="AA360" s="378"/>
      <c r="AB360" s="376" t="s">
        <v>45</v>
      </c>
      <c r="AC360" s="376" t="s">
        <v>45</v>
      </c>
      <c r="AD360" s="378"/>
      <c r="AE360" s="378"/>
      <c r="AF360" s="378"/>
      <c r="AG360" s="378"/>
      <c r="AH360" s="379">
        <v>0</v>
      </c>
      <c r="AI360" s="379">
        <v>0</v>
      </c>
      <c r="AJ360" s="378"/>
      <c r="AK360" s="378"/>
      <c r="AL360" s="376" t="s">
        <v>181</v>
      </c>
      <c r="AM360" s="378"/>
      <c r="AN360" s="378"/>
      <c r="AO360" s="379">
        <v>0</v>
      </c>
      <c r="AP360" s="460">
        <v>0</v>
      </c>
      <c r="AQ360" s="460">
        <v>0</v>
      </c>
      <c r="AR360" s="459"/>
      <c r="AS360" s="462">
        <f t="shared" si="85"/>
        <v>0</v>
      </c>
      <c r="AT360">
        <f t="shared" si="86"/>
        <v>0</v>
      </c>
      <c r="AU360" s="462" t="str">
        <f>IF(AT360=0,"",IF(AND(AT360=1,M360="F",SUMIF(C2:C391,C360,AS2:AS391)&lt;=1),SUMIF(C2:C391,C360,AS2:AS391),IF(AND(AT360=1,M360="F",SUMIF(C2:C391,C360,AS2:AS391)&gt;1),1,"")))</f>
        <v/>
      </c>
      <c r="AV360" s="462" t="str">
        <f>IF(AT360=0,"",IF(AND(AT360=3,M360="F",SUMIF(C2:C391,C360,AS2:AS391)&lt;=1),SUMIF(C2:C391,C360,AS2:AS391),IF(AND(AT360=3,M360="F",SUMIF(C2:C391,C360,AS2:AS391)&gt;1),1,"")))</f>
        <v/>
      </c>
      <c r="AW360" s="462">
        <f>SUMIF(C2:C391,C360,O2:O391)</f>
        <v>0</v>
      </c>
      <c r="AX360" s="462">
        <f>IF(AND(M360="F",AS360&lt;&gt;0),SUMIF(C2:C391,C360,W2:W391),0)</f>
        <v>0</v>
      </c>
      <c r="AY360" s="462" t="str">
        <f t="shared" si="87"/>
        <v/>
      </c>
      <c r="AZ360" s="462" t="str">
        <f t="shared" si="88"/>
        <v/>
      </c>
      <c r="BA360" s="462">
        <f t="shared" si="89"/>
        <v>0</v>
      </c>
      <c r="BB360" s="462">
        <f>IF(AND(AT360=1,AK360="E",AU360&gt;=0.75,AW360=1),Health,IF(AND(AT360=1,AK360="E",AU360&gt;=0.75),Health*P360,IF(AND(AT360=1,AK360="E",AU360&gt;=0.5,AW360=1),PTHealth,IF(AND(AT360=1,AK360="E",AU360&gt;=0.5),PTHealth*P360,0))))</f>
        <v>0</v>
      </c>
      <c r="BC360" s="462">
        <f>IF(AND(AT360=3,AK360="E",AV360&gt;=0.75,AW360=1),Health,IF(AND(AT360=3,AK360="E",AV360&gt;=0.75),Health*P360,IF(AND(AT360=3,AK360="E",AV360&gt;=0.5,AW360=1),PTHealth,IF(AND(AT360=3,AK360="E",AV360&gt;=0.5),PTHealth*P360,0))))</f>
        <v>0</v>
      </c>
      <c r="BD360" s="462">
        <f>IF(AND(AT360&lt;&gt;0,AX360&gt;=MAXSSDI),SSDI*MAXSSDI*P360,IF(AT360&lt;&gt;0,SSDI*W360,0))</f>
        <v>0</v>
      </c>
      <c r="BE360" s="462">
        <f>IF(AT360&lt;&gt;0,SSHI*W360,0)</f>
        <v>0</v>
      </c>
      <c r="BF360" s="462">
        <f>IF(AND(AT360&lt;&gt;0,AN360&lt;&gt;"NE"),VLOOKUP(AN360,Retirement_Rates,3,FALSE)*W360,0)</f>
        <v>0</v>
      </c>
      <c r="BG360" s="462">
        <f>IF(AND(AT360&lt;&gt;0,AJ360&lt;&gt;"PF"),Life*W360,0)</f>
        <v>0</v>
      </c>
      <c r="BH360" s="462">
        <f>IF(AND(AT360&lt;&gt;0,AM360="Y"),UI*W360,0)</f>
        <v>0</v>
      </c>
      <c r="BI360" s="462">
        <f>IF(AND(AT360&lt;&gt;0,N360&lt;&gt;"NR"),DHR*W360,0)</f>
        <v>0</v>
      </c>
      <c r="BJ360" s="462">
        <f>IF(AT360&lt;&gt;0,WC*W360,0)</f>
        <v>0</v>
      </c>
      <c r="BK360" s="462">
        <f>IF(OR(AND(AT360&lt;&gt;0,AJ360&lt;&gt;"PF",AN360&lt;&gt;"NE",AG360&lt;&gt;"A"),AND(AL360="E",OR(AT360=1,AT360=3))),Sick*W360,0)</f>
        <v>0</v>
      </c>
      <c r="BL360" s="462">
        <f t="shared" si="90"/>
        <v>0</v>
      </c>
      <c r="BM360" s="462">
        <f t="shared" si="91"/>
        <v>0</v>
      </c>
      <c r="BN360" s="462">
        <f>IF(AND(AT360=1,AK360="E",AU360&gt;=0.75,AW360=1),HealthBY,IF(AND(AT360=1,AK360="E",AU360&gt;=0.75),HealthBY*P360,IF(AND(AT360=1,AK360="E",AU360&gt;=0.5,AW360=1),PTHealthBY,IF(AND(AT360=1,AK360="E",AU360&gt;=0.5),PTHealthBY*P360,0))))</f>
        <v>0</v>
      </c>
      <c r="BO360" s="462">
        <f>IF(AND(AT360=3,AK360="E",AV360&gt;=0.75,AW360=1),HealthBY,IF(AND(AT360=3,AK360="E",AV360&gt;=0.75),HealthBY*P360,IF(AND(AT360=3,AK360="E",AV360&gt;=0.5,AW360=1),PTHealthBY,IF(AND(AT360=3,AK360="E",AV360&gt;=0.5),PTHealthBY*P360,0))))</f>
        <v>0</v>
      </c>
      <c r="BP360" s="462">
        <f>IF(AND(AT360&lt;&gt;0,(AX360+BA360)&gt;=MAXSSDIBY),SSDIBY*MAXSSDIBY*P360,IF(AT360&lt;&gt;0,SSDIBY*W360,0))</f>
        <v>0</v>
      </c>
      <c r="BQ360" s="462">
        <f>IF(AT360&lt;&gt;0,SSHIBY*W360,0)</f>
        <v>0</v>
      </c>
      <c r="BR360" s="462">
        <f>IF(AND(AT360&lt;&gt;0,AN360&lt;&gt;"NE"),VLOOKUP(AN360,Retirement_Rates,4,FALSE)*W360,0)</f>
        <v>0</v>
      </c>
      <c r="BS360" s="462">
        <f>IF(AND(AT360&lt;&gt;0,AJ360&lt;&gt;"PF"),LifeBY*W360,0)</f>
        <v>0</v>
      </c>
      <c r="BT360" s="462">
        <f>IF(AND(AT360&lt;&gt;0,AM360="Y"),UIBY*W360,0)</f>
        <v>0</v>
      </c>
      <c r="BU360" s="462">
        <f>IF(AND(AT360&lt;&gt;0,N360&lt;&gt;"NR"),DHRBY*W360,0)</f>
        <v>0</v>
      </c>
      <c r="BV360" s="462">
        <f>IF(AT360&lt;&gt;0,WCBY*W360,0)</f>
        <v>0</v>
      </c>
      <c r="BW360" s="462">
        <f>IF(OR(AND(AT360&lt;&gt;0,AJ360&lt;&gt;"PF",AN360&lt;&gt;"NE",AG360&lt;&gt;"A"),AND(AL360="E",OR(AT360=1,AT360=3))),SickBY*W360,0)</f>
        <v>0</v>
      </c>
      <c r="BX360" s="462">
        <f t="shared" si="92"/>
        <v>0</v>
      </c>
      <c r="BY360" s="462">
        <f t="shared" si="93"/>
        <v>0</v>
      </c>
      <c r="BZ360" s="462">
        <f t="shared" si="94"/>
        <v>0</v>
      </c>
      <c r="CA360" s="462">
        <f t="shared" si="95"/>
        <v>0</v>
      </c>
      <c r="CB360" s="462">
        <f t="shared" si="96"/>
        <v>0</v>
      </c>
      <c r="CC360" s="462">
        <f>IF(AT360&lt;&gt;0,SSHICHG*Y360,0)</f>
        <v>0</v>
      </c>
      <c r="CD360" s="462">
        <f>IF(AND(AT360&lt;&gt;0,AN360&lt;&gt;"NE"),VLOOKUP(AN360,Retirement_Rates,5,FALSE)*Y360,0)</f>
        <v>0</v>
      </c>
      <c r="CE360" s="462">
        <f>IF(AND(AT360&lt;&gt;0,AJ360&lt;&gt;"PF"),LifeCHG*Y360,0)</f>
        <v>0</v>
      </c>
      <c r="CF360" s="462">
        <f>IF(AND(AT360&lt;&gt;0,AM360="Y"),UICHG*Y360,0)</f>
        <v>0</v>
      </c>
      <c r="CG360" s="462">
        <f>IF(AND(AT360&lt;&gt;0,N360&lt;&gt;"NR"),DHRCHG*Y360,0)</f>
        <v>0</v>
      </c>
      <c r="CH360" s="462">
        <f>IF(AT360&lt;&gt;0,WCCHG*Y360,0)</f>
        <v>0</v>
      </c>
      <c r="CI360" s="462">
        <f>IF(OR(AND(AT360&lt;&gt;0,AJ360&lt;&gt;"PF",AN360&lt;&gt;"NE",AG360&lt;&gt;"A"),AND(AL360="E",OR(AT360=1,AT360=3))),SickCHG*Y360,0)</f>
        <v>0</v>
      </c>
      <c r="CJ360" s="462">
        <f t="shared" si="97"/>
        <v>0</v>
      </c>
      <c r="CK360" s="462" t="str">
        <f t="shared" si="98"/>
        <v/>
      </c>
      <c r="CL360" s="462">
        <f t="shared" si="99"/>
        <v>1752.25</v>
      </c>
      <c r="CM360" s="462">
        <f t="shared" si="100"/>
        <v>380</v>
      </c>
      <c r="CN360" s="462" t="str">
        <f t="shared" si="101"/>
        <v>0410-01</v>
      </c>
    </row>
    <row r="361" spans="1:92" ht="15" thickBot="1" x14ac:dyDescent="0.35">
      <c r="A361" s="376" t="s">
        <v>161</v>
      </c>
      <c r="B361" s="376" t="s">
        <v>162</v>
      </c>
      <c r="C361" s="376" t="s">
        <v>1019</v>
      </c>
      <c r="D361" s="376" t="s">
        <v>221</v>
      </c>
      <c r="E361" s="376" t="s">
        <v>1014</v>
      </c>
      <c r="F361" s="382" t="s">
        <v>936</v>
      </c>
      <c r="G361" s="376" t="s">
        <v>1015</v>
      </c>
      <c r="H361" s="378"/>
      <c r="I361" s="378"/>
      <c r="J361" s="376" t="s">
        <v>168</v>
      </c>
      <c r="K361" s="376" t="s">
        <v>222</v>
      </c>
      <c r="L361" s="376" t="s">
        <v>166</v>
      </c>
      <c r="M361" s="376" t="s">
        <v>225</v>
      </c>
      <c r="N361" s="376" t="s">
        <v>223</v>
      </c>
      <c r="O361" s="379">
        <v>0</v>
      </c>
      <c r="P361" s="460">
        <v>1</v>
      </c>
      <c r="Q361" s="460">
        <v>0</v>
      </c>
      <c r="R361" s="380">
        <v>0</v>
      </c>
      <c r="S361" s="460">
        <v>0</v>
      </c>
      <c r="T361" s="380">
        <v>0</v>
      </c>
      <c r="U361" s="380">
        <v>0</v>
      </c>
      <c r="V361" s="380">
        <v>0</v>
      </c>
      <c r="W361" s="380">
        <v>0</v>
      </c>
      <c r="X361" s="380">
        <v>0</v>
      </c>
      <c r="Y361" s="380">
        <v>0</v>
      </c>
      <c r="Z361" s="380">
        <v>0</v>
      </c>
      <c r="AA361" s="378"/>
      <c r="AB361" s="376" t="s">
        <v>45</v>
      </c>
      <c r="AC361" s="376" t="s">
        <v>45</v>
      </c>
      <c r="AD361" s="378"/>
      <c r="AE361" s="378"/>
      <c r="AF361" s="378"/>
      <c r="AG361" s="378"/>
      <c r="AH361" s="379">
        <v>0</v>
      </c>
      <c r="AI361" s="379">
        <v>0</v>
      </c>
      <c r="AJ361" s="378"/>
      <c r="AK361" s="378"/>
      <c r="AL361" s="376" t="s">
        <v>181</v>
      </c>
      <c r="AM361" s="378"/>
      <c r="AN361" s="378"/>
      <c r="AO361" s="379">
        <v>0</v>
      </c>
      <c r="AP361" s="460">
        <v>0</v>
      </c>
      <c r="AQ361" s="460">
        <v>0</v>
      </c>
      <c r="AR361" s="459"/>
      <c r="AS361" s="462">
        <f t="shared" si="85"/>
        <v>0</v>
      </c>
      <c r="AT361">
        <f t="shared" si="86"/>
        <v>0</v>
      </c>
      <c r="AU361" s="462" t="str">
        <f>IF(AT361=0,"",IF(AND(AT361=1,M361="F",SUMIF(C2:C391,C361,AS2:AS391)&lt;=1),SUMIF(C2:C391,C361,AS2:AS391),IF(AND(AT361=1,M361="F",SUMIF(C2:C391,C361,AS2:AS391)&gt;1),1,"")))</f>
        <v/>
      </c>
      <c r="AV361" s="462" t="str">
        <f>IF(AT361=0,"",IF(AND(AT361=3,M361="F",SUMIF(C2:C391,C361,AS2:AS391)&lt;=1),SUMIF(C2:C391,C361,AS2:AS391),IF(AND(AT361=3,M361="F",SUMIF(C2:C391,C361,AS2:AS391)&gt;1),1,"")))</f>
        <v/>
      </c>
      <c r="AW361" s="462">
        <f>SUMIF(C2:C391,C361,O2:O391)</f>
        <v>0</v>
      </c>
      <c r="AX361" s="462">
        <f>IF(AND(M361="F",AS361&lt;&gt;0),SUMIF(C2:C391,C361,W2:W391),0)</f>
        <v>0</v>
      </c>
      <c r="AY361" s="462" t="str">
        <f t="shared" si="87"/>
        <v/>
      </c>
      <c r="AZ361" s="462" t="str">
        <f t="shared" si="88"/>
        <v/>
      </c>
      <c r="BA361" s="462">
        <f t="shared" si="89"/>
        <v>0</v>
      </c>
      <c r="BB361" s="462">
        <f>IF(AND(AT361=1,AK361="E",AU361&gt;=0.75,AW361=1),Health,IF(AND(AT361=1,AK361="E",AU361&gt;=0.75),Health*P361,IF(AND(AT361=1,AK361="E",AU361&gt;=0.5,AW361=1),PTHealth,IF(AND(AT361=1,AK361="E",AU361&gt;=0.5),PTHealth*P361,0))))</f>
        <v>0</v>
      </c>
      <c r="BC361" s="462">
        <f>IF(AND(AT361=3,AK361="E",AV361&gt;=0.75,AW361=1),Health,IF(AND(AT361=3,AK361="E",AV361&gt;=0.75),Health*P361,IF(AND(AT361=3,AK361="E",AV361&gt;=0.5,AW361=1),PTHealth,IF(AND(AT361=3,AK361="E",AV361&gt;=0.5),PTHealth*P361,0))))</f>
        <v>0</v>
      </c>
      <c r="BD361" s="462">
        <f>IF(AND(AT361&lt;&gt;0,AX361&gt;=MAXSSDI),SSDI*MAXSSDI*P361,IF(AT361&lt;&gt;0,SSDI*W361,0))</f>
        <v>0</v>
      </c>
      <c r="BE361" s="462">
        <f>IF(AT361&lt;&gt;0,SSHI*W361,0)</f>
        <v>0</v>
      </c>
      <c r="BF361" s="462">
        <f>IF(AND(AT361&lt;&gt;0,AN361&lt;&gt;"NE"),VLOOKUP(AN361,Retirement_Rates,3,FALSE)*W361,0)</f>
        <v>0</v>
      </c>
      <c r="BG361" s="462">
        <f>IF(AND(AT361&lt;&gt;0,AJ361&lt;&gt;"PF"),Life*W361,0)</f>
        <v>0</v>
      </c>
      <c r="BH361" s="462">
        <f>IF(AND(AT361&lt;&gt;0,AM361="Y"),UI*W361,0)</f>
        <v>0</v>
      </c>
      <c r="BI361" s="462">
        <f>IF(AND(AT361&lt;&gt;0,N361&lt;&gt;"NR"),DHR*W361,0)</f>
        <v>0</v>
      </c>
      <c r="BJ361" s="462">
        <f>IF(AT361&lt;&gt;0,WC*W361,0)</f>
        <v>0</v>
      </c>
      <c r="BK361" s="462">
        <f>IF(OR(AND(AT361&lt;&gt;0,AJ361&lt;&gt;"PF",AN361&lt;&gt;"NE",AG361&lt;&gt;"A"),AND(AL361="E",OR(AT361=1,AT361=3))),Sick*W361,0)</f>
        <v>0</v>
      </c>
      <c r="BL361" s="462">
        <f t="shared" si="90"/>
        <v>0</v>
      </c>
      <c r="BM361" s="462">
        <f t="shared" si="91"/>
        <v>0</v>
      </c>
      <c r="BN361" s="462">
        <f>IF(AND(AT361=1,AK361="E",AU361&gt;=0.75,AW361=1),HealthBY,IF(AND(AT361=1,AK361="E",AU361&gt;=0.75),HealthBY*P361,IF(AND(AT361=1,AK361="E",AU361&gt;=0.5,AW361=1),PTHealthBY,IF(AND(AT361=1,AK361="E",AU361&gt;=0.5),PTHealthBY*P361,0))))</f>
        <v>0</v>
      </c>
      <c r="BO361" s="462">
        <f>IF(AND(AT361=3,AK361="E",AV361&gt;=0.75,AW361=1),HealthBY,IF(AND(AT361=3,AK361="E",AV361&gt;=0.75),HealthBY*P361,IF(AND(AT361=3,AK361="E",AV361&gt;=0.5,AW361=1),PTHealthBY,IF(AND(AT361=3,AK361="E",AV361&gt;=0.5),PTHealthBY*P361,0))))</f>
        <v>0</v>
      </c>
      <c r="BP361" s="462">
        <f>IF(AND(AT361&lt;&gt;0,(AX361+BA361)&gt;=MAXSSDIBY),SSDIBY*MAXSSDIBY*P361,IF(AT361&lt;&gt;0,SSDIBY*W361,0))</f>
        <v>0</v>
      </c>
      <c r="BQ361" s="462">
        <f>IF(AT361&lt;&gt;0,SSHIBY*W361,0)</f>
        <v>0</v>
      </c>
      <c r="BR361" s="462">
        <f>IF(AND(AT361&lt;&gt;0,AN361&lt;&gt;"NE"),VLOOKUP(AN361,Retirement_Rates,4,FALSE)*W361,0)</f>
        <v>0</v>
      </c>
      <c r="BS361" s="462">
        <f>IF(AND(AT361&lt;&gt;0,AJ361&lt;&gt;"PF"),LifeBY*W361,0)</f>
        <v>0</v>
      </c>
      <c r="BT361" s="462">
        <f>IF(AND(AT361&lt;&gt;0,AM361="Y"),UIBY*W361,0)</f>
        <v>0</v>
      </c>
      <c r="BU361" s="462">
        <f>IF(AND(AT361&lt;&gt;0,N361&lt;&gt;"NR"),DHRBY*W361,0)</f>
        <v>0</v>
      </c>
      <c r="BV361" s="462">
        <f>IF(AT361&lt;&gt;0,WCBY*W361,0)</f>
        <v>0</v>
      </c>
      <c r="BW361" s="462">
        <f>IF(OR(AND(AT361&lt;&gt;0,AJ361&lt;&gt;"PF",AN361&lt;&gt;"NE",AG361&lt;&gt;"A"),AND(AL361="E",OR(AT361=1,AT361=3))),SickBY*W361,0)</f>
        <v>0</v>
      </c>
      <c r="BX361" s="462">
        <f t="shared" si="92"/>
        <v>0</v>
      </c>
      <c r="BY361" s="462">
        <f t="shared" si="93"/>
        <v>0</v>
      </c>
      <c r="BZ361" s="462">
        <f t="shared" si="94"/>
        <v>0</v>
      </c>
      <c r="CA361" s="462">
        <f t="shared" si="95"/>
        <v>0</v>
      </c>
      <c r="CB361" s="462">
        <f t="shared" si="96"/>
        <v>0</v>
      </c>
      <c r="CC361" s="462">
        <f>IF(AT361&lt;&gt;0,SSHICHG*Y361,0)</f>
        <v>0</v>
      </c>
      <c r="CD361" s="462">
        <f>IF(AND(AT361&lt;&gt;0,AN361&lt;&gt;"NE"),VLOOKUP(AN361,Retirement_Rates,5,FALSE)*Y361,0)</f>
        <v>0</v>
      </c>
      <c r="CE361" s="462">
        <f>IF(AND(AT361&lt;&gt;0,AJ361&lt;&gt;"PF"),LifeCHG*Y361,0)</f>
        <v>0</v>
      </c>
      <c r="CF361" s="462">
        <f>IF(AND(AT361&lt;&gt;0,AM361="Y"),UICHG*Y361,0)</f>
        <v>0</v>
      </c>
      <c r="CG361" s="462">
        <f>IF(AND(AT361&lt;&gt;0,N361&lt;&gt;"NR"),DHRCHG*Y361,0)</f>
        <v>0</v>
      </c>
      <c r="CH361" s="462">
        <f>IF(AT361&lt;&gt;0,WCCHG*Y361,0)</f>
        <v>0</v>
      </c>
      <c r="CI361" s="462">
        <f>IF(OR(AND(AT361&lt;&gt;0,AJ361&lt;&gt;"PF",AN361&lt;&gt;"NE",AG361&lt;&gt;"A"),AND(AL361="E",OR(AT361=1,AT361=3))),SickCHG*Y361,0)</f>
        <v>0</v>
      </c>
      <c r="CJ361" s="462">
        <f t="shared" si="97"/>
        <v>0</v>
      </c>
      <c r="CK361" s="462" t="str">
        <f t="shared" si="98"/>
        <v/>
      </c>
      <c r="CL361" s="462">
        <f t="shared" si="99"/>
        <v>0</v>
      </c>
      <c r="CM361" s="462">
        <f t="shared" si="100"/>
        <v>0</v>
      </c>
      <c r="CN361" s="462" t="str">
        <f t="shared" si="101"/>
        <v>0410-01</v>
      </c>
    </row>
    <row r="362" spans="1:92" ht="15" thickBot="1" x14ac:dyDescent="0.35">
      <c r="A362" s="376" t="s">
        <v>161</v>
      </c>
      <c r="B362" s="376" t="s">
        <v>162</v>
      </c>
      <c r="C362" s="376" t="s">
        <v>1020</v>
      </c>
      <c r="D362" s="376" t="s">
        <v>221</v>
      </c>
      <c r="E362" s="376" t="s">
        <v>1014</v>
      </c>
      <c r="F362" s="382" t="s">
        <v>936</v>
      </c>
      <c r="G362" s="376" t="s">
        <v>1015</v>
      </c>
      <c r="H362" s="378"/>
      <c r="I362" s="378"/>
      <c r="J362" s="376" t="s">
        <v>168</v>
      </c>
      <c r="K362" s="376" t="s">
        <v>222</v>
      </c>
      <c r="L362" s="376" t="s">
        <v>166</v>
      </c>
      <c r="M362" s="376" t="s">
        <v>171</v>
      </c>
      <c r="N362" s="376" t="s">
        <v>223</v>
      </c>
      <c r="O362" s="379">
        <v>0</v>
      </c>
      <c r="P362" s="460">
        <v>1</v>
      </c>
      <c r="Q362" s="460">
        <v>0</v>
      </c>
      <c r="R362" s="380">
        <v>0</v>
      </c>
      <c r="S362" s="460">
        <v>0</v>
      </c>
      <c r="T362" s="380">
        <v>88620.5</v>
      </c>
      <c r="U362" s="380">
        <v>2850.2</v>
      </c>
      <c r="V362" s="380">
        <v>11802.49</v>
      </c>
      <c r="W362" s="380">
        <v>91470.7</v>
      </c>
      <c r="X362" s="380">
        <v>11802.49</v>
      </c>
      <c r="Y362" s="380">
        <v>91470.7</v>
      </c>
      <c r="Z362" s="380">
        <v>11802.49</v>
      </c>
      <c r="AA362" s="378"/>
      <c r="AB362" s="376" t="s">
        <v>45</v>
      </c>
      <c r="AC362" s="376" t="s">
        <v>45</v>
      </c>
      <c r="AD362" s="378"/>
      <c r="AE362" s="378"/>
      <c r="AF362" s="378"/>
      <c r="AG362" s="378"/>
      <c r="AH362" s="379">
        <v>0</v>
      </c>
      <c r="AI362" s="379">
        <v>0</v>
      </c>
      <c r="AJ362" s="378"/>
      <c r="AK362" s="378"/>
      <c r="AL362" s="376" t="s">
        <v>181</v>
      </c>
      <c r="AM362" s="378"/>
      <c r="AN362" s="378"/>
      <c r="AO362" s="379">
        <v>0</v>
      </c>
      <c r="AP362" s="460">
        <v>0</v>
      </c>
      <c r="AQ362" s="460">
        <v>0</v>
      </c>
      <c r="AR362" s="459"/>
      <c r="AS362" s="462">
        <f t="shared" si="85"/>
        <v>0</v>
      </c>
      <c r="AT362">
        <f t="shared" si="86"/>
        <v>0</v>
      </c>
      <c r="AU362" s="462" t="str">
        <f>IF(AT362=0,"",IF(AND(AT362=1,M362="F",SUMIF(C2:C391,C362,AS2:AS391)&lt;=1),SUMIF(C2:C391,C362,AS2:AS391),IF(AND(AT362=1,M362="F",SUMIF(C2:C391,C362,AS2:AS391)&gt;1),1,"")))</f>
        <v/>
      </c>
      <c r="AV362" s="462" t="str">
        <f>IF(AT362=0,"",IF(AND(AT362=3,M362="F",SUMIF(C2:C391,C362,AS2:AS391)&lt;=1),SUMIF(C2:C391,C362,AS2:AS391),IF(AND(AT362=3,M362="F",SUMIF(C2:C391,C362,AS2:AS391)&gt;1),1,"")))</f>
        <v/>
      </c>
      <c r="AW362" s="462">
        <f>SUMIF(C2:C391,C362,O2:O391)</f>
        <v>0</v>
      </c>
      <c r="AX362" s="462">
        <f>IF(AND(M362="F",AS362&lt;&gt;0),SUMIF(C2:C391,C362,W2:W391),0)</f>
        <v>0</v>
      </c>
      <c r="AY362" s="462" t="str">
        <f t="shared" si="87"/>
        <v/>
      </c>
      <c r="AZ362" s="462" t="str">
        <f t="shared" si="88"/>
        <v/>
      </c>
      <c r="BA362" s="462">
        <f t="shared" si="89"/>
        <v>0</v>
      </c>
      <c r="BB362" s="462">
        <f>IF(AND(AT362=1,AK362="E",AU362&gt;=0.75,AW362=1),Health,IF(AND(AT362=1,AK362="E",AU362&gt;=0.75),Health*P362,IF(AND(AT362=1,AK362="E",AU362&gt;=0.5,AW362=1),PTHealth,IF(AND(AT362=1,AK362="E",AU362&gt;=0.5),PTHealth*P362,0))))</f>
        <v>0</v>
      </c>
      <c r="BC362" s="462">
        <f>IF(AND(AT362=3,AK362="E",AV362&gt;=0.75,AW362=1),Health,IF(AND(AT362=3,AK362="E",AV362&gt;=0.75),Health*P362,IF(AND(AT362=3,AK362="E",AV362&gt;=0.5,AW362=1),PTHealth,IF(AND(AT362=3,AK362="E",AV362&gt;=0.5),PTHealth*P362,0))))</f>
        <v>0</v>
      </c>
      <c r="BD362" s="462">
        <f>IF(AND(AT362&lt;&gt;0,AX362&gt;=MAXSSDI),SSDI*MAXSSDI*P362,IF(AT362&lt;&gt;0,SSDI*W362,0))</f>
        <v>0</v>
      </c>
      <c r="BE362" s="462">
        <f>IF(AT362&lt;&gt;0,SSHI*W362,0)</f>
        <v>0</v>
      </c>
      <c r="BF362" s="462">
        <f>IF(AND(AT362&lt;&gt;0,AN362&lt;&gt;"NE"),VLOOKUP(AN362,Retirement_Rates,3,FALSE)*W362,0)</f>
        <v>0</v>
      </c>
      <c r="BG362" s="462">
        <f>IF(AND(AT362&lt;&gt;0,AJ362&lt;&gt;"PF"),Life*W362,0)</f>
        <v>0</v>
      </c>
      <c r="BH362" s="462">
        <f>IF(AND(AT362&lt;&gt;0,AM362="Y"),UI*W362,0)</f>
        <v>0</v>
      </c>
      <c r="BI362" s="462">
        <f>IF(AND(AT362&lt;&gt;0,N362&lt;&gt;"NR"),DHR*W362,0)</f>
        <v>0</v>
      </c>
      <c r="BJ362" s="462">
        <f>IF(AT362&lt;&gt;0,WC*W362,0)</f>
        <v>0</v>
      </c>
      <c r="BK362" s="462">
        <f>IF(OR(AND(AT362&lt;&gt;0,AJ362&lt;&gt;"PF",AN362&lt;&gt;"NE",AG362&lt;&gt;"A"),AND(AL362="E",OR(AT362=1,AT362=3))),Sick*W362,0)</f>
        <v>0</v>
      </c>
      <c r="BL362" s="462">
        <f t="shared" si="90"/>
        <v>0</v>
      </c>
      <c r="BM362" s="462">
        <f t="shared" si="91"/>
        <v>0</v>
      </c>
      <c r="BN362" s="462">
        <f>IF(AND(AT362=1,AK362="E",AU362&gt;=0.75,AW362=1),HealthBY,IF(AND(AT362=1,AK362="E",AU362&gt;=0.75),HealthBY*P362,IF(AND(AT362=1,AK362="E",AU362&gt;=0.5,AW362=1),PTHealthBY,IF(AND(AT362=1,AK362="E",AU362&gt;=0.5),PTHealthBY*P362,0))))</f>
        <v>0</v>
      </c>
      <c r="BO362" s="462">
        <f>IF(AND(AT362=3,AK362="E",AV362&gt;=0.75,AW362=1),HealthBY,IF(AND(AT362=3,AK362="E",AV362&gt;=0.75),HealthBY*P362,IF(AND(AT362=3,AK362="E",AV362&gt;=0.5,AW362=1),PTHealthBY,IF(AND(AT362=3,AK362="E",AV362&gt;=0.5),PTHealthBY*P362,0))))</f>
        <v>0</v>
      </c>
      <c r="BP362" s="462">
        <f>IF(AND(AT362&lt;&gt;0,(AX362+BA362)&gt;=MAXSSDIBY),SSDIBY*MAXSSDIBY*P362,IF(AT362&lt;&gt;0,SSDIBY*W362,0))</f>
        <v>0</v>
      </c>
      <c r="BQ362" s="462">
        <f>IF(AT362&lt;&gt;0,SSHIBY*W362,0)</f>
        <v>0</v>
      </c>
      <c r="BR362" s="462">
        <f>IF(AND(AT362&lt;&gt;0,AN362&lt;&gt;"NE"),VLOOKUP(AN362,Retirement_Rates,4,FALSE)*W362,0)</f>
        <v>0</v>
      </c>
      <c r="BS362" s="462">
        <f>IF(AND(AT362&lt;&gt;0,AJ362&lt;&gt;"PF"),LifeBY*W362,0)</f>
        <v>0</v>
      </c>
      <c r="BT362" s="462">
        <f>IF(AND(AT362&lt;&gt;0,AM362="Y"),UIBY*W362,0)</f>
        <v>0</v>
      </c>
      <c r="BU362" s="462">
        <f>IF(AND(AT362&lt;&gt;0,N362&lt;&gt;"NR"),DHRBY*W362,0)</f>
        <v>0</v>
      </c>
      <c r="BV362" s="462">
        <f>IF(AT362&lt;&gt;0,WCBY*W362,0)</f>
        <v>0</v>
      </c>
      <c r="BW362" s="462">
        <f>IF(OR(AND(AT362&lt;&gt;0,AJ362&lt;&gt;"PF",AN362&lt;&gt;"NE",AG362&lt;&gt;"A"),AND(AL362="E",OR(AT362=1,AT362=3))),SickBY*W362,0)</f>
        <v>0</v>
      </c>
      <c r="BX362" s="462">
        <f t="shared" si="92"/>
        <v>0</v>
      </c>
      <c r="BY362" s="462">
        <f t="shared" si="93"/>
        <v>0</v>
      </c>
      <c r="BZ362" s="462">
        <f t="shared" si="94"/>
        <v>0</v>
      </c>
      <c r="CA362" s="462">
        <f t="shared" si="95"/>
        <v>0</v>
      </c>
      <c r="CB362" s="462">
        <f t="shared" si="96"/>
        <v>0</v>
      </c>
      <c r="CC362" s="462">
        <f>IF(AT362&lt;&gt;0,SSHICHG*Y362,0)</f>
        <v>0</v>
      </c>
      <c r="CD362" s="462">
        <f>IF(AND(AT362&lt;&gt;0,AN362&lt;&gt;"NE"),VLOOKUP(AN362,Retirement_Rates,5,FALSE)*Y362,0)</f>
        <v>0</v>
      </c>
      <c r="CE362" s="462">
        <f>IF(AND(AT362&lt;&gt;0,AJ362&lt;&gt;"PF"),LifeCHG*Y362,0)</f>
        <v>0</v>
      </c>
      <c r="CF362" s="462">
        <f>IF(AND(AT362&lt;&gt;0,AM362="Y"),UICHG*Y362,0)</f>
        <v>0</v>
      </c>
      <c r="CG362" s="462">
        <f>IF(AND(AT362&lt;&gt;0,N362&lt;&gt;"NR"),DHRCHG*Y362,0)</f>
        <v>0</v>
      </c>
      <c r="CH362" s="462">
        <f>IF(AT362&lt;&gt;0,WCCHG*Y362,0)</f>
        <v>0</v>
      </c>
      <c r="CI362" s="462">
        <f>IF(OR(AND(AT362&lt;&gt;0,AJ362&lt;&gt;"PF",AN362&lt;&gt;"NE",AG362&lt;&gt;"A"),AND(AL362="E",OR(AT362=1,AT362=3))),SickCHG*Y362,0)</f>
        <v>0</v>
      </c>
      <c r="CJ362" s="462">
        <f t="shared" si="97"/>
        <v>0</v>
      </c>
      <c r="CK362" s="462" t="str">
        <f t="shared" si="98"/>
        <v/>
      </c>
      <c r="CL362" s="462">
        <f t="shared" si="99"/>
        <v>91470.7</v>
      </c>
      <c r="CM362" s="462">
        <f t="shared" si="100"/>
        <v>11802.49</v>
      </c>
      <c r="CN362" s="462" t="str">
        <f t="shared" si="101"/>
        <v>0410-01</v>
      </c>
    </row>
    <row r="363" spans="1:92" ht="15" thickBot="1" x14ac:dyDescent="0.35">
      <c r="A363" s="376" t="s">
        <v>161</v>
      </c>
      <c r="B363" s="376" t="s">
        <v>162</v>
      </c>
      <c r="C363" s="376" t="s">
        <v>1021</v>
      </c>
      <c r="D363" s="376" t="s">
        <v>221</v>
      </c>
      <c r="E363" s="376" t="s">
        <v>1014</v>
      </c>
      <c r="F363" s="382" t="s">
        <v>936</v>
      </c>
      <c r="G363" s="376" t="s">
        <v>1015</v>
      </c>
      <c r="H363" s="378"/>
      <c r="I363" s="378"/>
      <c r="J363" s="376" t="s">
        <v>168</v>
      </c>
      <c r="K363" s="376" t="s">
        <v>222</v>
      </c>
      <c r="L363" s="376" t="s">
        <v>166</v>
      </c>
      <c r="M363" s="376" t="s">
        <v>225</v>
      </c>
      <c r="N363" s="376" t="s">
        <v>223</v>
      </c>
      <c r="O363" s="379">
        <v>0</v>
      </c>
      <c r="P363" s="460">
        <v>1</v>
      </c>
      <c r="Q363" s="460">
        <v>0</v>
      </c>
      <c r="R363" s="380">
        <v>0</v>
      </c>
      <c r="S363" s="460">
        <v>0</v>
      </c>
      <c r="T363" s="380">
        <v>0</v>
      </c>
      <c r="U363" s="380">
        <v>0</v>
      </c>
      <c r="V363" s="380">
        <v>0</v>
      </c>
      <c r="W363" s="380">
        <v>0</v>
      </c>
      <c r="X363" s="380">
        <v>0</v>
      </c>
      <c r="Y363" s="380">
        <v>0</v>
      </c>
      <c r="Z363" s="380">
        <v>0</v>
      </c>
      <c r="AA363" s="378"/>
      <c r="AB363" s="376" t="s">
        <v>45</v>
      </c>
      <c r="AC363" s="376" t="s">
        <v>45</v>
      </c>
      <c r="AD363" s="378"/>
      <c r="AE363" s="378"/>
      <c r="AF363" s="378"/>
      <c r="AG363" s="378"/>
      <c r="AH363" s="379">
        <v>0</v>
      </c>
      <c r="AI363" s="379">
        <v>0</v>
      </c>
      <c r="AJ363" s="378"/>
      <c r="AK363" s="378"/>
      <c r="AL363" s="376" t="s">
        <v>181</v>
      </c>
      <c r="AM363" s="378"/>
      <c r="AN363" s="378"/>
      <c r="AO363" s="379">
        <v>0</v>
      </c>
      <c r="AP363" s="460">
        <v>0</v>
      </c>
      <c r="AQ363" s="460">
        <v>0</v>
      </c>
      <c r="AR363" s="459"/>
      <c r="AS363" s="462">
        <f t="shared" si="85"/>
        <v>0</v>
      </c>
      <c r="AT363">
        <f t="shared" si="86"/>
        <v>0</v>
      </c>
      <c r="AU363" s="462" t="str">
        <f>IF(AT363=0,"",IF(AND(AT363=1,M363="F",SUMIF(C2:C391,C363,AS2:AS391)&lt;=1),SUMIF(C2:C391,C363,AS2:AS391),IF(AND(AT363=1,M363="F",SUMIF(C2:C391,C363,AS2:AS391)&gt;1),1,"")))</f>
        <v/>
      </c>
      <c r="AV363" s="462" t="str">
        <f>IF(AT363=0,"",IF(AND(AT363=3,M363="F",SUMIF(C2:C391,C363,AS2:AS391)&lt;=1),SUMIF(C2:C391,C363,AS2:AS391),IF(AND(AT363=3,M363="F",SUMIF(C2:C391,C363,AS2:AS391)&gt;1),1,"")))</f>
        <v/>
      </c>
      <c r="AW363" s="462">
        <f>SUMIF(C2:C391,C363,O2:O391)</f>
        <v>0</v>
      </c>
      <c r="AX363" s="462">
        <f>IF(AND(M363="F",AS363&lt;&gt;0),SUMIF(C2:C391,C363,W2:W391),0)</f>
        <v>0</v>
      </c>
      <c r="AY363" s="462" t="str">
        <f t="shared" si="87"/>
        <v/>
      </c>
      <c r="AZ363" s="462" t="str">
        <f t="shared" si="88"/>
        <v/>
      </c>
      <c r="BA363" s="462">
        <f t="shared" si="89"/>
        <v>0</v>
      </c>
      <c r="BB363" s="462">
        <f>IF(AND(AT363=1,AK363="E",AU363&gt;=0.75,AW363=1),Health,IF(AND(AT363=1,AK363="E",AU363&gt;=0.75),Health*P363,IF(AND(AT363=1,AK363="E",AU363&gt;=0.5,AW363=1),PTHealth,IF(AND(AT363=1,AK363="E",AU363&gt;=0.5),PTHealth*P363,0))))</f>
        <v>0</v>
      </c>
      <c r="BC363" s="462">
        <f>IF(AND(AT363=3,AK363="E",AV363&gt;=0.75,AW363=1),Health,IF(AND(AT363=3,AK363="E",AV363&gt;=0.75),Health*P363,IF(AND(AT363=3,AK363="E",AV363&gt;=0.5,AW363=1),PTHealth,IF(AND(AT363=3,AK363="E",AV363&gt;=0.5),PTHealth*P363,0))))</f>
        <v>0</v>
      </c>
      <c r="BD363" s="462">
        <f>IF(AND(AT363&lt;&gt;0,AX363&gt;=MAXSSDI),SSDI*MAXSSDI*P363,IF(AT363&lt;&gt;0,SSDI*W363,0))</f>
        <v>0</v>
      </c>
      <c r="BE363" s="462">
        <f>IF(AT363&lt;&gt;0,SSHI*W363,0)</f>
        <v>0</v>
      </c>
      <c r="BF363" s="462">
        <f>IF(AND(AT363&lt;&gt;0,AN363&lt;&gt;"NE"),VLOOKUP(AN363,Retirement_Rates,3,FALSE)*W363,0)</f>
        <v>0</v>
      </c>
      <c r="BG363" s="462">
        <f>IF(AND(AT363&lt;&gt;0,AJ363&lt;&gt;"PF"),Life*W363,0)</f>
        <v>0</v>
      </c>
      <c r="BH363" s="462">
        <f>IF(AND(AT363&lt;&gt;0,AM363="Y"),UI*W363,0)</f>
        <v>0</v>
      </c>
      <c r="BI363" s="462">
        <f>IF(AND(AT363&lt;&gt;0,N363&lt;&gt;"NR"),DHR*W363,0)</f>
        <v>0</v>
      </c>
      <c r="BJ363" s="462">
        <f>IF(AT363&lt;&gt;0,WC*W363,0)</f>
        <v>0</v>
      </c>
      <c r="BK363" s="462">
        <f>IF(OR(AND(AT363&lt;&gt;0,AJ363&lt;&gt;"PF",AN363&lt;&gt;"NE",AG363&lt;&gt;"A"),AND(AL363="E",OR(AT363=1,AT363=3))),Sick*W363,0)</f>
        <v>0</v>
      </c>
      <c r="BL363" s="462">
        <f t="shared" si="90"/>
        <v>0</v>
      </c>
      <c r="BM363" s="462">
        <f t="shared" si="91"/>
        <v>0</v>
      </c>
      <c r="BN363" s="462">
        <f>IF(AND(AT363=1,AK363="E",AU363&gt;=0.75,AW363=1),HealthBY,IF(AND(AT363=1,AK363="E",AU363&gt;=0.75),HealthBY*P363,IF(AND(AT363=1,AK363="E",AU363&gt;=0.5,AW363=1),PTHealthBY,IF(AND(AT363=1,AK363="E",AU363&gt;=0.5),PTHealthBY*P363,0))))</f>
        <v>0</v>
      </c>
      <c r="BO363" s="462">
        <f>IF(AND(AT363=3,AK363="E",AV363&gt;=0.75,AW363=1),HealthBY,IF(AND(AT363=3,AK363="E",AV363&gt;=0.75),HealthBY*P363,IF(AND(AT363=3,AK363="E",AV363&gt;=0.5,AW363=1),PTHealthBY,IF(AND(AT363=3,AK363="E",AV363&gt;=0.5),PTHealthBY*P363,0))))</f>
        <v>0</v>
      </c>
      <c r="BP363" s="462">
        <f>IF(AND(AT363&lt;&gt;0,(AX363+BA363)&gt;=MAXSSDIBY),SSDIBY*MAXSSDIBY*P363,IF(AT363&lt;&gt;0,SSDIBY*W363,0))</f>
        <v>0</v>
      </c>
      <c r="BQ363" s="462">
        <f>IF(AT363&lt;&gt;0,SSHIBY*W363,0)</f>
        <v>0</v>
      </c>
      <c r="BR363" s="462">
        <f>IF(AND(AT363&lt;&gt;0,AN363&lt;&gt;"NE"),VLOOKUP(AN363,Retirement_Rates,4,FALSE)*W363,0)</f>
        <v>0</v>
      </c>
      <c r="BS363" s="462">
        <f>IF(AND(AT363&lt;&gt;0,AJ363&lt;&gt;"PF"),LifeBY*W363,0)</f>
        <v>0</v>
      </c>
      <c r="BT363" s="462">
        <f>IF(AND(AT363&lt;&gt;0,AM363="Y"),UIBY*W363,0)</f>
        <v>0</v>
      </c>
      <c r="BU363" s="462">
        <f>IF(AND(AT363&lt;&gt;0,N363&lt;&gt;"NR"),DHRBY*W363,0)</f>
        <v>0</v>
      </c>
      <c r="BV363" s="462">
        <f>IF(AT363&lt;&gt;0,WCBY*W363,0)</f>
        <v>0</v>
      </c>
      <c r="BW363" s="462">
        <f>IF(OR(AND(AT363&lt;&gt;0,AJ363&lt;&gt;"PF",AN363&lt;&gt;"NE",AG363&lt;&gt;"A"),AND(AL363="E",OR(AT363=1,AT363=3))),SickBY*W363,0)</f>
        <v>0</v>
      </c>
      <c r="BX363" s="462">
        <f t="shared" si="92"/>
        <v>0</v>
      </c>
      <c r="BY363" s="462">
        <f t="shared" si="93"/>
        <v>0</v>
      </c>
      <c r="BZ363" s="462">
        <f t="shared" si="94"/>
        <v>0</v>
      </c>
      <c r="CA363" s="462">
        <f t="shared" si="95"/>
        <v>0</v>
      </c>
      <c r="CB363" s="462">
        <f t="shared" si="96"/>
        <v>0</v>
      </c>
      <c r="CC363" s="462">
        <f>IF(AT363&lt;&gt;0,SSHICHG*Y363,0)</f>
        <v>0</v>
      </c>
      <c r="CD363" s="462">
        <f>IF(AND(AT363&lt;&gt;0,AN363&lt;&gt;"NE"),VLOOKUP(AN363,Retirement_Rates,5,FALSE)*Y363,0)</f>
        <v>0</v>
      </c>
      <c r="CE363" s="462">
        <f>IF(AND(AT363&lt;&gt;0,AJ363&lt;&gt;"PF"),LifeCHG*Y363,0)</f>
        <v>0</v>
      </c>
      <c r="CF363" s="462">
        <f>IF(AND(AT363&lt;&gt;0,AM363="Y"),UICHG*Y363,0)</f>
        <v>0</v>
      </c>
      <c r="CG363" s="462">
        <f>IF(AND(AT363&lt;&gt;0,N363&lt;&gt;"NR"),DHRCHG*Y363,0)</f>
        <v>0</v>
      </c>
      <c r="CH363" s="462">
        <f>IF(AT363&lt;&gt;0,WCCHG*Y363,0)</f>
        <v>0</v>
      </c>
      <c r="CI363" s="462">
        <f>IF(OR(AND(AT363&lt;&gt;0,AJ363&lt;&gt;"PF",AN363&lt;&gt;"NE",AG363&lt;&gt;"A"),AND(AL363="E",OR(AT363=1,AT363=3))),SickCHG*Y363,0)</f>
        <v>0</v>
      </c>
      <c r="CJ363" s="462">
        <f t="shared" si="97"/>
        <v>0</v>
      </c>
      <c r="CK363" s="462" t="str">
        <f t="shared" si="98"/>
        <v/>
      </c>
      <c r="CL363" s="462">
        <f t="shared" si="99"/>
        <v>0</v>
      </c>
      <c r="CM363" s="462">
        <f t="shared" si="100"/>
        <v>0</v>
      </c>
      <c r="CN363" s="462" t="str">
        <f t="shared" si="101"/>
        <v>0410-01</v>
      </c>
    </row>
    <row r="364" spans="1:92" ht="15" thickBot="1" x14ac:dyDescent="0.35">
      <c r="A364" s="376" t="s">
        <v>161</v>
      </c>
      <c r="B364" s="376" t="s">
        <v>162</v>
      </c>
      <c r="C364" s="376" t="s">
        <v>682</v>
      </c>
      <c r="D364" s="376" t="s">
        <v>221</v>
      </c>
      <c r="E364" s="376" t="s">
        <v>1014</v>
      </c>
      <c r="F364" s="382" t="s">
        <v>936</v>
      </c>
      <c r="G364" s="376" t="s">
        <v>1015</v>
      </c>
      <c r="H364" s="378"/>
      <c r="I364" s="378"/>
      <c r="J364" s="376" t="s">
        <v>168</v>
      </c>
      <c r="K364" s="376" t="s">
        <v>222</v>
      </c>
      <c r="L364" s="376" t="s">
        <v>166</v>
      </c>
      <c r="M364" s="376" t="s">
        <v>171</v>
      </c>
      <c r="N364" s="376" t="s">
        <v>223</v>
      </c>
      <c r="O364" s="379">
        <v>0</v>
      </c>
      <c r="P364" s="460">
        <v>1</v>
      </c>
      <c r="Q364" s="460">
        <v>0</v>
      </c>
      <c r="R364" s="380">
        <v>0</v>
      </c>
      <c r="S364" s="460">
        <v>0</v>
      </c>
      <c r="T364" s="380">
        <v>40431.760000000002</v>
      </c>
      <c r="U364" s="380">
        <v>1644</v>
      </c>
      <c r="V364" s="380">
        <v>3809.61</v>
      </c>
      <c r="W364" s="380">
        <v>81643.199999999997</v>
      </c>
      <c r="X364" s="380">
        <v>10244.68</v>
      </c>
      <c r="Y364" s="380">
        <v>81643.199999999997</v>
      </c>
      <c r="Z364" s="380">
        <v>10244.68</v>
      </c>
      <c r="AA364" s="378"/>
      <c r="AB364" s="376" t="s">
        <v>45</v>
      </c>
      <c r="AC364" s="376" t="s">
        <v>45</v>
      </c>
      <c r="AD364" s="378"/>
      <c r="AE364" s="378"/>
      <c r="AF364" s="378"/>
      <c r="AG364" s="378"/>
      <c r="AH364" s="379">
        <v>0</v>
      </c>
      <c r="AI364" s="379">
        <v>0</v>
      </c>
      <c r="AJ364" s="378"/>
      <c r="AK364" s="378"/>
      <c r="AL364" s="376" t="s">
        <v>181</v>
      </c>
      <c r="AM364" s="378"/>
      <c r="AN364" s="378"/>
      <c r="AO364" s="379">
        <v>0</v>
      </c>
      <c r="AP364" s="460">
        <v>0</v>
      </c>
      <c r="AQ364" s="460">
        <v>0</v>
      </c>
      <c r="AR364" s="459"/>
      <c r="AS364" s="462">
        <f t="shared" si="85"/>
        <v>0</v>
      </c>
      <c r="AT364">
        <f t="shared" si="86"/>
        <v>0</v>
      </c>
      <c r="AU364" s="462" t="str">
        <f>IF(AT364=0,"",IF(AND(AT364=1,M364="F",SUMIF(C2:C391,C364,AS2:AS391)&lt;=1),SUMIF(C2:C391,C364,AS2:AS391),IF(AND(AT364=1,M364="F",SUMIF(C2:C391,C364,AS2:AS391)&gt;1),1,"")))</f>
        <v/>
      </c>
      <c r="AV364" s="462" t="str">
        <f>IF(AT364=0,"",IF(AND(AT364=3,M364="F",SUMIF(C2:C391,C364,AS2:AS391)&lt;=1),SUMIF(C2:C391,C364,AS2:AS391),IF(AND(AT364=3,M364="F",SUMIF(C2:C391,C364,AS2:AS391)&gt;1),1,"")))</f>
        <v/>
      </c>
      <c r="AW364" s="462">
        <f>SUMIF(C2:C391,C364,O2:O391)</f>
        <v>0</v>
      </c>
      <c r="AX364" s="462">
        <f>IF(AND(M364="F",AS364&lt;&gt;0),SUMIF(C2:C391,C364,W2:W391),0)</f>
        <v>0</v>
      </c>
      <c r="AY364" s="462" t="str">
        <f t="shared" si="87"/>
        <v/>
      </c>
      <c r="AZ364" s="462" t="str">
        <f t="shared" si="88"/>
        <v/>
      </c>
      <c r="BA364" s="462">
        <f t="shared" si="89"/>
        <v>0</v>
      </c>
      <c r="BB364" s="462">
        <f>IF(AND(AT364=1,AK364="E",AU364&gt;=0.75,AW364=1),Health,IF(AND(AT364=1,AK364="E",AU364&gt;=0.75),Health*P364,IF(AND(AT364=1,AK364="E",AU364&gt;=0.5,AW364=1),PTHealth,IF(AND(AT364=1,AK364="E",AU364&gt;=0.5),PTHealth*P364,0))))</f>
        <v>0</v>
      </c>
      <c r="BC364" s="462">
        <f>IF(AND(AT364=3,AK364="E",AV364&gt;=0.75,AW364=1),Health,IF(AND(AT364=3,AK364="E",AV364&gt;=0.75),Health*P364,IF(AND(AT364=3,AK364="E",AV364&gt;=0.5,AW364=1),PTHealth,IF(AND(AT364=3,AK364="E",AV364&gt;=0.5),PTHealth*P364,0))))</f>
        <v>0</v>
      </c>
      <c r="BD364" s="462">
        <f>IF(AND(AT364&lt;&gt;0,AX364&gt;=MAXSSDI),SSDI*MAXSSDI*P364,IF(AT364&lt;&gt;0,SSDI*W364,0))</f>
        <v>0</v>
      </c>
      <c r="BE364" s="462">
        <f>IF(AT364&lt;&gt;0,SSHI*W364,0)</f>
        <v>0</v>
      </c>
      <c r="BF364" s="462">
        <f>IF(AND(AT364&lt;&gt;0,AN364&lt;&gt;"NE"),VLOOKUP(AN364,Retirement_Rates,3,FALSE)*W364,0)</f>
        <v>0</v>
      </c>
      <c r="BG364" s="462">
        <f>IF(AND(AT364&lt;&gt;0,AJ364&lt;&gt;"PF"),Life*W364,0)</f>
        <v>0</v>
      </c>
      <c r="BH364" s="462">
        <f>IF(AND(AT364&lt;&gt;0,AM364="Y"),UI*W364,0)</f>
        <v>0</v>
      </c>
      <c r="BI364" s="462">
        <f>IF(AND(AT364&lt;&gt;0,N364&lt;&gt;"NR"),DHR*W364,0)</f>
        <v>0</v>
      </c>
      <c r="BJ364" s="462">
        <f>IF(AT364&lt;&gt;0,WC*W364,0)</f>
        <v>0</v>
      </c>
      <c r="BK364" s="462">
        <f>IF(OR(AND(AT364&lt;&gt;0,AJ364&lt;&gt;"PF",AN364&lt;&gt;"NE",AG364&lt;&gt;"A"),AND(AL364="E",OR(AT364=1,AT364=3))),Sick*W364,0)</f>
        <v>0</v>
      </c>
      <c r="BL364" s="462">
        <f t="shared" si="90"/>
        <v>0</v>
      </c>
      <c r="BM364" s="462">
        <f t="shared" si="91"/>
        <v>0</v>
      </c>
      <c r="BN364" s="462">
        <f>IF(AND(AT364=1,AK364="E",AU364&gt;=0.75,AW364=1),HealthBY,IF(AND(AT364=1,AK364="E",AU364&gt;=0.75),HealthBY*P364,IF(AND(AT364=1,AK364="E",AU364&gt;=0.5,AW364=1),PTHealthBY,IF(AND(AT364=1,AK364="E",AU364&gt;=0.5),PTHealthBY*P364,0))))</f>
        <v>0</v>
      </c>
      <c r="BO364" s="462">
        <f>IF(AND(AT364=3,AK364="E",AV364&gt;=0.75,AW364=1),HealthBY,IF(AND(AT364=3,AK364="E",AV364&gt;=0.75),HealthBY*P364,IF(AND(AT364=3,AK364="E",AV364&gt;=0.5,AW364=1),PTHealthBY,IF(AND(AT364=3,AK364="E",AV364&gt;=0.5),PTHealthBY*P364,0))))</f>
        <v>0</v>
      </c>
      <c r="BP364" s="462">
        <f>IF(AND(AT364&lt;&gt;0,(AX364+BA364)&gt;=MAXSSDIBY),SSDIBY*MAXSSDIBY*P364,IF(AT364&lt;&gt;0,SSDIBY*W364,0))</f>
        <v>0</v>
      </c>
      <c r="BQ364" s="462">
        <f>IF(AT364&lt;&gt;0,SSHIBY*W364,0)</f>
        <v>0</v>
      </c>
      <c r="BR364" s="462">
        <f>IF(AND(AT364&lt;&gt;0,AN364&lt;&gt;"NE"),VLOOKUP(AN364,Retirement_Rates,4,FALSE)*W364,0)</f>
        <v>0</v>
      </c>
      <c r="BS364" s="462">
        <f>IF(AND(AT364&lt;&gt;0,AJ364&lt;&gt;"PF"),LifeBY*W364,0)</f>
        <v>0</v>
      </c>
      <c r="BT364" s="462">
        <f>IF(AND(AT364&lt;&gt;0,AM364="Y"),UIBY*W364,0)</f>
        <v>0</v>
      </c>
      <c r="BU364" s="462">
        <f>IF(AND(AT364&lt;&gt;0,N364&lt;&gt;"NR"),DHRBY*W364,0)</f>
        <v>0</v>
      </c>
      <c r="BV364" s="462">
        <f>IF(AT364&lt;&gt;0,WCBY*W364,0)</f>
        <v>0</v>
      </c>
      <c r="BW364" s="462">
        <f>IF(OR(AND(AT364&lt;&gt;0,AJ364&lt;&gt;"PF",AN364&lt;&gt;"NE",AG364&lt;&gt;"A"),AND(AL364="E",OR(AT364=1,AT364=3))),SickBY*W364,0)</f>
        <v>0</v>
      </c>
      <c r="BX364" s="462">
        <f t="shared" si="92"/>
        <v>0</v>
      </c>
      <c r="BY364" s="462">
        <f t="shared" si="93"/>
        <v>0</v>
      </c>
      <c r="BZ364" s="462">
        <f t="shared" si="94"/>
        <v>0</v>
      </c>
      <c r="CA364" s="462">
        <f t="shared" si="95"/>
        <v>0</v>
      </c>
      <c r="CB364" s="462">
        <f t="shared" si="96"/>
        <v>0</v>
      </c>
      <c r="CC364" s="462">
        <f>IF(AT364&lt;&gt;0,SSHICHG*Y364,0)</f>
        <v>0</v>
      </c>
      <c r="CD364" s="462">
        <f>IF(AND(AT364&lt;&gt;0,AN364&lt;&gt;"NE"),VLOOKUP(AN364,Retirement_Rates,5,FALSE)*Y364,0)</f>
        <v>0</v>
      </c>
      <c r="CE364" s="462">
        <f>IF(AND(AT364&lt;&gt;0,AJ364&lt;&gt;"PF"),LifeCHG*Y364,0)</f>
        <v>0</v>
      </c>
      <c r="CF364" s="462">
        <f>IF(AND(AT364&lt;&gt;0,AM364="Y"),UICHG*Y364,0)</f>
        <v>0</v>
      </c>
      <c r="CG364" s="462">
        <f>IF(AND(AT364&lt;&gt;0,N364&lt;&gt;"NR"),DHRCHG*Y364,0)</f>
        <v>0</v>
      </c>
      <c r="CH364" s="462">
        <f>IF(AT364&lt;&gt;0,WCCHG*Y364,0)</f>
        <v>0</v>
      </c>
      <c r="CI364" s="462">
        <f>IF(OR(AND(AT364&lt;&gt;0,AJ364&lt;&gt;"PF",AN364&lt;&gt;"NE",AG364&lt;&gt;"A"),AND(AL364="E",OR(AT364=1,AT364=3))),SickCHG*Y364,0)</f>
        <v>0</v>
      </c>
      <c r="CJ364" s="462">
        <f t="shared" si="97"/>
        <v>0</v>
      </c>
      <c r="CK364" s="462" t="str">
        <f t="shared" si="98"/>
        <v/>
      </c>
      <c r="CL364" s="462">
        <f t="shared" si="99"/>
        <v>42075.76</v>
      </c>
      <c r="CM364" s="462">
        <f t="shared" si="100"/>
        <v>3809.61</v>
      </c>
      <c r="CN364" s="462" t="str">
        <f t="shared" si="101"/>
        <v>0410-01</v>
      </c>
    </row>
    <row r="365" spans="1:92" ht="15" thickBot="1" x14ac:dyDescent="0.35">
      <c r="A365" s="376" t="s">
        <v>161</v>
      </c>
      <c r="B365" s="376" t="s">
        <v>162</v>
      </c>
      <c r="C365" s="376" t="s">
        <v>704</v>
      </c>
      <c r="D365" s="376" t="s">
        <v>221</v>
      </c>
      <c r="E365" s="376" t="s">
        <v>1014</v>
      </c>
      <c r="F365" s="382" t="s">
        <v>936</v>
      </c>
      <c r="G365" s="376" t="s">
        <v>1015</v>
      </c>
      <c r="H365" s="378"/>
      <c r="I365" s="378"/>
      <c r="J365" s="376" t="s">
        <v>168</v>
      </c>
      <c r="K365" s="376" t="s">
        <v>222</v>
      </c>
      <c r="L365" s="376" t="s">
        <v>166</v>
      </c>
      <c r="M365" s="376" t="s">
        <v>171</v>
      </c>
      <c r="N365" s="376" t="s">
        <v>223</v>
      </c>
      <c r="O365" s="379">
        <v>0</v>
      </c>
      <c r="P365" s="460">
        <v>1</v>
      </c>
      <c r="Q365" s="460">
        <v>0</v>
      </c>
      <c r="R365" s="380">
        <v>0</v>
      </c>
      <c r="S365" s="460">
        <v>0</v>
      </c>
      <c r="T365" s="380">
        <v>21265.4</v>
      </c>
      <c r="U365" s="380">
        <v>657.6</v>
      </c>
      <c r="V365" s="380">
        <v>2992.81</v>
      </c>
      <c r="W365" s="380">
        <v>140259.20000000001</v>
      </c>
      <c r="X365" s="380">
        <v>19195.29</v>
      </c>
      <c r="Y365" s="380">
        <v>140259.20000000001</v>
      </c>
      <c r="Z365" s="380">
        <v>19195.29</v>
      </c>
      <c r="AA365" s="378"/>
      <c r="AB365" s="376" t="s">
        <v>45</v>
      </c>
      <c r="AC365" s="376" t="s">
        <v>45</v>
      </c>
      <c r="AD365" s="378"/>
      <c r="AE365" s="378"/>
      <c r="AF365" s="378"/>
      <c r="AG365" s="378"/>
      <c r="AH365" s="379">
        <v>0</v>
      </c>
      <c r="AI365" s="379">
        <v>0</v>
      </c>
      <c r="AJ365" s="378"/>
      <c r="AK365" s="378"/>
      <c r="AL365" s="376" t="s">
        <v>181</v>
      </c>
      <c r="AM365" s="378"/>
      <c r="AN365" s="378"/>
      <c r="AO365" s="379">
        <v>0</v>
      </c>
      <c r="AP365" s="460">
        <v>0</v>
      </c>
      <c r="AQ365" s="460">
        <v>0</v>
      </c>
      <c r="AR365" s="459"/>
      <c r="AS365" s="462">
        <f t="shared" si="85"/>
        <v>0</v>
      </c>
      <c r="AT365">
        <f t="shared" si="86"/>
        <v>0</v>
      </c>
      <c r="AU365" s="462" t="str">
        <f>IF(AT365=0,"",IF(AND(AT365=1,M365="F",SUMIF(C2:C391,C365,AS2:AS391)&lt;=1),SUMIF(C2:C391,C365,AS2:AS391),IF(AND(AT365=1,M365="F",SUMIF(C2:C391,C365,AS2:AS391)&gt;1),1,"")))</f>
        <v/>
      </c>
      <c r="AV365" s="462" t="str">
        <f>IF(AT365=0,"",IF(AND(AT365=3,M365="F",SUMIF(C2:C391,C365,AS2:AS391)&lt;=1),SUMIF(C2:C391,C365,AS2:AS391),IF(AND(AT365=3,M365="F",SUMIF(C2:C391,C365,AS2:AS391)&gt;1),1,"")))</f>
        <v/>
      </c>
      <c r="AW365" s="462">
        <f>SUMIF(C2:C391,C365,O2:O391)</f>
        <v>0</v>
      </c>
      <c r="AX365" s="462">
        <f>IF(AND(M365="F",AS365&lt;&gt;0),SUMIF(C2:C391,C365,W2:W391),0)</f>
        <v>0</v>
      </c>
      <c r="AY365" s="462" t="str">
        <f t="shared" si="87"/>
        <v/>
      </c>
      <c r="AZ365" s="462" t="str">
        <f t="shared" si="88"/>
        <v/>
      </c>
      <c r="BA365" s="462">
        <f t="shared" si="89"/>
        <v>0</v>
      </c>
      <c r="BB365" s="462">
        <f>IF(AND(AT365=1,AK365="E",AU365&gt;=0.75,AW365=1),Health,IF(AND(AT365=1,AK365="E",AU365&gt;=0.75),Health*P365,IF(AND(AT365=1,AK365="E",AU365&gt;=0.5,AW365=1),PTHealth,IF(AND(AT365=1,AK365="E",AU365&gt;=0.5),PTHealth*P365,0))))</f>
        <v>0</v>
      </c>
      <c r="BC365" s="462">
        <f>IF(AND(AT365=3,AK365="E",AV365&gt;=0.75,AW365=1),Health,IF(AND(AT365=3,AK365="E",AV365&gt;=0.75),Health*P365,IF(AND(AT365=3,AK365="E",AV365&gt;=0.5,AW365=1),PTHealth,IF(AND(AT365=3,AK365="E",AV365&gt;=0.5),PTHealth*P365,0))))</f>
        <v>0</v>
      </c>
      <c r="BD365" s="462">
        <f>IF(AND(AT365&lt;&gt;0,AX365&gt;=MAXSSDI),SSDI*MAXSSDI*P365,IF(AT365&lt;&gt;0,SSDI*W365,0))</f>
        <v>0</v>
      </c>
      <c r="BE365" s="462">
        <f>IF(AT365&lt;&gt;0,SSHI*W365,0)</f>
        <v>0</v>
      </c>
      <c r="BF365" s="462">
        <f>IF(AND(AT365&lt;&gt;0,AN365&lt;&gt;"NE"),VLOOKUP(AN365,Retirement_Rates,3,FALSE)*W365,0)</f>
        <v>0</v>
      </c>
      <c r="BG365" s="462">
        <f>IF(AND(AT365&lt;&gt;0,AJ365&lt;&gt;"PF"),Life*W365,0)</f>
        <v>0</v>
      </c>
      <c r="BH365" s="462">
        <f>IF(AND(AT365&lt;&gt;0,AM365="Y"),UI*W365,0)</f>
        <v>0</v>
      </c>
      <c r="BI365" s="462">
        <f>IF(AND(AT365&lt;&gt;0,N365&lt;&gt;"NR"),DHR*W365,0)</f>
        <v>0</v>
      </c>
      <c r="BJ365" s="462">
        <f>IF(AT365&lt;&gt;0,WC*W365,0)</f>
        <v>0</v>
      </c>
      <c r="BK365" s="462">
        <f>IF(OR(AND(AT365&lt;&gt;0,AJ365&lt;&gt;"PF",AN365&lt;&gt;"NE",AG365&lt;&gt;"A"),AND(AL365="E",OR(AT365=1,AT365=3))),Sick*W365,0)</f>
        <v>0</v>
      </c>
      <c r="BL365" s="462">
        <f t="shared" si="90"/>
        <v>0</v>
      </c>
      <c r="BM365" s="462">
        <f t="shared" si="91"/>
        <v>0</v>
      </c>
      <c r="BN365" s="462">
        <f>IF(AND(AT365=1,AK365="E",AU365&gt;=0.75,AW365=1),HealthBY,IF(AND(AT365=1,AK365="E",AU365&gt;=0.75),HealthBY*P365,IF(AND(AT365=1,AK365="E",AU365&gt;=0.5,AW365=1),PTHealthBY,IF(AND(AT365=1,AK365="E",AU365&gt;=0.5),PTHealthBY*P365,0))))</f>
        <v>0</v>
      </c>
      <c r="BO365" s="462">
        <f>IF(AND(AT365=3,AK365="E",AV365&gt;=0.75,AW365=1),HealthBY,IF(AND(AT365=3,AK365="E",AV365&gt;=0.75),HealthBY*P365,IF(AND(AT365=3,AK365="E",AV365&gt;=0.5,AW365=1),PTHealthBY,IF(AND(AT365=3,AK365="E",AV365&gt;=0.5),PTHealthBY*P365,0))))</f>
        <v>0</v>
      </c>
      <c r="BP365" s="462">
        <f>IF(AND(AT365&lt;&gt;0,(AX365+BA365)&gt;=MAXSSDIBY),SSDIBY*MAXSSDIBY*P365,IF(AT365&lt;&gt;0,SSDIBY*W365,0))</f>
        <v>0</v>
      </c>
      <c r="BQ365" s="462">
        <f>IF(AT365&lt;&gt;0,SSHIBY*W365,0)</f>
        <v>0</v>
      </c>
      <c r="BR365" s="462">
        <f>IF(AND(AT365&lt;&gt;0,AN365&lt;&gt;"NE"),VLOOKUP(AN365,Retirement_Rates,4,FALSE)*W365,0)</f>
        <v>0</v>
      </c>
      <c r="BS365" s="462">
        <f>IF(AND(AT365&lt;&gt;0,AJ365&lt;&gt;"PF"),LifeBY*W365,0)</f>
        <v>0</v>
      </c>
      <c r="BT365" s="462">
        <f>IF(AND(AT365&lt;&gt;0,AM365="Y"),UIBY*W365,0)</f>
        <v>0</v>
      </c>
      <c r="BU365" s="462">
        <f>IF(AND(AT365&lt;&gt;0,N365&lt;&gt;"NR"),DHRBY*W365,0)</f>
        <v>0</v>
      </c>
      <c r="BV365" s="462">
        <f>IF(AT365&lt;&gt;0,WCBY*W365,0)</f>
        <v>0</v>
      </c>
      <c r="BW365" s="462">
        <f>IF(OR(AND(AT365&lt;&gt;0,AJ365&lt;&gt;"PF",AN365&lt;&gt;"NE",AG365&lt;&gt;"A"),AND(AL365="E",OR(AT365=1,AT365=3))),SickBY*W365,0)</f>
        <v>0</v>
      </c>
      <c r="BX365" s="462">
        <f t="shared" si="92"/>
        <v>0</v>
      </c>
      <c r="BY365" s="462">
        <f t="shared" si="93"/>
        <v>0</v>
      </c>
      <c r="BZ365" s="462">
        <f t="shared" si="94"/>
        <v>0</v>
      </c>
      <c r="CA365" s="462">
        <f t="shared" si="95"/>
        <v>0</v>
      </c>
      <c r="CB365" s="462">
        <f t="shared" si="96"/>
        <v>0</v>
      </c>
      <c r="CC365" s="462">
        <f>IF(AT365&lt;&gt;0,SSHICHG*Y365,0)</f>
        <v>0</v>
      </c>
      <c r="CD365" s="462">
        <f>IF(AND(AT365&lt;&gt;0,AN365&lt;&gt;"NE"),VLOOKUP(AN365,Retirement_Rates,5,FALSE)*Y365,0)</f>
        <v>0</v>
      </c>
      <c r="CE365" s="462">
        <f>IF(AND(AT365&lt;&gt;0,AJ365&lt;&gt;"PF"),LifeCHG*Y365,0)</f>
        <v>0</v>
      </c>
      <c r="CF365" s="462">
        <f>IF(AND(AT365&lt;&gt;0,AM365="Y"),UICHG*Y365,0)</f>
        <v>0</v>
      </c>
      <c r="CG365" s="462">
        <f>IF(AND(AT365&lt;&gt;0,N365&lt;&gt;"NR"),DHRCHG*Y365,0)</f>
        <v>0</v>
      </c>
      <c r="CH365" s="462">
        <f>IF(AT365&lt;&gt;0,WCCHG*Y365,0)</f>
        <v>0</v>
      </c>
      <c r="CI365" s="462">
        <f>IF(OR(AND(AT365&lt;&gt;0,AJ365&lt;&gt;"PF",AN365&lt;&gt;"NE",AG365&lt;&gt;"A"),AND(AL365="E",OR(AT365=1,AT365=3))),SickCHG*Y365,0)</f>
        <v>0</v>
      </c>
      <c r="CJ365" s="462">
        <f t="shared" si="97"/>
        <v>0</v>
      </c>
      <c r="CK365" s="462" t="str">
        <f t="shared" si="98"/>
        <v/>
      </c>
      <c r="CL365" s="462">
        <f t="shared" si="99"/>
        <v>21923</v>
      </c>
      <c r="CM365" s="462">
        <f t="shared" si="100"/>
        <v>2992.81</v>
      </c>
      <c r="CN365" s="462" t="str">
        <f t="shared" si="101"/>
        <v>0410-01</v>
      </c>
    </row>
    <row r="366" spans="1:92" ht="15" thickBot="1" x14ac:dyDescent="0.35">
      <c r="A366" s="376" t="s">
        <v>161</v>
      </c>
      <c r="B366" s="376" t="s">
        <v>162</v>
      </c>
      <c r="C366" s="376" t="s">
        <v>1022</v>
      </c>
      <c r="D366" s="376" t="s">
        <v>221</v>
      </c>
      <c r="E366" s="376" t="s">
        <v>1014</v>
      </c>
      <c r="F366" s="382" t="s">
        <v>936</v>
      </c>
      <c r="G366" s="376" t="s">
        <v>1015</v>
      </c>
      <c r="H366" s="378"/>
      <c r="I366" s="378"/>
      <c r="J366" s="376" t="s">
        <v>168</v>
      </c>
      <c r="K366" s="376" t="s">
        <v>222</v>
      </c>
      <c r="L366" s="376" t="s">
        <v>166</v>
      </c>
      <c r="M366" s="376" t="s">
        <v>225</v>
      </c>
      <c r="N366" s="376" t="s">
        <v>223</v>
      </c>
      <c r="O366" s="379">
        <v>0</v>
      </c>
      <c r="P366" s="460">
        <v>1</v>
      </c>
      <c r="Q366" s="460">
        <v>0</v>
      </c>
      <c r="R366" s="380">
        <v>0</v>
      </c>
      <c r="S366" s="460">
        <v>0</v>
      </c>
      <c r="T366" s="380">
        <v>0</v>
      </c>
      <c r="U366" s="380">
        <v>0</v>
      </c>
      <c r="V366" s="380">
        <v>0</v>
      </c>
      <c r="W366" s="380">
        <v>0</v>
      </c>
      <c r="X366" s="380">
        <v>0</v>
      </c>
      <c r="Y366" s="380">
        <v>0</v>
      </c>
      <c r="Z366" s="380">
        <v>0</v>
      </c>
      <c r="AA366" s="378"/>
      <c r="AB366" s="376" t="s">
        <v>45</v>
      </c>
      <c r="AC366" s="376" t="s">
        <v>45</v>
      </c>
      <c r="AD366" s="378"/>
      <c r="AE366" s="378"/>
      <c r="AF366" s="378"/>
      <c r="AG366" s="378"/>
      <c r="AH366" s="379">
        <v>0</v>
      </c>
      <c r="AI366" s="379">
        <v>0</v>
      </c>
      <c r="AJ366" s="378"/>
      <c r="AK366" s="378"/>
      <c r="AL366" s="376" t="s">
        <v>181</v>
      </c>
      <c r="AM366" s="378"/>
      <c r="AN366" s="378"/>
      <c r="AO366" s="379">
        <v>0</v>
      </c>
      <c r="AP366" s="460">
        <v>0</v>
      </c>
      <c r="AQ366" s="460">
        <v>0</v>
      </c>
      <c r="AR366" s="459"/>
      <c r="AS366" s="462">
        <f t="shared" si="85"/>
        <v>0</v>
      </c>
      <c r="AT366">
        <f t="shared" si="86"/>
        <v>0</v>
      </c>
      <c r="AU366" s="462" t="str">
        <f>IF(AT366=0,"",IF(AND(AT366=1,M366="F",SUMIF(C2:C391,C366,AS2:AS391)&lt;=1),SUMIF(C2:C391,C366,AS2:AS391),IF(AND(AT366=1,M366="F",SUMIF(C2:C391,C366,AS2:AS391)&gt;1),1,"")))</f>
        <v/>
      </c>
      <c r="AV366" s="462" t="str">
        <f>IF(AT366=0,"",IF(AND(AT366=3,M366="F",SUMIF(C2:C391,C366,AS2:AS391)&lt;=1),SUMIF(C2:C391,C366,AS2:AS391),IF(AND(AT366=3,M366="F",SUMIF(C2:C391,C366,AS2:AS391)&gt;1),1,"")))</f>
        <v/>
      </c>
      <c r="AW366" s="462">
        <f>SUMIF(C2:C391,C366,O2:O391)</f>
        <v>0</v>
      </c>
      <c r="AX366" s="462">
        <f>IF(AND(M366="F",AS366&lt;&gt;0),SUMIF(C2:C391,C366,W2:W391),0)</f>
        <v>0</v>
      </c>
      <c r="AY366" s="462" t="str">
        <f t="shared" si="87"/>
        <v/>
      </c>
      <c r="AZ366" s="462" t="str">
        <f t="shared" si="88"/>
        <v/>
      </c>
      <c r="BA366" s="462">
        <f t="shared" si="89"/>
        <v>0</v>
      </c>
      <c r="BB366" s="462">
        <f>IF(AND(AT366=1,AK366="E",AU366&gt;=0.75,AW366=1),Health,IF(AND(AT366=1,AK366="E",AU366&gt;=0.75),Health*P366,IF(AND(AT366=1,AK366="E",AU366&gt;=0.5,AW366=1),PTHealth,IF(AND(AT366=1,AK366="E",AU366&gt;=0.5),PTHealth*P366,0))))</f>
        <v>0</v>
      </c>
      <c r="BC366" s="462">
        <f>IF(AND(AT366=3,AK366="E",AV366&gt;=0.75,AW366=1),Health,IF(AND(AT366=3,AK366="E",AV366&gt;=0.75),Health*P366,IF(AND(AT366=3,AK366="E",AV366&gt;=0.5,AW366=1),PTHealth,IF(AND(AT366=3,AK366="E",AV366&gt;=0.5),PTHealth*P366,0))))</f>
        <v>0</v>
      </c>
      <c r="BD366" s="462">
        <f>IF(AND(AT366&lt;&gt;0,AX366&gt;=MAXSSDI),SSDI*MAXSSDI*P366,IF(AT366&lt;&gt;0,SSDI*W366,0))</f>
        <v>0</v>
      </c>
      <c r="BE366" s="462">
        <f>IF(AT366&lt;&gt;0,SSHI*W366,0)</f>
        <v>0</v>
      </c>
      <c r="BF366" s="462">
        <f>IF(AND(AT366&lt;&gt;0,AN366&lt;&gt;"NE"),VLOOKUP(AN366,Retirement_Rates,3,FALSE)*W366,0)</f>
        <v>0</v>
      </c>
      <c r="BG366" s="462">
        <f>IF(AND(AT366&lt;&gt;0,AJ366&lt;&gt;"PF"),Life*W366,0)</f>
        <v>0</v>
      </c>
      <c r="BH366" s="462">
        <f>IF(AND(AT366&lt;&gt;0,AM366="Y"),UI*W366,0)</f>
        <v>0</v>
      </c>
      <c r="BI366" s="462">
        <f>IF(AND(AT366&lt;&gt;0,N366&lt;&gt;"NR"),DHR*W366,0)</f>
        <v>0</v>
      </c>
      <c r="BJ366" s="462">
        <f>IF(AT366&lt;&gt;0,WC*W366,0)</f>
        <v>0</v>
      </c>
      <c r="BK366" s="462">
        <f>IF(OR(AND(AT366&lt;&gt;0,AJ366&lt;&gt;"PF",AN366&lt;&gt;"NE",AG366&lt;&gt;"A"),AND(AL366="E",OR(AT366=1,AT366=3))),Sick*W366,0)</f>
        <v>0</v>
      </c>
      <c r="BL366" s="462">
        <f t="shared" si="90"/>
        <v>0</v>
      </c>
      <c r="BM366" s="462">
        <f t="shared" si="91"/>
        <v>0</v>
      </c>
      <c r="BN366" s="462">
        <f>IF(AND(AT366=1,AK366="E",AU366&gt;=0.75,AW366=1),HealthBY,IF(AND(AT366=1,AK366="E",AU366&gt;=0.75),HealthBY*P366,IF(AND(AT366=1,AK366="E",AU366&gt;=0.5,AW366=1),PTHealthBY,IF(AND(AT366=1,AK366="E",AU366&gt;=0.5),PTHealthBY*P366,0))))</f>
        <v>0</v>
      </c>
      <c r="BO366" s="462">
        <f>IF(AND(AT366=3,AK366="E",AV366&gt;=0.75,AW366=1),HealthBY,IF(AND(AT366=3,AK366="E",AV366&gt;=0.75),HealthBY*P366,IF(AND(AT366=3,AK366="E",AV366&gt;=0.5,AW366=1),PTHealthBY,IF(AND(AT366=3,AK366="E",AV366&gt;=0.5),PTHealthBY*P366,0))))</f>
        <v>0</v>
      </c>
      <c r="BP366" s="462">
        <f>IF(AND(AT366&lt;&gt;0,(AX366+BA366)&gt;=MAXSSDIBY),SSDIBY*MAXSSDIBY*P366,IF(AT366&lt;&gt;0,SSDIBY*W366,0))</f>
        <v>0</v>
      </c>
      <c r="BQ366" s="462">
        <f>IF(AT366&lt;&gt;0,SSHIBY*W366,0)</f>
        <v>0</v>
      </c>
      <c r="BR366" s="462">
        <f>IF(AND(AT366&lt;&gt;0,AN366&lt;&gt;"NE"),VLOOKUP(AN366,Retirement_Rates,4,FALSE)*W366,0)</f>
        <v>0</v>
      </c>
      <c r="BS366" s="462">
        <f>IF(AND(AT366&lt;&gt;0,AJ366&lt;&gt;"PF"),LifeBY*W366,0)</f>
        <v>0</v>
      </c>
      <c r="BT366" s="462">
        <f>IF(AND(AT366&lt;&gt;0,AM366="Y"),UIBY*W366,0)</f>
        <v>0</v>
      </c>
      <c r="BU366" s="462">
        <f>IF(AND(AT366&lt;&gt;0,N366&lt;&gt;"NR"),DHRBY*W366,0)</f>
        <v>0</v>
      </c>
      <c r="BV366" s="462">
        <f>IF(AT366&lt;&gt;0,WCBY*W366,0)</f>
        <v>0</v>
      </c>
      <c r="BW366" s="462">
        <f>IF(OR(AND(AT366&lt;&gt;0,AJ366&lt;&gt;"PF",AN366&lt;&gt;"NE",AG366&lt;&gt;"A"),AND(AL366="E",OR(AT366=1,AT366=3))),SickBY*W366,0)</f>
        <v>0</v>
      </c>
      <c r="BX366" s="462">
        <f t="shared" si="92"/>
        <v>0</v>
      </c>
      <c r="BY366" s="462">
        <f t="shared" si="93"/>
        <v>0</v>
      </c>
      <c r="BZ366" s="462">
        <f t="shared" si="94"/>
        <v>0</v>
      </c>
      <c r="CA366" s="462">
        <f t="shared" si="95"/>
        <v>0</v>
      </c>
      <c r="CB366" s="462">
        <f t="shared" si="96"/>
        <v>0</v>
      </c>
      <c r="CC366" s="462">
        <f>IF(AT366&lt;&gt;0,SSHICHG*Y366,0)</f>
        <v>0</v>
      </c>
      <c r="CD366" s="462">
        <f>IF(AND(AT366&lt;&gt;0,AN366&lt;&gt;"NE"),VLOOKUP(AN366,Retirement_Rates,5,FALSE)*Y366,0)</f>
        <v>0</v>
      </c>
      <c r="CE366" s="462">
        <f>IF(AND(AT366&lt;&gt;0,AJ366&lt;&gt;"PF"),LifeCHG*Y366,0)</f>
        <v>0</v>
      </c>
      <c r="CF366" s="462">
        <f>IF(AND(AT366&lt;&gt;0,AM366="Y"),UICHG*Y366,0)</f>
        <v>0</v>
      </c>
      <c r="CG366" s="462">
        <f>IF(AND(AT366&lt;&gt;0,N366&lt;&gt;"NR"),DHRCHG*Y366,0)</f>
        <v>0</v>
      </c>
      <c r="CH366" s="462">
        <f>IF(AT366&lt;&gt;0,WCCHG*Y366,0)</f>
        <v>0</v>
      </c>
      <c r="CI366" s="462">
        <f>IF(OR(AND(AT366&lt;&gt;0,AJ366&lt;&gt;"PF",AN366&lt;&gt;"NE",AG366&lt;&gt;"A"),AND(AL366="E",OR(AT366=1,AT366=3))),SickCHG*Y366,0)</f>
        <v>0</v>
      </c>
      <c r="CJ366" s="462">
        <f t="shared" si="97"/>
        <v>0</v>
      </c>
      <c r="CK366" s="462" t="str">
        <f t="shared" si="98"/>
        <v/>
      </c>
      <c r="CL366" s="462">
        <f t="shared" si="99"/>
        <v>0</v>
      </c>
      <c r="CM366" s="462">
        <f t="shared" si="100"/>
        <v>0</v>
      </c>
      <c r="CN366" s="462" t="str">
        <f t="shared" si="101"/>
        <v>0410-01</v>
      </c>
    </row>
    <row r="367" spans="1:92" ht="15" thickBot="1" x14ac:dyDescent="0.35">
      <c r="A367" s="376" t="s">
        <v>161</v>
      </c>
      <c r="B367" s="376" t="s">
        <v>162</v>
      </c>
      <c r="C367" s="376" t="s">
        <v>765</v>
      </c>
      <c r="D367" s="376" t="s">
        <v>221</v>
      </c>
      <c r="E367" s="376" t="s">
        <v>1014</v>
      </c>
      <c r="F367" s="382" t="s">
        <v>936</v>
      </c>
      <c r="G367" s="376" t="s">
        <v>1015</v>
      </c>
      <c r="H367" s="378"/>
      <c r="I367" s="378"/>
      <c r="J367" s="376" t="s">
        <v>168</v>
      </c>
      <c r="K367" s="376" t="s">
        <v>222</v>
      </c>
      <c r="L367" s="376" t="s">
        <v>166</v>
      </c>
      <c r="M367" s="376" t="s">
        <v>171</v>
      </c>
      <c r="N367" s="376" t="s">
        <v>223</v>
      </c>
      <c r="O367" s="379">
        <v>0</v>
      </c>
      <c r="P367" s="460">
        <v>0</v>
      </c>
      <c r="Q367" s="460">
        <v>0</v>
      </c>
      <c r="R367" s="380">
        <v>0</v>
      </c>
      <c r="S367" s="460">
        <v>0</v>
      </c>
      <c r="T367" s="380">
        <v>21629.5</v>
      </c>
      <c r="U367" s="380">
        <v>144</v>
      </c>
      <c r="V367" s="380">
        <v>5744.83</v>
      </c>
      <c r="W367" s="380">
        <v>0</v>
      </c>
      <c r="X367" s="380">
        <v>0</v>
      </c>
      <c r="Y367" s="380">
        <v>0</v>
      </c>
      <c r="Z367" s="380">
        <v>0</v>
      </c>
      <c r="AA367" s="378"/>
      <c r="AB367" s="376" t="s">
        <v>45</v>
      </c>
      <c r="AC367" s="376" t="s">
        <v>45</v>
      </c>
      <c r="AD367" s="378"/>
      <c r="AE367" s="378"/>
      <c r="AF367" s="378"/>
      <c r="AG367" s="378"/>
      <c r="AH367" s="379">
        <v>0</v>
      </c>
      <c r="AI367" s="379">
        <v>0</v>
      </c>
      <c r="AJ367" s="378"/>
      <c r="AK367" s="378"/>
      <c r="AL367" s="376" t="s">
        <v>181</v>
      </c>
      <c r="AM367" s="378"/>
      <c r="AN367" s="378"/>
      <c r="AO367" s="379">
        <v>0</v>
      </c>
      <c r="AP367" s="460">
        <v>0</v>
      </c>
      <c r="AQ367" s="460">
        <v>0</v>
      </c>
      <c r="AR367" s="459"/>
      <c r="AS367" s="462">
        <f t="shared" si="85"/>
        <v>0</v>
      </c>
      <c r="AT367">
        <f t="shared" si="86"/>
        <v>0</v>
      </c>
      <c r="AU367" s="462" t="str">
        <f>IF(AT367=0,"",IF(AND(AT367=1,M367="F",SUMIF(C2:C391,C367,AS2:AS391)&lt;=1),SUMIF(C2:C391,C367,AS2:AS391),IF(AND(AT367=1,M367="F",SUMIF(C2:C391,C367,AS2:AS391)&gt;1),1,"")))</f>
        <v/>
      </c>
      <c r="AV367" s="462" t="str">
        <f>IF(AT367=0,"",IF(AND(AT367=3,M367="F",SUMIF(C2:C391,C367,AS2:AS391)&lt;=1),SUMIF(C2:C391,C367,AS2:AS391),IF(AND(AT367=3,M367="F",SUMIF(C2:C391,C367,AS2:AS391)&gt;1),1,"")))</f>
        <v/>
      </c>
      <c r="AW367" s="462">
        <f>SUMIF(C2:C391,C367,O2:O391)</f>
        <v>0</v>
      </c>
      <c r="AX367" s="462">
        <f>IF(AND(M367="F",AS367&lt;&gt;0),SUMIF(C2:C391,C367,W2:W391),0)</f>
        <v>0</v>
      </c>
      <c r="AY367" s="462" t="str">
        <f t="shared" si="87"/>
        <v/>
      </c>
      <c r="AZ367" s="462" t="str">
        <f t="shared" si="88"/>
        <v/>
      </c>
      <c r="BA367" s="462">
        <f t="shared" si="89"/>
        <v>0</v>
      </c>
      <c r="BB367" s="462">
        <f>IF(AND(AT367=1,AK367="E",AU367&gt;=0.75,AW367=1),Health,IF(AND(AT367=1,AK367="E",AU367&gt;=0.75),Health*P367,IF(AND(AT367=1,AK367="E",AU367&gt;=0.5,AW367=1),PTHealth,IF(AND(AT367=1,AK367="E",AU367&gt;=0.5),PTHealth*P367,0))))</f>
        <v>0</v>
      </c>
      <c r="BC367" s="462">
        <f>IF(AND(AT367=3,AK367="E",AV367&gt;=0.75,AW367=1),Health,IF(AND(AT367=3,AK367="E",AV367&gt;=0.75),Health*P367,IF(AND(AT367=3,AK367="E",AV367&gt;=0.5,AW367=1),PTHealth,IF(AND(AT367=3,AK367="E",AV367&gt;=0.5),PTHealth*P367,0))))</f>
        <v>0</v>
      </c>
      <c r="BD367" s="462">
        <f>IF(AND(AT367&lt;&gt;0,AX367&gt;=MAXSSDI),SSDI*MAXSSDI*P367,IF(AT367&lt;&gt;0,SSDI*W367,0))</f>
        <v>0</v>
      </c>
      <c r="BE367" s="462">
        <f>IF(AT367&lt;&gt;0,SSHI*W367,0)</f>
        <v>0</v>
      </c>
      <c r="BF367" s="462">
        <f>IF(AND(AT367&lt;&gt;0,AN367&lt;&gt;"NE"),VLOOKUP(AN367,Retirement_Rates,3,FALSE)*W367,0)</f>
        <v>0</v>
      </c>
      <c r="BG367" s="462">
        <f>IF(AND(AT367&lt;&gt;0,AJ367&lt;&gt;"PF"),Life*W367,0)</f>
        <v>0</v>
      </c>
      <c r="BH367" s="462">
        <f>IF(AND(AT367&lt;&gt;0,AM367="Y"),UI*W367,0)</f>
        <v>0</v>
      </c>
      <c r="BI367" s="462">
        <f>IF(AND(AT367&lt;&gt;0,N367&lt;&gt;"NR"),DHR*W367,0)</f>
        <v>0</v>
      </c>
      <c r="BJ367" s="462">
        <f>IF(AT367&lt;&gt;0,WC*W367,0)</f>
        <v>0</v>
      </c>
      <c r="BK367" s="462">
        <f>IF(OR(AND(AT367&lt;&gt;0,AJ367&lt;&gt;"PF",AN367&lt;&gt;"NE",AG367&lt;&gt;"A"),AND(AL367="E",OR(AT367=1,AT367=3))),Sick*W367,0)</f>
        <v>0</v>
      </c>
      <c r="BL367" s="462">
        <f t="shared" si="90"/>
        <v>0</v>
      </c>
      <c r="BM367" s="462">
        <f t="shared" si="91"/>
        <v>0</v>
      </c>
      <c r="BN367" s="462">
        <f>IF(AND(AT367=1,AK367="E",AU367&gt;=0.75,AW367=1),HealthBY,IF(AND(AT367=1,AK367="E",AU367&gt;=0.75),HealthBY*P367,IF(AND(AT367=1,AK367="E",AU367&gt;=0.5,AW367=1),PTHealthBY,IF(AND(AT367=1,AK367="E",AU367&gt;=0.5),PTHealthBY*P367,0))))</f>
        <v>0</v>
      </c>
      <c r="BO367" s="462">
        <f>IF(AND(AT367=3,AK367="E",AV367&gt;=0.75,AW367=1),HealthBY,IF(AND(AT367=3,AK367="E",AV367&gt;=0.75),HealthBY*P367,IF(AND(AT367=3,AK367="E",AV367&gt;=0.5,AW367=1),PTHealthBY,IF(AND(AT367=3,AK367="E",AV367&gt;=0.5),PTHealthBY*P367,0))))</f>
        <v>0</v>
      </c>
      <c r="BP367" s="462">
        <f>IF(AND(AT367&lt;&gt;0,(AX367+BA367)&gt;=MAXSSDIBY),SSDIBY*MAXSSDIBY*P367,IF(AT367&lt;&gt;0,SSDIBY*W367,0))</f>
        <v>0</v>
      </c>
      <c r="BQ367" s="462">
        <f>IF(AT367&lt;&gt;0,SSHIBY*W367,0)</f>
        <v>0</v>
      </c>
      <c r="BR367" s="462">
        <f>IF(AND(AT367&lt;&gt;0,AN367&lt;&gt;"NE"),VLOOKUP(AN367,Retirement_Rates,4,FALSE)*W367,0)</f>
        <v>0</v>
      </c>
      <c r="BS367" s="462">
        <f>IF(AND(AT367&lt;&gt;0,AJ367&lt;&gt;"PF"),LifeBY*W367,0)</f>
        <v>0</v>
      </c>
      <c r="BT367" s="462">
        <f>IF(AND(AT367&lt;&gt;0,AM367="Y"),UIBY*W367,0)</f>
        <v>0</v>
      </c>
      <c r="BU367" s="462">
        <f>IF(AND(AT367&lt;&gt;0,N367&lt;&gt;"NR"),DHRBY*W367,0)</f>
        <v>0</v>
      </c>
      <c r="BV367" s="462">
        <f>IF(AT367&lt;&gt;0,WCBY*W367,0)</f>
        <v>0</v>
      </c>
      <c r="BW367" s="462">
        <f>IF(OR(AND(AT367&lt;&gt;0,AJ367&lt;&gt;"PF",AN367&lt;&gt;"NE",AG367&lt;&gt;"A"),AND(AL367="E",OR(AT367=1,AT367=3))),SickBY*W367,0)</f>
        <v>0</v>
      </c>
      <c r="BX367" s="462">
        <f t="shared" si="92"/>
        <v>0</v>
      </c>
      <c r="BY367" s="462">
        <f t="shared" si="93"/>
        <v>0</v>
      </c>
      <c r="BZ367" s="462">
        <f t="shared" si="94"/>
        <v>0</v>
      </c>
      <c r="CA367" s="462">
        <f t="shared" si="95"/>
        <v>0</v>
      </c>
      <c r="CB367" s="462">
        <f t="shared" si="96"/>
        <v>0</v>
      </c>
      <c r="CC367" s="462">
        <f>IF(AT367&lt;&gt;0,SSHICHG*Y367,0)</f>
        <v>0</v>
      </c>
      <c r="CD367" s="462">
        <f>IF(AND(AT367&lt;&gt;0,AN367&lt;&gt;"NE"),VLOOKUP(AN367,Retirement_Rates,5,FALSE)*Y367,0)</f>
        <v>0</v>
      </c>
      <c r="CE367" s="462">
        <f>IF(AND(AT367&lt;&gt;0,AJ367&lt;&gt;"PF"),LifeCHG*Y367,0)</f>
        <v>0</v>
      </c>
      <c r="CF367" s="462">
        <f>IF(AND(AT367&lt;&gt;0,AM367="Y"),UICHG*Y367,0)</f>
        <v>0</v>
      </c>
      <c r="CG367" s="462">
        <f>IF(AND(AT367&lt;&gt;0,N367&lt;&gt;"NR"),DHRCHG*Y367,0)</f>
        <v>0</v>
      </c>
      <c r="CH367" s="462">
        <f>IF(AT367&lt;&gt;0,WCCHG*Y367,0)</f>
        <v>0</v>
      </c>
      <c r="CI367" s="462">
        <f>IF(OR(AND(AT367&lt;&gt;0,AJ367&lt;&gt;"PF",AN367&lt;&gt;"NE",AG367&lt;&gt;"A"),AND(AL367="E",OR(AT367=1,AT367=3))),SickCHG*Y367,0)</f>
        <v>0</v>
      </c>
      <c r="CJ367" s="462">
        <f t="shared" si="97"/>
        <v>0</v>
      </c>
      <c r="CK367" s="462" t="str">
        <f t="shared" si="98"/>
        <v/>
      </c>
      <c r="CL367" s="462">
        <f t="shared" si="99"/>
        <v>21773.5</v>
      </c>
      <c r="CM367" s="462">
        <f t="shared" si="100"/>
        <v>5744.83</v>
      </c>
      <c r="CN367" s="462" t="str">
        <f t="shared" si="101"/>
        <v>0410-01</v>
      </c>
    </row>
    <row r="368" spans="1:92" ht="15" thickBot="1" x14ac:dyDescent="0.35">
      <c r="A368" s="376" t="s">
        <v>161</v>
      </c>
      <c r="B368" s="376" t="s">
        <v>162</v>
      </c>
      <c r="C368" s="376" t="s">
        <v>1023</v>
      </c>
      <c r="D368" s="376" t="s">
        <v>221</v>
      </c>
      <c r="E368" s="376" t="s">
        <v>1014</v>
      </c>
      <c r="F368" s="382" t="s">
        <v>936</v>
      </c>
      <c r="G368" s="376" t="s">
        <v>1015</v>
      </c>
      <c r="H368" s="378"/>
      <c r="I368" s="378"/>
      <c r="J368" s="376" t="s">
        <v>168</v>
      </c>
      <c r="K368" s="376" t="s">
        <v>222</v>
      </c>
      <c r="L368" s="376" t="s">
        <v>166</v>
      </c>
      <c r="M368" s="376" t="s">
        <v>225</v>
      </c>
      <c r="N368" s="376" t="s">
        <v>223</v>
      </c>
      <c r="O368" s="379">
        <v>0</v>
      </c>
      <c r="P368" s="460">
        <v>1</v>
      </c>
      <c r="Q368" s="460">
        <v>0</v>
      </c>
      <c r="R368" s="380">
        <v>0</v>
      </c>
      <c r="S368" s="460">
        <v>0</v>
      </c>
      <c r="T368" s="380">
        <v>0</v>
      </c>
      <c r="U368" s="380">
        <v>0</v>
      </c>
      <c r="V368" s="380">
        <v>0</v>
      </c>
      <c r="W368" s="380">
        <v>0</v>
      </c>
      <c r="X368" s="380">
        <v>0</v>
      </c>
      <c r="Y368" s="380">
        <v>0</v>
      </c>
      <c r="Z368" s="380">
        <v>0</v>
      </c>
      <c r="AA368" s="378"/>
      <c r="AB368" s="376" t="s">
        <v>45</v>
      </c>
      <c r="AC368" s="376" t="s">
        <v>45</v>
      </c>
      <c r="AD368" s="378"/>
      <c r="AE368" s="378"/>
      <c r="AF368" s="378"/>
      <c r="AG368" s="378"/>
      <c r="AH368" s="379">
        <v>0</v>
      </c>
      <c r="AI368" s="379">
        <v>0</v>
      </c>
      <c r="AJ368" s="378"/>
      <c r="AK368" s="378"/>
      <c r="AL368" s="376" t="s">
        <v>181</v>
      </c>
      <c r="AM368" s="378"/>
      <c r="AN368" s="378"/>
      <c r="AO368" s="379">
        <v>0</v>
      </c>
      <c r="AP368" s="460">
        <v>0</v>
      </c>
      <c r="AQ368" s="460">
        <v>0</v>
      </c>
      <c r="AR368" s="459"/>
      <c r="AS368" s="462">
        <f t="shared" si="85"/>
        <v>0</v>
      </c>
      <c r="AT368">
        <f t="shared" si="86"/>
        <v>0</v>
      </c>
      <c r="AU368" s="462" t="str">
        <f>IF(AT368=0,"",IF(AND(AT368=1,M368="F",SUMIF(C2:C391,C368,AS2:AS391)&lt;=1),SUMIF(C2:C391,C368,AS2:AS391),IF(AND(AT368=1,M368="F",SUMIF(C2:C391,C368,AS2:AS391)&gt;1),1,"")))</f>
        <v/>
      </c>
      <c r="AV368" s="462" t="str">
        <f>IF(AT368=0,"",IF(AND(AT368=3,M368="F",SUMIF(C2:C391,C368,AS2:AS391)&lt;=1),SUMIF(C2:C391,C368,AS2:AS391),IF(AND(AT368=3,M368="F",SUMIF(C2:C391,C368,AS2:AS391)&gt;1),1,"")))</f>
        <v/>
      </c>
      <c r="AW368" s="462">
        <f>SUMIF(C2:C391,C368,O2:O391)</f>
        <v>0</v>
      </c>
      <c r="AX368" s="462">
        <f>IF(AND(M368="F",AS368&lt;&gt;0),SUMIF(C2:C391,C368,W2:W391),0)</f>
        <v>0</v>
      </c>
      <c r="AY368" s="462" t="str">
        <f t="shared" si="87"/>
        <v/>
      </c>
      <c r="AZ368" s="462" t="str">
        <f t="shared" si="88"/>
        <v/>
      </c>
      <c r="BA368" s="462">
        <f t="shared" si="89"/>
        <v>0</v>
      </c>
      <c r="BB368" s="462">
        <f>IF(AND(AT368=1,AK368="E",AU368&gt;=0.75,AW368=1),Health,IF(AND(AT368=1,AK368="E",AU368&gt;=0.75),Health*P368,IF(AND(AT368=1,AK368="E",AU368&gt;=0.5,AW368=1),PTHealth,IF(AND(AT368=1,AK368="E",AU368&gt;=0.5),PTHealth*P368,0))))</f>
        <v>0</v>
      </c>
      <c r="BC368" s="462">
        <f>IF(AND(AT368=3,AK368="E",AV368&gt;=0.75,AW368=1),Health,IF(AND(AT368=3,AK368="E",AV368&gt;=0.75),Health*P368,IF(AND(AT368=3,AK368="E",AV368&gt;=0.5,AW368=1),PTHealth,IF(AND(AT368=3,AK368="E",AV368&gt;=0.5),PTHealth*P368,0))))</f>
        <v>0</v>
      </c>
      <c r="BD368" s="462">
        <f>IF(AND(AT368&lt;&gt;0,AX368&gt;=MAXSSDI),SSDI*MAXSSDI*P368,IF(AT368&lt;&gt;0,SSDI*W368,0))</f>
        <v>0</v>
      </c>
      <c r="BE368" s="462">
        <f>IF(AT368&lt;&gt;0,SSHI*W368,0)</f>
        <v>0</v>
      </c>
      <c r="BF368" s="462">
        <f>IF(AND(AT368&lt;&gt;0,AN368&lt;&gt;"NE"),VLOOKUP(AN368,Retirement_Rates,3,FALSE)*W368,0)</f>
        <v>0</v>
      </c>
      <c r="BG368" s="462">
        <f>IF(AND(AT368&lt;&gt;0,AJ368&lt;&gt;"PF"),Life*W368,0)</f>
        <v>0</v>
      </c>
      <c r="BH368" s="462">
        <f>IF(AND(AT368&lt;&gt;0,AM368="Y"),UI*W368,0)</f>
        <v>0</v>
      </c>
      <c r="BI368" s="462">
        <f>IF(AND(AT368&lt;&gt;0,N368&lt;&gt;"NR"),DHR*W368,0)</f>
        <v>0</v>
      </c>
      <c r="BJ368" s="462">
        <f>IF(AT368&lt;&gt;0,WC*W368,0)</f>
        <v>0</v>
      </c>
      <c r="BK368" s="462">
        <f>IF(OR(AND(AT368&lt;&gt;0,AJ368&lt;&gt;"PF",AN368&lt;&gt;"NE",AG368&lt;&gt;"A"),AND(AL368="E",OR(AT368=1,AT368=3))),Sick*W368,0)</f>
        <v>0</v>
      </c>
      <c r="BL368" s="462">
        <f t="shared" si="90"/>
        <v>0</v>
      </c>
      <c r="BM368" s="462">
        <f t="shared" si="91"/>
        <v>0</v>
      </c>
      <c r="BN368" s="462">
        <f>IF(AND(AT368=1,AK368="E",AU368&gt;=0.75,AW368=1),HealthBY,IF(AND(AT368=1,AK368="E",AU368&gt;=0.75),HealthBY*P368,IF(AND(AT368=1,AK368="E",AU368&gt;=0.5,AW368=1),PTHealthBY,IF(AND(AT368=1,AK368="E",AU368&gt;=0.5),PTHealthBY*P368,0))))</f>
        <v>0</v>
      </c>
      <c r="BO368" s="462">
        <f>IF(AND(AT368=3,AK368="E",AV368&gt;=0.75,AW368=1),HealthBY,IF(AND(AT368=3,AK368="E",AV368&gt;=0.75),HealthBY*P368,IF(AND(AT368=3,AK368="E",AV368&gt;=0.5,AW368=1),PTHealthBY,IF(AND(AT368=3,AK368="E",AV368&gt;=0.5),PTHealthBY*P368,0))))</f>
        <v>0</v>
      </c>
      <c r="BP368" s="462">
        <f>IF(AND(AT368&lt;&gt;0,(AX368+BA368)&gt;=MAXSSDIBY),SSDIBY*MAXSSDIBY*P368,IF(AT368&lt;&gt;0,SSDIBY*W368,0))</f>
        <v>0</v>
      </c>
      <c r="BQ368" s="462">
        <f>IF(AT368&lt;&gt;0,SSHIBY*W368,0)</f>
        <v>0</v>
      </c>
      <c r="BR368" s="462">
        <f>IF(AND(AT368&lt;&gt;0,AN368&lt;&gt;"NE"),VLOOKUP(AN368,Retirement_Rates,4,FALSE)*W368,0)</f>
        <v>0</v>
      </c>
      <c r="BS368" s="462">
        <f>IF(AND(AT368&lt;&gt;0,AJ368&lt;&gt;"PF"),LifeBY*W368,0)</f>
        <v>0</v>
      </c>
      <c r="BT368" s="462">
        <f>IF(AND(AT368&lt;&gt;0,AM368="Y"),UIBY*W368,0)</f>
        <v>0</v>
      </c>
      <c r="BU368" s="462">
        <f>IF(AND(AT368&lt;&gt;0,N368&lt;&gt;"NR"),DHRBY*W368,0)</f>
        <v>0</v>
      </c>
      <c r="BV368" s="462">
        <f>IF(AT368&lt;&gt;0,WCBY*W368,0)</f>
        <v>0</v>
      </c>
      <c r="BW368" s="462">
        <f>IF(OR(AND(AT368&lt;&gt;0,AJ368&lt;&gt;"PF",AN368&lt;&gt;"NE",AG368&lt;&gt;"A"),AND(AL368="E",OR(AT368=1,AT368=3))),SickBY*W368,0)</f>
        <v>0</v>
      </c>
      <c r="BX368" s="462">
        <f t="shared" si="92"/>
        <v>0</v>
      </c>
      <c r="BY368" s="462">
        <f t="shared" si="93"/>
        <v>0</v>
      </c>
      <c r="BZ368" s="462">
        <f t="shared" si="94"/>
        <v>0</v>
      </c>
      <c r="CA368" s="462">
        <f t="shared" si="95"/>
        <v>0</v>
      </c>
      <c r="CB368" s="462">
        <f t="shared" si="96"/>
        <v>0</v>
      </c>
      <c r="CC368" s="462">
        <f>IF(AT368&lt;&gt;0,SSHICHG*Y368,0)</f>
        <v>0</v>
      </c>
      <c r="CD368" s="462">
        <f>IF(AND(AT368&lt;&gt;0,AN368&lt;&gt;"NE"),VLOOKUP(AN368,Retirement_Rates,5,FALSE)*Y368,0)</f>
        <v>0</v>
      </c>
      <c r="CE368" s="462">
        <f>IF(AND(AT368&lt;&gt;0,AJ368&lt;&gt;"PF"),LifeCHG*Y368,0)</f>
        <v>0</v>
      </c>
      <c r="CF368" s="462">
        <f>IF(AND(AT368&lt;&gt;0,AM368="Y"),UICHG*Y368,0)</f>
        <v>0</v>
      </c>
      <c r="CG368" s="462">
        <f>IF(AND(AT368&lt;&gt;0,N368&lt;&gt;"NR"),DHRCHG*Y368,0)</f>
        <v>0</v>
      </c>
      <c r="CH368" s="462">
        <f>IF(AT368&lt;&gt;0,WCCHG*Y368,0)</f>
        <v>0</v>
      </c>
      <c r="CI368" s="462">
        <f>IF(OR(AND(AT368&lt;&gt;0,AJ368&lt;&gt;"PF",AN368&lt;&gt;"NE",AG368&lt;&gt;"A"),AND(AL368="E",OR(AT368=1,AT368=3))),SickCHG*Y368,0)</f>
        <v>0</v>
      </c>
      <c r="CJ368" s="462">
        <f t="shared" si="97"/>
        <v>0</v>
      </c>
      <c r="CK368" s="462" t="str">
        <f t="shared" si="98"/>
        <v/>
      </c>
      <c r="CL368" s="462">
        <f t="shared" si="99"/>
        <v>0</v>
      </c>
      <c r="CM368" s="462">
        <f t="shared" si="100"/>
        <v>0</v>
      </c>
      <c r="CN368" s="462" t="str">
        <f t="shared" si="101"/>
        <v>0410-01</v>
      </c>
    </row>
    <row r="369" spans="1:92" ht="15" thickBot="1" x14ac:dyDescent="0.35">
      <c r="A369" s="376" t="s">
        <v>161</v>
      </c>
      <c r="B369" s="376" t="s">
        <v>162</v>
      </c>
      <c r="C369" s="376" t="s">
        <v>1024</v>
      </c>
      <c r="D369" s="376" t="s">
        <v>221</v>
      </c>
      <c r="E369" s="376" t="s">
        <v>1014</v>
      </c>
      <c r="F369" s="382" t="s">
        <v>936</v>
      </c>
      <c r="G369" s="376" t="s">
        <v>1015</v>
      </c>
      <c r="H369" s="378"/>
      <c r="I369" s="378"/>
      <c r="J369" s="376" t="s">
        <v>168</v>
      </c>
      <c r="K369" s="376" t="s">
        <v>222</v>
      </c>
      <c r="L369" s="376" t="s">
        <v>166</v>
      </c>
      <c r="M369" s="376" t="s">
        <v>225</v>
      </c>
      <c r="N369" s="376" t="s">
        <v>223</v>
      </c>
      <c r="O369" s="379">
        <v>0</v>
      </c>
      <c r="P369" s="460">
        <v>1</v>
      </c>
      <c r="Q369" s="460">
        <v>0</v>
      </c>
      <c r="R369" s="380">
        <v>0</v>
      </c>
      <c r="S369" s="460">
        <v>0</v>
      </c>
      <c r="T369" s="380">
        <v>0</v>
      </c>
      <c r="U369" s="380">
        <v>0</v>
      </c>
      <c r="V369" s="380">
        <v>0</v>
      </c>
      <c r="W369" s="380">
        <v>0</v>
      </c>
      <c r="X369" s="380">
        <v>0</v>
      </c>
      <c r="Y369" s="380">
        <v>0</v>
      </c>
      <c r="Z369" s="380">
        <v>0</v>
      </c>
      <c r="AA369" s="378"/>
      <c r="AB369" s="376" t="s">
        <v>45</v>
      </c>
      <c r="AC369" s="376" t="s">
        <v>45</v>
      </c>
      <c r="AD369" s="378"/>
      <c r="AE369" s="378"/>
      <c r="AF369" s="378"/>
      <c r="AG369" s="378"/>
      <c r="AH369" s="379">
        <v>0</v>
      </c>
      <c r="AI369" s="379">
        <v>0</v>
      </c>
      <c r="AJ369" s="378"/>
      <c r="AK369" s="378"/>
      <c r="AL369" s="376" t="s">
        <v>181</v>
      </c>
      <c r="AM369" s="378"/>
      <c r="AN369" s="378"/>
      <c r="AO369" s="379">
        <v>0</v>
      </c>
      <c r="AP369" s="460">
        <v>0</v>
      </c>
      <c r="AQ369" s="460">
        <v>0</v>
      </c>
      <c r="AR369" s="459"/>
      <c r="AS369" s="462">
        <f t="shared" si="85"/>
        <v>0</v>
      </c>
      <c r="AT369">
        <f t="shared" si="86"/>
        <v>0</v>
      </c>
      <c r="AU369" s="462" t="str">
        <f>IF(AT369=0,"",IF(AND(AT369=1,M369="F",SUMIF(C2:C391,C369,AS2:AS391)&lt;=1),SUMIF(C2:C391,C369,AS2:AS391),IF(AND(AT369=1,M369="F",SUMIF(C2:C391,C369,AS2:AS391)&gt;1),1,"")))</f>
        <v/>
      </c>
      <c r="AV369" s="462" t="str">
        <f>IF(AT369=0,"",IF(AND(AT369=3,M369="F",SUMIF(C2:C391,C369,AS2:AS391)&lt;=1),SUMIF(C2:C391,C369,AS2:AS391),IF(AND(AT369=3,M369="F",SUMIF(C2:C391,C369,AS2:AS391)&gt;1),1,"")))</f>
        <v/>
      </c>
      <c r="AW369" s="462">
        <f>SUMIF(C2:C391,C369,O2:O391)</f>
        <v>0</v>
      </c>
      <c r="AX369" s="462">
        <f>IF(AND(M369="F",AS369&lt;&gt;0),SUMIF(C2:C391,C369,W2:W391),0)</f>
        <v>0</v>
      </c>
      <c r="AY369" s="462" t="str">
        <f t="shared" si="87"/>
        <v/>
      </c>
      <c r="AZ369" s="462" t="str">
        <f t="shared" si="88"/>
        <v/>
      </c>
      <c r="BA369" s="462">
        <f t="shared" si="89"/>
        <v>0</v>
      </c>
      <c r="BB369" s="462">
        <f>IF(AND(AT369=1,AK369="E",AU369&gt;=0.75,AW369=1),Health,IF(AND(AT369=1,AK369="E",AU369&gt;=0.75),Health*P369,IF(AND(AT369=1,AK369="E",AU369&gt;=0.5,AW369=1),PTHealth,IF(AND(AT369=1,AK369="E",AU369&gt;=0.5),PTHealth*P369,0))))</f>
        <v>0</v>
      </c>
      <c r="BC369" s="462">
        <f>IF(AND(AT369=3,AK369="E",AV369&gt;=0.75,AW369=1),Health,IF(AND(AT369=3,AK369="E",AV369&gt;=0.75),Health*P369,IF(AND(AT369=3,AK369="E",AV369&gt;=0.5,AW369=1),PTHealth,IF(AND(AT369=3,AK369="E",AV369&gt;=0.5),PTHealth*P369,0))))</f>
        <v>0</v>
      </c>
      <c r="BD369" s="462">
        <f>IF(AND(AT369&lt;&gt;0,AX369&gt;=MAXSSDI),SSDI*MAXSSDI*P369,IF(AT369&lt;&gt;0,SSDI*W369,0))</f>
        <v>0</v>
      </c>
      <c r="BE369" s="462">
        <f>IF(AT369&lt;&gt;0,SSHI*W369,0)</f>
        <v>0</v>
      </c>
      <c r="BF369" s="462">
        <f>IF(AND(AT369&lt;&gt;0,AN369&lt;&gt;"NE"),VLOOKUP(AN369,Retirement_Rates,3,FALSE)*W369,0)</f>
        <v>0</v>
      </c>
      <c r="BG369" s="462">
        <f>IF(AND(AT369&lt;&gt;0,AJ369&lt;&gt;"PF"),Life*W369,0)</f>
        <v>0</v>
      </c>
      <c r="BH369" s="462">
        <f>IF(AND(AT369&lt;&gt;0,AM369="Y"),UI*W369,0)</f>
        <v>0</v>
      </c>
      <c r="BI369" s="462">
        <f>IF(AND(AT369&lt;&gt;0,N369&lt;&gt;"NR"),DHR*W369,0)</f>
        <v>0</v>
      </c>
      <c r="BJ369" s="462">
        <f>IF(AT369&lt;&gt;0,WC*W369,0)</f>
        <v>0</v>
      </c>
      <c r="BK369" s="462">
        <f>IF(OR(AND(AT369&lt;&gt;0,AJ369&lt;&gt;"PF",AN369&lt;&gt;"NE",AG369&lt;&gt;"A"),AND(AL369="E",OR(AT369=1,AT369=3))),Sick*W369,0)</f>
        <v>0</v>
      </c>
      <c r="BL369" s="462">
        <f t="shared" si="90"/>
        <v>0</v>
      </c>
      <c r="BM369" s="462">
        <f t="shared" si="91"/>
        <v>0</v>
      </c>
      <c r="BN369" s="462">
        <f>IF(AND(AT369=1,AK369="E",AU369&gt;=0.75,AW369=1),HealthBY,IF(AND(AT369=1,AK369="E",AU369&gt;=0.75),HealthBY*P369,IF(AND(AT369=1,AK369="E",AU369&gt;=0.5,AW369=1),PTHealthBY,IF(AND(AT369=1,AK369="E",AU369&gt;=0.5),PTHealthBY*P369,0))))</f>
        <v>0</v>
      </c>
      <c r="BO369" s="462">
        <f>IF(AND(AT369=3,AK369="E",AV369&gt;=0.75,AW369=1),HealthBY,IF(AND(AT369=3,AK369="E",AV369&gt;=0.75),HealthBY*P369,IF(AND(AT369=3,AK369="E",AV369&gt;=0.5,AW369=1),PTHealthBY,IF(AND(AT369=3,AK369="E",AV369&gt;=0.5),PTHealthBY*P369,0))))</f>
        <v>0</v>
      </c>
      <c r="BP369" s="462">
        <f>IF(AND(AT369&lt;&gt;0,(AX369+BA369)&gt;=MAXSSDIBY),SSDIBY*MAXSSDIBY*P369,IF(AT369&lt;&gt;0,SSDIBY*W369,0))</f>
        <v>0</v>
      </c>
      <c r="BQ369" s="462">
        <f>IF(AT369&lt;&gt;0,SSHIBY*W369,0)</f>
        <v>0</v>
      </c>
      <c r="BR369" s="462">
        <f>IF(AND(AT369&lt;&gt;0,AN369&lt;&gt;"NE"),VLOOKUP(AN369,Retirement_Rates,4,FALSE)*W369,0)</f>
        <v>0</v>
      </c>
      <c r="BS369" s="462">
        <f>IF(AND(AT369&lt;&gt;0,AJ369&lt;&gt;"PF"),LifeBY*W369,0)</f>
        <v>0</v>
      </c>
      <c r="BT369" s="462">
        <f>IF(AND(AT369&lt;&gt;0,AM369="Y"),UIBY*W369,0)</f>
        <v>0</v>
      </c>
      <c r="BU369" s="462">
        <f>IF(AND(AT369&lt;&gt;0,N369&lt;&gt;"NR"),DHRBY*W369,0)</f>
        <v>0</v>
      </c>
      <c r="BV369" s="462">
        <f>IF(AT369&lt;&gt;0,WCBY*W369,0)</f>
        <v>0</v>
      </c>
      <c r="BW369" s="462">
        <f>IF(OR(AND(AT369&lt;&gt;0,AJ369&lt;&gt;"PF",AN369&lt;&gt;"NE",AG369&lt;&gt;"A"),AND(AL369="E",OR(AT369=1,AT369=3))),SickBY*W369,0)</f>
        <v>0</v>
      </c>
      <c r="BX369" s="462">
        <f t="shared" si="92"/>
        <v>0</v>
      </c>
      <c r="BY369" s="462">
        <f t="shared" si="93"/>
        <v>0</v>
      </c>
      <c r="BZ369" s="462">
        <f t="shared" si="94"/>
        <v>0</v>
      </c>
      <c r="CA369" s="462">
        <f t="shared" si="95"/>
        <v>0</v>
      </c>
      <c r="CB369" s="462">
        <f t="shared" si="96"/>
        <v>0</v>
      </c>
      <c r="CC369" s="462">
        <f>IF(AT369&lt;&gt;0,SSHICHG*Y369,0)</f>
        <v>0</v>
      </c>
      <c r="CD369" s="462">
        <f>IF(AND(AT369&lt;&gt;0,AN369&lt;&gt;"NE"),VLOOKUP(AN369,Retirement_Rates,5,FALSE)*Y369,0)</f>
        <v>0</v>
      </c>
      <c r="CE369" s="462">
        <f>IF(AND(AT369&lt;&gt;0,AJ369&lt;&gt;"PF"),LifeCHG*Y369,0)</f>
        <v>0</v>
      </c>
      <c r="CF369" s="462">
        <f>IF(AND(AT369&lt;&gt;0,AM369="Y"),UICHG*Y369,0)</f>
        <v>0</v>
      </c>
      <c r="CG369" s="462">
        <f>IF(AND(AT369&lt;&gt;0,N369&lt;&gt;"NR"),DHRCHG*Y369,0)</f>
        <v>0</v>
      </c>
      <c r="CH369" s="462">
        <f>IF(AT369&lt;&gt;0,WCCHG*Y369,0)</f>
        <v>0</v>
      </c>
      <c r="CI369" s="462">
        <f>IF(OR(AND(AT369&lt;&gt;0,AJ369&lt;&gt;"PF",AN369&lt;&gt;"NE",AG369&lt;&gt;"A"),AND(AL369="E",OR(AT369=1,AT369=3))),SickCHG*Y369,0)</f>
        <v>0</v>
      </c>
      <c r="CJ369" s="462">
        <f t="shared" si="97"/>
        <v>0</v>
      </c>
      <c r="CK369" s="462" t="str">
        <f t="shared" si="98"/>
        <v/>
      </c>
      <c r="CL369" s="462">
        <f t="shared" si="99"/>
        <v>0</v>
      </c>
      <c r="CM369" s="462">
        <f t="shared" si="100"/>
        <v>0</v>
      </c>
      <c r="CN369" s="462" t="str">
        <f t="shared" si="101"/>
        <v>0410-01</v>
      </c>
    </row>
    <row r="370" spans="1:92" ht="15" thickBot="1" x14ac:dyDescent="0.35">
      <c r="A370" s="376" t="s">
        <v>161</v>
      </c>
      <c r="B370" s="376" t="s">
        <v>162</v>
      </c>
      <c r="C370" s="376" t="s">
        <v>1025</v>
      </c>
      <c r="D370" s="376" t="s">
        <v>221</v>
      </c>
      <c r="E370" s="376" t="s">
        <v>1014</v>
      </c>
      <c r="F370" s="382" t="s">
        <v>936</v>
      </c>
      <c r="G370" s="376" t="s">
        <v>1015</v>
      </c>
      <c r="H370" s="378"/>
      <c r="I370" s="378"/>
      <c r="J370" s="376" t="s">
        <v>168</v>
      </c>
      <c r="K370" s="376" t="s">
        <v>222</v>
      </c>
      <c r="L370" s="376" t="s">
        <v>166</v>
      </c>
      <c r="M370" s="376" t="s">
        <v>225</v>
      </c>
      <c r="N370" s="376" t="s">
        <v>223</v>
      </c>
      <c r="O370" s="379">
        <v>0</v>
      </c>
      <c r="P370" s="460">
        <v>1</v>
      </c>
      <c r="Q370" s="460">
        <v>0</v>
      </c>
      <c r="R370" s="380">
        <v>0</v>
      </c>
      <c r="S370" s="460">
        <v>0</v>
      </c>
      <c r="T370" s="380">
        <v>0</v>
      </c>
      <c r="U370" s="380">
        <v>0</v>
      </c>
      <c r="V370" s="380">
        <v>0</v>
      </c>
      <c r="W370" s="380">
        <v>0</v>
      </c>
      <c r="X370" s="380">
        <v>0</v>
      </c>
      <c r="Y370" s="380">
        <v>0</v>
      </c>
      <c r="Z370" s="380">
        <v>0</v>
      </c>
      <c r="AA370" s="378"/>
      <c r="AB370" s="376" t="s">
        <v>45</v>
      </c>
      <c r="AC370" s="376" t="s">
        <v>45</v>
      </c>
      <c r="AD370" s="378"/>
      <c r="AE370" s="378"/>
      <c r="AF370" s="378"/>
      <c r="AG370" s="378"/>
      <c r="AH370" s="379">
        <v>0</v>
      </c>
      <c r="AI370" s="379">
        <v>0</v>
      </c>
      <c r="AJ370" s="378"/>
      <c r="AK370" s="378"/>
      <c r="AL370" s="376" t="s">
        <v>181</v>
      </c>
      <c r="AM370" s="378"/>
      <c r="AN370" s="378"/>
      <c r="AO370" s="379">
        <v>0</v>
      </c>
      <c r="AP370" s="460">
        <v>0</v>
      </c>
      <c r="AQ370" s="460">
        <v>0</v>
      </c>
      <c r="AR370" s="459"/>
      <c r="AS370" s="462">
        <f t="shared" si="85"/>
        <v>0</v>
      </c>
      <c r="AT370">
        <f t="shared" si="86"/>
        <v>0</v>
      </c>
      <c r="AU370" s="462" t="str">
        <f>IF(AT370=0,"",IF(AND(AT370=1,M370="F",SUMIF(C2:C391,C370,AS2:AS391)&lt;=1),SUMIF(C2:C391,C370,AS2:AS391),IF(AND(AT370=1,M370="F",SUMIF(C2:C391,C370,AS2:AS391)&gt;1),1,"")))</f>
        <v/>
      </c>
      <c r="AV370" s="462" t="str">
        <f>IF(AT370=0,"",IF(AND(AT370=3,M370="F",SUMIF(C2:C391,C370,AS2:AS391)&lt;=1),SUMIF(C2:C391,C370,AS2:AS391),IF(AND(AT370=3,M370="F",SUMIF(C2:C391,C370,AS2:AS391)&gt;1),1,"")))</f>
        <v/>
      </c>
      <c r="AW370" s="462">
        <f>SUMIF(C2:C391,C370,O2:O391)</f>
        <v>0</v>
      </c>
      <c r="AX370" s="462">
        <f>IF(AND(M370="F",AS370&lt;&gt;0),SUMIF(C2:C391,C370,W2:W391),0)</f>
        <v>0</v>
      </c>
      <c r="AY370" s="462" t="str">
        <f t="shared" si="87"/>
        <v/>
      </c>
      <c r="AZ370" s="462" t="str">
        <f t="shared" si="88"/>
        <v/>
      </c>
      <c r="BA370" s="462">
        <f t="shared" si="89"/>
        <v>0</v>
      </c>
      <c r="BB370" s="462">
        <f>IF(AND(AT370=1,AK370="E",AU370&gt;=0.75,AW370=1),Health,IF(AND(AT370=1,AK370="E",AU370&gt;=0.75),Health*P370,IF(AND(AT370=1,AK370="E",AU370&gt;=0.5,AW370=1),PTHealth,IF(AND(AT370=1,AK370="E",AU370&gt;=0.5),PTHealth*P370,0))))</f>
        <v>0</v>
      </c>
      <c r="BC370" s="462">
        <f>IF(AND(AT370=3,AK370="E",AV370&gt;=0.75,AW370=1),Health,IF(AND(AT370=3,AK370="E",AV370&gt;=0.75),Health*P370,IF(AND(AT370=3,AK370="E",AV370&gt;=0.5,AW370=1),PTHealth,IF(AND(AT370=3,AK370="E",AV370&gt;=0.5),PTHealth*P370,0))))</f>
        <v>0</v>
      </c>
      <c r="BD370" s="462">
        <f>IF(AND(AT370&lt;&gt;0,AX370&gt;=MAXSSDI),SSDI*MAXSSDI*P370,IF(AT370&lt;&gt;0,SSDI*W370,0))</f>
        <v>0</v>
      </c>
      <c r="BE370" s="462">
        <f>IF(AT370&lt;&gt;0,SSHI*W370,0)</f>
        <v>0</v>
      </c>
      <c r="BF370" s="462">
        <f>IF(AND(AT370&lt;&gt;0,AN370&lt;&gt;"NE"),VLOOKUP(AN370,Retirement_Rates,3,FALSE)*W370,0)</f>
        <v>0</v>
      </c>
      <c r="BG370" s="462">
        <f>IF(AND(AT370&lt;&gt;0,AJ370&lt;&gt;"PF"),Life*W370,0)</f>
        <v>0</v>
      </c>
      <c r="BH370" s="462">
        <f>IF(AND(AT370&lt;&gt;0,AM370="Y"),UI*W370,0)</f>
        <v>0</v>
      </c>
      <c r="BI370" s="462">
        <f>IF(AND(AT370&lt;&gt;0,N370&lt;&gt;"NR"),DHR*W370,0)</f>
        <v>0</v>
      </c>
      <c r="BJ370" s="462">
        <f>IF(AT370&lt;&gt;0,WC*W370,0)</f>
        <v>0</v>
      </c>
      <c r="BK370" s="462">
        <f>IF(OR(AND(AT370&lt;&gt;0,AJ370&lt;&gt;"PF",AN370&lt;&gt;"NE",AG370&lt;&gt;"A"),AND(AL370="E",OR(AT370=1,AT370=3))),Sick*W370,0)</f>
        <v>0</v>
      </c>
      <c r="BL370" s="462">
        <f t="shared" si="90"/>
        <v>0</v>
      </c>
      <c r="BM370" s="462">
        <f t="shared" si="91"/>
        <v>0</v>
      </c>
      <c r="BN370" s="462">
        <f>IF(AND(AT370=1,AK370="E",AU370&gt;=0.75,AW370=1),HealthBY,IF(AND(AT370=1,AK370="E",AU370&gt;=0.75),HealthBY*P370,IF(AND(AT370=1,AK370="E",AU370&gt;=0.5,AW370=1),PTHealthBY,IF(AND(AT370=1,AK370="E",AU370&gt;=0.5),PTHealthBY*P370,0))))</f>
        <v>0</v>
      </c>
      <c r="BO370" s="462">
        <f>IF(AND(AT370=3,AK370="E",AV370&gt;=0.75,AW370=1),HealthBY,IF(AND(AT370=3,AK370="E",AV370&gt;=0.75),HealthBY*P370,IF(AND(AT370=3,AK370="E",AV370&gt;=0.5,AW370=1),PTHealthBY,IF(AND(AT370=3,AK370="E",AV370&gt;=0.5),PTHealthBY*P370,0))))</f>
        <v>0</v>
      </c>
      <c r="BP370" s="462">
        <f>IF(AND(AT370&lt;&gt;0,(AX370+BA370)&gt;=MAXSSDIBY),SSDIBY*MAXSSDIBY*P370,IF(AT370&lt;&gt;0,SSDIBY*W370,0))</f>
        <v>0</v>
      </c>
      <c r="BQ370" s="462">
        <f>IF(AT370&lt;&gt;0,SSHIBY*W370,0)</f>
        <v>0</v>
      </c>
      <c r="BR370" s="462">
        <f>IF(AND(AT370&lt;&gt;0,AN370&lt;&gt;"NE"),VLOOKUP(AN370,Retirement_Rates,4,FALSE)*W370,0)</f>
        <v>0</v>
      </c>
      <c r="BS370" s="462">
        <f>IF(AND(AT370&lt;&gt;0,AJ370&lt;&gt;"PF"),LifeBY*W370,0)</f>
        <v>0</v>
      </c>
      <c r="BT370" s="462">
        <f>IF(AND(AT370&lt;&gt;0,AM370="Y"),UIBY*W370,0)</f>
        <v>0</v>
      </c>
      <c r="BU370" s="462">
        <f>IF(AND(AT370&lt;&gt;0,N370&lt;&gt;"NR"),DHRBY*W370,0)</f>
        <v>0</v>
      </c>
      <c r="BV370" s="462">
        <f>IF(AT370&lt;&gt;0,WCBY*W370,0)</f>
        <v>0</v>
      </c>
      <c r="BW370" s="462">
        <f>IF(OR(AND(AT370&lt;&gt;0,AJ370&lt;&gt;"PF",AN370&lt;&gt;"NE",AG370&lt;&gt;"A"),AND(AL370="E",OR(AT370=1,AT370=3))),SickBY*W370,0)</f>
        <v>0</v>
      </c>
      <c r="BX370" s="462">
        <f t="shared" si="92"/>
        <v>0</v>
      </c>
      <c r="BY370" s="462">
        <f t="shared" si="93"/>
        <v>0</v>
      </c>
      <c r="BZ370" s="462">
        <f t="shared" si="94"/>
        <v>0</v>
      </c>
      <c r="CA370" s="462">
        <f t="shared" si="95"/>
        <v>0</v>
      </c>
      <c r="CB370" s="462">
        <f t="shared" si="96"/>
        <v>0</v>
      </c>
      <c r="CC370" s="462">
        <f>IF(AT370&lt;&gt;0,SSHICHG*Y370,0)</f>
        <v>0</v>
      </c>
      <c r="CD370" s="462">
        <f>IF(AND(AT370&lt;&gt;0,AN370&lt;&gt;"NE"),VLOOKUP(AN370,Retirement_Rates,5,FALSE)*Y370,0)</f>
        <v>0</v>
      </c>
      <c r="CE370" s="462">
        <f>IF(AND(AT370&lt;&gt;0,AJ370&lt;&gt;"PF"),LifeCHG*Y370,0)</f>
        <v>0</v>
      </c>
      <c r="CF370" s="462">
        <f>IF(AND(AT370&lt;&gt;0,AM370="Y"),UICHG*Y370,0)</f>
        <v>0</v>
      </c>
      <c r="CG370" s="462">
        <f>IF(AND(AT370&lt;&gt;0,N370&lt;&gt;"NR"),DHRCHG*Y370,0)</f>
        <v>0</v>
      </c>
      <c r="CH370" s="462">
        <f>IF(AT370&lt;&gt;0,WCCHG*Y370,0)</f>
        <v>0</v>
      </c>
      <c r="CI370" s="462">
        <f>IF(OR(AND(AT370&lt;&gt;0,AJ370&lt;&gt;"PF",AN370&lt;&gt;"NE",AG370&lt;&gt;"A"),AND(AL370="E",OR(AT370=1,AT370=3))),SickCHG*Y370,0)</f>
        <v>0</v>
      </c>
      <c r="CJ370" s="462">
        <f t="shared" si="97"/>
        <v>0</v>
      </c>
      <c r="CK370" s="462" t="str">
        <f t="shared" si="98"/>
        <v/>
      </c>
      <c r="CL370" s="462">
        <f t="shared" si="99"/>
        <v>0</v>
      </c>
      <c r="CM370" s="462">
        <f t="shared" si="100"/>
        <v>0</v>
      </c>
      <c r="CN370" s="462" t="str">
        <f t="shared" si="101"/>
        <v>0410-01</v>
      </c>
    </row>
    <row r="371" spans="1:92" ht="15" thickBot="1" x14ac:dyDescent="0.35">
      <c r="A371" s="376" t="s">
        <v>161</v>
      </c>
      <c r="B371" s="376" t="s">
        <v>162</v>
      </c>
      <c r="C371" s="376" t="s">
        <v>1026</v>
      </c>
      <c r="D371" s="376" t="s">
        <v>221</v>
      </c>
      <c r="E371" s="376" t="s">
        <v>1014</v>
      </c>
      <c r="F371" s="382" t="s">
        <v>936</v>
      </c>
      <c r="G371" s="376" t="s">
        <v>1015</v>
      </c>
      <c r="H371" s="378"/>
      <c r="I371" s="378"/>
      <c r="J371" s="376" t="s">
        <v>168</v>
      </c>
      <c r="K371" s="376" t="s">
        <v>222</v>
      </c>
      <c r="L371" s="376" t="s">
        <v>166</v>
      </c>
      <c r="M371" s="376" t="s">
        <v>225</v>
      </c>
      <c r="N371" s="376" t="s">
        <v>223</v>
      </c>
      <c r="O371" s="379">
        <v>0</v>
      </c>
      <c r="P371" s="460">
        <v>1</v>
      </c>
      <c r="Q371" s="460">
        <v>0</v>
      </c>
      <c r="R371" s="380">
        <v>0</v>
      </c>
      <c r="S371" s="460">
        <v>0</v>
      </c>
      <c r="T371" s="380">
        <v>0</v>
      </c>
      <c r="U371" s="380">
        <v>0</v>
      </c>
      <c r="V371" s="380">
        <v>0</v>
      </c>
      <c r="W371" s="380">
        <v>0</v>
      </c>
      <c r="X371" s="380">
        <v>0</v>
      </c>
      <c r="Y371" s="380">
        <v>0</v>
      </c>
      <c r="Z371" s="380">
        <v>0</v>
      </c>
      <c r="AA371" s="378"/>
      <c r="AB371" s="376" t="s">
        <v>45</v>
      </c>
      <c r="AC371" s="376" t="s">
        <v>45</v>
      </c>
      <c r="AD371" s="378"/>
      <c r="AE371" s="378"/>
      <c r="AF371" s="378"/>
      <c r="AG371" s="378"/>
      <c r="AH371" s="379">
        <v>0</v>
      </c>
      <c r="AI371" s="379">
        <v>0</v>
      </c>
      <c r="AJ371" s="378"/>
      <c r="AK371" s="378"/>
      <c r="AL371" s="376" t="s">
        <v>181</v>
      </c>
      <c r="AM371" s="378"/>
      <c r="AN371" s="378"/>
      <c r="AO371" s="379">
        <v>0</v>
      </c>
      <c r="AP371" s="460">
        <v>0</v>
      </c>
      <c r="AQ371" s="460">
        <v>0</v>
      </c>
      <c r="AR371" s="459"/>
      <c r="AS371" s="462">
        <f t="shared" si="85"/>
        <v>0</v>
      </c>
      <c r="AT371">
        <f t="shared" si="86"/>
        <v>0</v>
      </c>
      <c r="AU371" s="462" t="str">
        <f>IF(AT371=0,"",IF(AND(AT371=1,M371="F",SUMIF(C2:C391,C371,AS2:AS391)&lt;=1),SUMIF(C2:C391,C371,AS2:AS391),IF(AND(AT371=1,M371="F",SUMIF(C2:C391,C371,AS2:AS391)&gt;1),1,"")))</f>
        <v/>
      </c>
      <c r="AV371" s="462" t="str">
        <f>IF(AT371=0,"",IF(AND(AT371=3,M371="F",SUMIF(C2:C391,C371,AS2:AS391)&lt;=1),SUMIF(C2:C391,C371,AS2:AS391),IF(AND(AT371=3,M371="F",SUMIF(C2:C391,C371,AS2:AS391)&gt;1),1,"")))</f>
        <v/>
      </c>
      <c r="AW371" s="462">
        <f>SUMIF(C2:C391,C371,O2:O391)</f>
        <v>0</v>
      </c>
      <c r="AX371" s="462">
        <f>IF(AND(M371="F",AS371&lt;&gt;0),SUMIF(C2:C391,C371,W2:W391),0)</f>
        <v>0</v>
      </c>
      <c r="AY371" s="462" t="str">
        <f t="shared" si="87"/>
        <v/>
      </c>
      <c r="AZ371" s="462" t="str">
        <f t="shared" si="88"/>
        <v/>
      </c>
      <c r="BA371" s="462">
        <f t="shared" si="89"/>
        <v>0</v>
      </c>
      <c r="BB371" s="462">
        <f>IF(AND(AT371=1,AK371="E",AU371&gt;=0.75,AW371=1),Health,IF(AND(AT371=1,AK371="E",AU371&gt;=0.75),Health*P371,IF(AND(AT371=1,AK371="E",AU371&gt;=0.5,AW371=1),PTHealth,IF(AND(AT371=1,AK371="E",AU371&gt;=0.5),PTHealth*P371,0))))</f>
        <v>0</v>
      </c>
      <c r="BC371" s="462">
        <f>IF(AND(AT371=3,AK371="E",AV371&gt;=0.75,AW371=1),Health,IF(AND(AT371=3,AK371="E",AV371&gt;=0.75),Health*P371,IF(AND(AT371=3,AK371="E",AV371&gt;=0.5,AW371=1),PTHealth,IF(AND(AT371=3,AK371="E",AV371&gt;=0.5),PTHealth*P371,0))))</f>
        <v>0</v>
      </c>
      <c r="BD371" s="462">
        <f>IF(AND(AT371&lt;&gt;0,AX371&gt;=MAXSSDI),SSDI*MAXSSDI*P371,IF(AT371&lt;&gt;0,SSDI*W371,0))</f>
        <v>0</v>
      </c>
      <c r="BE371" s="462">
        <f>IF(AT371&lt;&gt;0,SSHI*W371,0)</f>
        <v>0</v>
      </c>
      <c r="BF371" s="462">
        <f>IF(AND(AT371&lt;&gt;0,AN371&lt;&gt;"NE"),VLOOKUP(AN371,Retirement_Rates,3,FALSE)*W371,0)</f>
        <v>0</v>
      </c>
      <c r="BG371" s="462">
        <f>IF(AND(AT371&lt;&gt;0,AJ371&lt;&gt;"PF"),Life*W371,0)</f>
        <v>0</v>
      </c>
      <c r="BH371" s="462">
        <f>IF(AND(AT371&lt;&gt;0,AM371="Y"),UI*W371,0)</f>
        <v>0</v>
      </c>
      <c r="BI371" s="462">
        <f>IF(AND(AT371&lt;&gt;0,N371&lt;&gt;"NR"),DHR*W371,0)</f>
        <v>0</v>
      </c>
      <c r="BJ371" s="462">
        <f>IF(AT371&lt;&gt;0,WC*W371,0)</f>
        <v>0</v>
      </c>
      <c r="BK371" s="462">
        <f>IF(OR(AND(AT371&lt;&gt;0,AJ371&lt;&gt;"PF",AN371&lt;&gt;"NE",AG371&lt;&gt;"A"),AND(AL371="E",OR(AT371=1,AT371=3))),Sick*W371,0)</f>
        <v>0</v>
      </c>
      <c r="BL371" s="462">
        <f t="shared" si="90"/>
        <v>0</v>
      </c>
      <c r="BM371" s="462">
        <f t="shared" si="91"/>
        <v>0</v>
      </c>
      <c r="BN371" s="462">
        <f>IF(AND(AT371=1,AK371="E",AU371&gt;=0.75,AW371=1),HealthBY,IF(AND(AT371=1,AK371="E",AU371&gt;=0.75),HealthBY*P371,IF(AND(AT371=1,AK371="E",AU371&gt;=0.5,AW371=1),PTHealthBY,IF(AND(AT371=1,AK371="E",AU371&gt;=0.5),PTHealthBY*P371,0))))</f>
        <v>0</v>
      </c>
      <c r="BO371" s="462">
        <f>IF(AND(AT371=3,AK371="E",AV371&gt;=0.75,AW371=1),HealthBY,IF(AND(AT371=3,AK371="E",AV371&gt;=0.75),HealthBY*P371,IF(AND(AT371=3,AK371="E",AV371&gt;=0.5,AW371=1),PTHealthBY,IF(AND(AT371=3,AK371="E",AV371&gt;=0.5),PTHealthBY*P371,0))))</f>
        <v>0</v>
      </c>
      <c r="BP371" s="462">
        <f>IF(AND(AT371&lt;&gt;0,(AX371+BA371)&gt;=MAXSSDIBY),SSDIBY*MAXSSDIBY*P371,IF(AT371&lt;&gt;0,SSDIBY*W371,0))</f>
        <v>0</v>
      </c>
      <c r="BQ371" s="462">
        <f>IF(AT371&lt;&gt;0,SSHIBY*W371,0)</f>
        <v>0</v>
      </c>
      <c r="BR371" s="462">
        <f>IF(AND(AT371&lt;&gt;0,AN371&lt;&gt;"NE"),VLOOKUP(AN371,Retirement_Rates,4,FALSE)*W371,0)</f>
        <v>0</v>
      </c>
      <c r="BS371" s="462">
        <f>IF(AND(AT371&lt;&gt;0,AJ371&lt;&gt;"PF"),LifeBY*W371,0)</f>
        <v>0</v>
      </c>
      <c r="BT371" s="462">
        <f>IF(AND(AT371&lt;&gt;0,AM371="Y"),UIBY*W371,0)</f>
        <v>0</v>
      </c>
      <c r="BU371" s="462">
        <f>IF(AND(AT371&lt;&gt;0,N371&lt;&gt;"NR"),DHRBY*W371,0)</f>
        <v>0</v>
      </c>
      <c r="BV371" s="462">
        <f>IF(AT371&lt;&gt;0,WCBY*W371,0)</f>
        <v>0</v>
      </c>
      <c r="BW371" s="462">
        <f>IF(OR(AND(AT371&lt;&gt;0,AJ371&lt;&gt;"PF",AN371&lt;&gt;"NE",AG371&lt;&gt;"A"),AND(AL371="E",OR(AT371=1,AT371=3))),SickBY*W371,0)</f>
        <v>0</v>
      </c>
      <c r="BX371" s="462">
        <f t="shared" si="92"/>
        <v>0</v>
      </c>
      <c r="BY371" s="462">
        <f t="shared" si="93"/>
        <v>0</v>
      </c>
      <c r="BZ371" s="462">
        <f t="shared" si="94"/>
        <v>0</v>
      </c>
      <c r="CA371" s="462">
        <f t="shared" si="95"/>
        <v>0</v>
      </c>
      <c r="CB371" s="462">
        <f t="shared" si="96"/>
        <v>0</v>
      </c>
      <c r="CC371" s="462">
        <f>IF(AT371&lt;&gt;0,SSHICHG*Y371,0)</f>
        <v>0</v>
      </c>
      <c r="CD371" s="462">
        <f>IF(AND(AT371&lt;&gt;0,AN371&lt;&gt;"NE"),VLOOKUP(AN371,Retirement_Rates,5,FALSE)*Y371,0)</f>
        <v>0</v>
      </c>
      <c r="CE371" s="462">
        <f>IF(AND(AT371&lt;&gt;0,AJ371&lt;&gt;"PF"),LifeCHG*Y371,0)</f>
        <v>0</v>
      </c>
      <c r="CF371" s="462">
        <f>IF(AND(AT371&lt;&gt;0,AM371="Y"),UICHG*Y371,0)</f>
        <v>0</v>
      </c>
      <c r="CG371" s="462">
        <f>IF(AND(AT371&lt;&gt;0,N371&lt;&gt;"NR"),DHRCHG*Y371,0)</f>
        <v>0</v>
      </c>
      <c r="CH371" s="462">
        <f>IF(AT371&lt;&gt;0,WCCHG*Y371,0)</f>
        <v>0</v>
      </c>
      <c r="CI371" s="462">
        <f>IF(OR(AND(AT371&lt;&gt;0,AJ371&lt;&gt;"PF",AN371&lt;&gt;"NE",AG371&lt;&gt;"A"),AND(AL371="E",OR(AT371=1,AT371=3))),SickCHG*Y371,0)</f>
        <v>0</v>
      </c>
      <c r="CJ371" s="462">
        <f t="shared" si="97"/>
        <v>0</v>
      </c>
      <c r="CK371" s="462" t="str">
        <f t="shared" si="98"/>
        <v/>
      </c>
      <c r="CL371" s="462">
        <f t="shared" si="99"/>
        <v>0</v>
      </c>
      <c r="CM371" s="462">
        <f t="shared" si="100"/>
        <v>0</v>
      </c>
      <c r="CN371" s="462" t="str">
        <f t="shared" si="101"/>
        <v>0410-01</v>
      </c>
    </row>
    <row r="372" spans="1:92" ht="15" thickBot="1" x14ac:dyDescent="0.35">
      <c r="A372" s="376" t="s">
        <v>161</v>
      </c>
      <c r="B372" s="376" t="s">
        <v>162</v>
      </c>
      <c r="C372" s="376" t="s">
        <v>973</v>
      </c>
      <c r="D372" s="376" t="s">
        <v>907</v>
      </c>
      <c r="E372" s="376" t="s">
        <v>1014</v>
      </c>
      <c r="F372" s="382" t="s">
        <v>936</v>
      </c>
      <c r="G372" s="376" t="s">
        <v>1015</v>
      </c>
      <c r="H372" s="378"/>
      <c r="I372" s="378"/>
      <c r="J372" s="376" t="s">
        <v>193</v>
      </c>
      <c r="K372" s="376" t="s">
        <v>908</v>
      </c>
      <c r="L372" s="376" t="s">
        <v>178</v>
      </c>
      <c r="M372" s="376" t="s">
        <v>171</v>
      </c>
      <c r="N372" s="376" t="s">
        <v>172</v>
      </c>
      <c r="O372" s="379">
        <v>2</v>
      </c>
      <c r="P372" s="460">
        <v>0.35</v>
      </c>
      <c r="Q372" s="460">
        <v>0.35</v>
      </c>
      <c r="R372" s="380">
        <v>80</v>
      </c>
      <c r="S372" s="460">
        <v>0.35</v>
      </c>
      <c r="T372" s="380">
        <v>14166.11</v>
      </c>
      <c r="U372" s="380">
        <v>0</v>
      </c>
      <c r="V372" s="380">
        <v>7671.6</v>
      </c>
      <c r="W372" s="380">
        <v>12980.24</v>
      </c>
      <c r="X372" s="380">
        <v>7166.39</v>
      </c>
      <c r="Y372" s="380">
        <v>12980.24</v>
      </c>
      <c r="Z372" s="380">
        <v>7204.03</v>
      </c>
      <c r="AA372" s="376" t="s">
        <v>974</v>
      </c>
      <c r="AB372" s="376" t="s">
        <v>975</v>
      </c>
      <c r="AC372" s="376" t="s">
        <v>976</v>
      </c>
      <c r="AD372" s="376" t="s">
        <v>176</v>
      </c>
      <c r="AE372" s="376" t="s">
        <v>908</v>
      </c>
      <c r="AF372" s="376" t="s">
        <v>190</v>
      </c>
      <c r="AG372" s="376" t="s">
        <v>178</v>
      </c>
      <c r="AH372" s="381">
        <v>17.829999999999998</v>
      </c>
      <c r="AI372" s="381">
        <v>5875.2</v>
      </c>
      <c r="AJ372" s="376" t="s">
        <v>179</v>
      </c>
      <c r="AK372" s="376" t="s">
        <v>180</v>
      </c>
      <c r="AL372" s="376" t="s">
        <v>181</v>
      </c>
      <c r="AM372" s="376" t="s">
        <v>182</v>
      </c>
      <c r="AN372" s="376" t="s">
        <v>68</v>
      </c>
      <c r="AO372" s="379">
        <v>80</v>
      </c>
      <c r="AP372" s="460">
        <v>1</v>
      </c>
      <c r="AQ372" s="460">
        <v>0.35</v>
      </c>
      <c r="AR372" s="458" t="s">
        <v>183</v>
      </c>
      <c r="AS372" s="462">
        <f t="shared" si="85"/>
        <v>0.35</v>
      </c>
      <c r="AT372">
        <f t="shared" si="86"/>
        <v>1</v>
      </c>
      <c r="AU372" s="462">
        <f>IF(AT372=0,"",IF(AND(AT372=1,M372="F",SUMIF(C2:C391,C372,AS2:AS391)&lt;=1),SUMIF(C2:C391,C372,AS2:AS391),IF(AND(AT372=1,M372="F",SUMIF(C2:C391,C372,AS2:AS391)&gt;1),1,"")))</f>
        <v>1</v>
      </c>
      <c r="AV372" s="462" t="str">
        <f>IF(AT372=0,"",IF(AND(AT372=3,M372="F",SUMIF(C2:C391,C372,AS2:AS391)&lt;=1),SUMIF(C2:C391,C372,AS2:AS391),IF(AND(AT372=3,M372="F",SUMIF(C2:C391,C372,AS2:AS391)&gt;1),1,"")))</f>
        <v/>
      </c>
      <c r="AW372" s="462">
        <f>SUMIF(C2:C391,C372,O2:O391)</f>
        <v>8</v>
      </c>
      <c r="AX372" s="462">
        <f>IF(AND(M372="F",AS372&lt;&gt;0),SUMIF(C2:C391,C372,W2:W391),0)</f>
        <v>74172.800000000003</v>
      </c>
      <c r="AY372" s="462">
        <f t="shared" si="87"/>
        <v>12980.24</v>
      </c>
      <c r="AZ372" s="462" t="str">
        <f t="shared" si="88"/>
        <v/>
      </c>
      <c r="BA372" s="462">
        <f t="shared" si="89"/>
        <v>0</v>
      </c>
      <c r="BB372" s="462">
        <f>IF(AND(AT372=1,AK372="E",AU372&gt;=0.75,AW372=1),Health,IF(AND(AT372=1,AK372="E",AU372&gt;=0.75),Health*P372,IF(AND(AT372=1,AK372="E",AU372&gt;=0.5,AW372=1),PTHealth,IF(AND(AT372=1,AK372="E",AU372&gt;=0.5),PTHealth*P372,0))))</f>
        <v>4077.4999999999995</v>
      </c>
      <c r="BC372" s="462">
        <f>IF(AND(AT372=3,AK372="E",AV372&gt;=0.75,AW372=1),Health,IF(AND(AT372=3,AK372="E",AV372&gt;=0.75),Health*P372,IF(AND(AT372=3,AK372="E",AV372&gt;=0.5,AW372=1),PTHealth,IF(AND(AT372=3,AK372="E",AV372&gt;=0.5),PTHealth*P372,0))))</f>
        <v>0</v>
      </c>
      <c r="BD372" s="462">
        <f>IF(AND(AT372&lt;&gt;0,AX372&gt;=MAXSSDI),SSDI*MAXSSDI*P372,IF(AT372&lt;&gt;0,SSDI*W372,0))</f>
        <v>804.77487999999994</v>
      </c>
      <c r="BE372" s="462">
        <f>IF(AT372&lt;&gt;0,SSHI*W372,0)</f>
        <v>188.21348</v>
      </c>
      <c r="BF372" s="462">
        <f>IF(AND(AT372&lt;&gt;0,AN372&lt;&gt;"NE"),VLOOKUP(AN372,Retirement_Rates,3,FALSE)*W372,0)</f>
        <v>1549.8406560000001</v>
      </c>
      <c r="BG372" s="462">
        <f>IF(AND(AT372&lt;&gt;0,AJ372&lt;&gt;"PF"),Life*W372,0)</f>
        <v>93.587530400000006</v>
      </c>
      <c r="BH372" s="462">
        <f>IF(AND(AT372&lt;&gt;0,AM372="Y"),UI*W372,0)</f>
        <v>63.603175999999998</v>
      </c>
      <c r="BI372" s="462">
        <f>IF(AND(AT372&lt;&gt;0,N372&lt;&gt;"NR"),DHR*W372,0)</f>
        <v>39.719534399999993</v>
      </c>
      <c r="BJ372" s="462">
        <f>IF(AT372&lt;&gt;0,WC*W372,0)</f>
        <v>349.16845599999999</v>
      </c>
      <c r="BK372" s="462">
        <f>IF(OR(AND(AT372&lt;&gt;0,AJ372&lt;&gt;"PF",AN372&lt;&gt;"NE",AG372&lt;&gt;"A"),AND(AL372="E",OR(AT372=1,AT372=3))),Sick*W372,0)</f>
        <v>0</v>
      </c>
      <c r="BL372" s="462">
        <f t="shared" si="90"/>
        <v>3088.9077128000004</v>
      </c>
      <c r="BM372" s="462">
        <f t="shared" si="91"/>
        <v>0</v>
      </c>
      <c r="BN372" s="462">
        <f>IF(AND(AT372=1,AK372="E",AU372&gt;=0.75,AW372=1),HealthBY,IF(AND(AT372=1,AK372="E",AU372&gt;=0.75),HealthBY*P372,IF(AND(AT372=1,AK372="E",AU372&gt;=0.5,AW372=1),PTHealthBY,IF(AND(AT372=1,AK372="E",AU372&gt;=0.5),PTHealthBY*P372,0))))</f>
        <v>4077.4999999999995</v>
      </c>
      <c r="BO372" s="462">
        <f>IF(AND(AT372=3,AK372="E",AV372&gt;=0.75,AW372=1),HealthBY,IF(AND(AT372=3,AK372="E",AV372&gt;=0.75),HealthBY*P372,IF(AND(AT372=3,AK372="E",AV372&gt;=0.5,AW372=1),PTHealthBY,IF(AND(AT372=3,AK372="E",AV372&gt;=0.5),PTHealthBY*P372,0))))</f>
        <v>0</v>
      </c>
      <c r="BP372" s="462">
        <f>IF(AND(AT372&lt;&gt;0,(AX372+BA372)&gt;=MAXSSDIBY),SSDIBY*MAXSSDIBY*P372,IF(AT372&lt;&gt;0,SSDIBY*W372,0))</f>
        <v>804.77487999999994</v>
      </c>
      <c r="BQ372" s="462">
        <f>IF(AT372&lt;&gt;0,SSHIBY*W372,0)</f>
        <v>188.21348</v>
      </c>
      <c r="BR372" s="462">
        <f>IF(AND(AT372&lt;&gt;0,AN372&lt;&gt;"NE"),VLOOKUP(AN372,Retirement_Rates,4,FALSE)*W372,0)</f>
        <v>1549.8406560000001</v>
      </c>
      <c r="BS372" s="462">
        <f>IF(AND(AT372&lt;&gt;0,AJ372&lt;&gt;"PF"),LifeBY*W372,0)</f>
        <v>93.587530400000006</v>
      </c>
      <c r="BT372" s="462">
        <f>IF(AND(AT372&lt;&gt;0,AM372="Y"),UIBY*W372,0)</f>
        <v>0</v>
      </c>
      <c r="BU372" s="462">
        <f>IF(AND(AT372&lt;&gt;0,N372&lt;&gt;"NR"),DHRBY*W372,0)</f>
        <v>39.719534399999993</v>
      </c>
      <c r="BV372" s="462">
        <f>IF(AT372&lt;&gt;0,WCBY*W372,0)</f>
        <v>450.41432800000001</v>
      </c>
      <c r="BW372" s="462">
        <f>IF(OR(AND(AT372&lt;&gt;0,AJ372&lt;&gt;"PF",AN372&lt;&gt;"NE",AG372&lt;&gt;"A"),AND(AL372="E",OR(AT372=1,AT372=3))),SickBY*W372,0)</f>
        <v>0</v>
      </c>
      <c r="BX372" s="462">
        <f t="shared" si="92"/>
        <v>3126.5504088000002</v>
      </c>
      <c r="BY372" s="462">
        <f t="shared" si="93"/>
        <v>0</v>
      </c>
      <c r="BZ372" s="462">
        <f t="shared" si="94"/>
        <v>0</v>
      </c>
      <c r="CA372" s="462">
        <f t="shared" si="95"/>
        <v>0</v>
      </c>
      <c r="CB372" s="462">
        <f t="shared" si="96"/>
        <v>0</v>
      </c>
      <c r="CC372" s="462">
        <f>IF(AT372&lt;&gt;0,SSHICHG*Y372,0)</f>
        <v>0</v>
      </c>
      <c r="CD372" s="462">
        <f>IF(AND(AT372&lt;&gt;0,AN372&lt;&gt;"NE"),VLOOKUP(AN372,Retirement_Rates,5,FALSE)*Y372,0)</f>
        <v>0</v>
      </c>
      <c r="CE372" s="462">
        <f>IF(AND(AT372&lt;&gt;0,AJ372&lt;&gt;"PF"),LifeCHG*Y372,0)</f>
        <v>0</v>
      </c>
      <c r="CF372" s="462">
        <f>IF(AND(AT372&lt;&gt;0,AM372="Y"),UICHG*Y372,0)</f>
        <v>-63.603175999999998</v>
      </c>
      <c r="CG372" s="462">
        <f>IF(AND(AT372&lt;&gt;0,N372&lt;&gt;"NR"),DHRCHG*Y372,0)</f>
        <v>0</v>
      </c>
      <c r="CH372" s="462">
        <f>IF(AT372&lt;&gt;0,WCCHG*Y372,0)</f>
        <v>101.24587200000002</v>
      </c>
      <c r="CI372" s="462">
        <f>IF(OR(AND(AT372&lt;&gt;0,AJ372&lt;&gt;"PF",AN372&lt;&gt;"NE",AG372&lt;&gt;"A"),AND(AL372="E",OR(AT372=1,AT372=3))),SickCHG*Y372,0)</f>
        <v>0</v>
      </c>
      <c r="CJ372" s="462">
        <f t="shared" si="97"/>
        <v>37.642696000000022</v>
      </c>
      <c r="CK372" s="462" t="str">
        <f t="shared" si="98"/>
        <v/>
      </c>
      <c r="CL372" s="462" t="str">
        <f t="shared" si="99"/>
        <v/>
      </c>
      <c r="CM372" s="462" t="str">
        <f t="shared" si="100"/>
        <v/>
      </c>
      <c r="CN372" s="462" t="str">
        <f t="shared" si="101"/>
        <v>0410-01</v>
      </c>
    </row>
    <row r="373" spans="1:92" ht="15" thickBot="1" x14ac:dyDescent="0.35">
      <c r="A373" s="376" t="s">
        <v>161</v>
      </c>
      <c r="B373" s="376" t="s">
        <v>162</v>
      </c>
      <c r="C373" s="376" t="s">
        <v>973</v>
      </c>
      <c r="D373" s="376" t="s">
        <v>907</v>
      </c>
      <c r="E373" s="376" t="s">
        <v>1014</v>
      </c>
      <c r="F373" s="382" t="s">
        <v>936</v>
      </c>
      <c r="G373" s="376" t="s">
        <v>1015</v>
      </c>
      <c r="H373" s="378"/>
      <c r="I373" s="378"/>
      <c r="J373" s="376" t="s">
        <v>193</v>
      </c>
      <c r="K373" s="376" t="s">
        <v>908</v>
      </c>
      <c r="L373" s="376" t="s">
        <v>178</v>
      </c>
      <c r="M373" s="376" t="s">
        <v>171</v>
      </c>
      <c r="N373" s="376" t="s">
        <v>172</v>
      </c>
      <c r="O373" s="379">
        <v>2</v>
      </c>
      <c r="P373" s="460">
        <v>0.35</v>
      </c>
      <c r="Q373" s="460">
        <v>0.35</v>
      </c>
      <c r="R373" s="380">
        <v>80</v>
      </c>
      <c r="S373" s="460">
        <v>0.35</v>
      </c>
      <c r="T373" s="380">
        <v>14166.11</v>
      </c>
      <c r="U373" s="380">
        <v>0</v>
      </c>
      <c r="V373" s="380">
        <v>7671.6</v>
      </c>
      <c r="W373" s="380">
        <v>12980.24</v>
      </c>
      <c r="X373" s="380">
        <v>7166.39</v>
      </c>
      <c r="Y373" s="380">
        <v>12980.24</v>
      </c>
      <c r="Z373" s="380">
        <v>7204.03</v>
      </c>
      <c r="AA373" s="376" t="s">
        <v>977</v>
      </c>
      <c r="AB373" s="376" t="s">
        <v>978</v>
      </c>
      <c r="AC373" s="376" t="s">
        <v>979</v>
      </c>
      <c r="AD373" s="376" t="s">
        <v>359</v>
      </c>
      <c r="AE373" s="376" t="s">
        <v>908</v>
      </c>
      <c r="AF373" s="376" t="s">
        <v>190</v>
      </c>
      <c r="AG373" s="376" t="s">
        <v>178</v>
      </c>
      <c r="AH373" s="381">
        <v>17.829999999999998</v>
      </c>
      <c r="AI373" s="381">
        <v>2558.6999999999998</v>
      </c>
      <c r="AJ373" s="376" t="s">
        <v>179</v>
      </c>
      <c r="AK373" s="376" t="s">
        <v>180</v>
      </c>
      <c r="AL373" s="376" t="s">
        <v>181</v>
      </c>
      <c r="AM373" s="376" t="s">
        <v>182</v>
      </c>
      <c r="AN373" s="376" t="s">
        <v>68</v>
      </c>
      <c r="AO373" s="379">
        <v>80</v>
      </c>
      <c r="AP373" s="460">
        <v>1</v>
      </c>
      <c r="AQ373" s="460">
        <v>0.35</v>
      </c>
      <c r="AR373" s="458">
        <v>6</v>
      </c>
      <c r="AS373" s="462">
        <f t="shared" si="85"/>
        <v>0.35</v>
      </c>
      <c r="AT373">
        <f t="shared" si="86"/>
        <v>0</v>
      </c>
      <c r="AU373" s="462" t="str">
        <f>IF(AT373=0,"",IF(AND(AT373=1,M373="F",SUMIF(C2:C391,C373,AS2:AS391)&lt;=1),SUMIF(C2:C391,C373,AS2:AS391),IF(AND(AT373=1,M373="F",SUMIF(C2:C391,C373,AS2:AS391)&gt;1),1,"")))</f>
        <v/>
      </c>
      <c r="AV373" s="462" t="str">
        <f>IF(AT373=0,"",IF(AND(AT373=3,M373="F",SUMIF(C2:C391,C373,AS2:AS391)&lt;=1),SUMIF(C2:C391,C373,AS2:AS391),IF(AND(AT373=3,M373="F",SUMIF(C2:C391,C373,AS2:AS391)&gt;1),1,"")))</f>
        <v/>
      </c>
      <c r="AW373" s="462">
        <f>SUMIF(C2:C391,C373,O2:O391)</f>
        <v>8</v>
      </c>
      <c r="AX373" s="462">
        <f>IF(AND(M373="F",AS373&lt;&gt;0),SUMIF(C2:C391,C373,W2:W391),0)</f>
        <v>74172.800000000003</v>
      </c>
      <c r="AY373" s="462" t="str">
        <f t="shared" si="87"/>
        <v/>
      </c>
      <c r="AZ373" s="462" t="str">
        <f t="shared" si="88"/>
        <v/>
      </c>
      <c r="BA373" s="462">
        <f t="shared" si="89"/>
        <v>0</v>
      </c>
      <c r="BB373" s="462">
        <f>IF(AND(AT373=1,AK373="E",AU373&gt;=0.75,AW373=1),Health,IF(AND(AT373=1,AK373="E",AU373&gt;=0.75),Health*P373,IF(AND(AT373=1,AK373="E",AU373&gt;=0.5,AW373=1),PTHealth,IF(AND(AT373=1,AK373="E",AU373&gt;=0.5),PTHealth*P373,0))))</f>
        <v>0</v>
      </c>
      <c r="BC373" s="462">
        <f>IF(AND(AT373=3,AK373="E",AV373&gt;=0.75,AW373=1),Health,IF(AND(AT373=3,AK373="E",AV373&gt;=0.75),Health*P373,IF(AND(AT373=3,AK373="E",AV373&gt;=0.5,AW373=1),PTHealth,IF(AND(AT373=3,AK373="E",AV373&gt;=0.5),PTHealth*P373,0))))</f>
        <v>0</v>
      </c>
      <c r="BD373" s="462">
        <f>IF(AND(AT373&lt;&gt;0,AX373&gt;=MAXSSDI),SSDI*MAXSSDI*P373,IF(AT373&lt;&gt;0,SSDI*W373,0))</f>
        <v>0</v>
      </c>
      <c r="BE373" s="462">
        <f>IF(AT373&lt;&gt;0,SSHI*W373,0)</f>
        <v>0</v>
      </c>
      <c r="BF373" s="462">
        <f>IF(AND(AT373&lt;&gt;0,AN373&lt;&gt;"NE"),VLOOKUP(AN373,Retirement_Rates,3,FALSE)*W373,0)</f>
        <v>0</v>
      </c>
      <c r="BG373" s="462">
        <f>IF(AND(AT373&lt;&gt;0,AJ373&lt;&gt;"PF"),Life*W373,0)</f>
        <v>0</v>
      </c>
      <c r="BH373" s="462">
        <f>IF(AND(AT373&lt;&gt;0,AM373="Y"),UI*W373,0)</f>
        <v>0</v>
      </c>
      <c r="BI373" s="462">
        <f>IF(AND(AT373&lt;&gt;0,N373&lt;&gt;"NR"),DHR*W373,0)</f>
        <v>0</v>
      </c>
      <c r="BJ373" s="462">
        <f>IF(AT373&lt;&gt;0,WC*W373,0)</f>
        <v>0</v>
      </c>
      <c r="BK373" s="462">
        <f>IF(OR(AND(AT373&lt;&gt;0,AJ373&lt;&gt;"PF",AN373&lt;&gt;"NE",AG373&lt;&gt;"A"),AND(AL373="E",OR(AT373=1,AT373=3))),Sick*W373,0)</f>
        <v>0</v>
      </c>
      <c r="BL373" s="462">
        <f t="shared" si="90"/>
        <v>0</v>
      </c>
      <c r="BM373" s="462">
        <f t="shared" si="91"/>
        <v>0</v>
      </c>
      <c r="BN373" s="462">
        <f>IF(AND(AT373=1,AK373="E",AU373&gt;=0.75,AW373=1),HealthBY,IF(AND(AT373=1,AK373="E",AU373&gt;=0.75),HealthBY*P373,IF(AND(AT373=1,AK373="E",AU373&gt;=0.5,AW373=1),PTHealthBY,IF(AND(AT373=1,AK373="E",AU373&gt;=0.5),PTHealthBY*P373,0))))</f>
        <v>0</v>
      </c>
      <c r="BO373" s="462">
        <f>IF(AND(AT373=3,AK373="E",AV373&gt;=0.75,AW373=1),HealthBY,IF(AND(AT373=3,AK373="E",AV373&gt;=0.75),HealthBY*P373,IF(AND(AT373=3,AK373="E",AV373&gt;=0.5,AW373=1),PTHealthBY,IF(AND(AT373=3,AK373="E",AV373&gt;=0.5),PTHealthBY*P373,0))))</f>
        <v>0</v>
      </c>
      <c r="BP373" s="462">
        <f>IF(AND(AT373&lt;&gt;0,(AX373+BA373)&gt;=MAXSSDIBY),SSDIBY*MAXSSDIBY*P373,IF(AT373&lt;&gt;0,SSDIBY*W373,0))</f>
        <v>0</v>
      </c>
      <c r="BQ373" s="462">
        <f>IF(AT373&lt;&gt;0,SSHIBY*W373,0)</f>
        <v>0</v>
      </c>
      <c r="BR373" s="462">
        <f>IF(AND(AT373&lt;&gt;0,AN373&lt;&gt;"NE"),VLOOKUP(AN373,Retirement_Rates,4,FALSE)*W373,0)</f>
        <v>0</v>
      </c>
      <c r="BS373" s="462">
        <f>IF(AND(AT373&lt;&gt;0,AJ373&lt;&gt;"PF"),LifeBY*W373,0)</f>
        <v>0</v>
      </c>
      <c r="BT373" s="462">
        <f>IF(AND(AT373&lt;&gt;0,AM373="Y"),UIBY*W373,0)</f>
        <v>0</v>
      </c>
      <c r="BU373" s="462">
        <f>IF(AND(AT373&lt;&gt;0,N373&lt;&gt;"NR"),DHRBY*W373,0)</f>
        <v>0</v>
      </c>
      <c r="BV373" s="462">
        <f>IF(AT373&lt;&gt;0,WCBY*W373,0)</f>
        <v>0</v>
      </c>
      <c r="BW373" s="462">
        <f>IF(OR(AND(AT373&lt;&gt;0,AJ373&lt;&gt;"PF",AN373&lt;&gt;"NE",AG373&lt;&gt;"A"),AND(AL373="E",OR(AT373=1,AT373=3))),SickBY*W373,0)</f>
        <v>0</v>
      </c>
      <c r="BX373" s="462">
        <f t="shared" si="92"/>
        <v>0</v>
      </c>
      <c r="BY373" s="462">
        <f t="shared" si="93"/>
        <v>0</v>
      </c>
      <c r="BZ373" s="462">
        <f t="shared" si="94"/>
        <v>0</v>
      </c>
      <c r="CA373" s="462">
        <f t="shared" si="95"/>
        <v>0</v>
      </c>
      <c r="CB373" s="462">
        <f t="shared" si="96"/>
        <v>0</v>
      </c>
      <c r="CC373" s="462">
        <f>IF(AT373&lt;&gt;0,SSHICHG*Y373,0)</f>
        <v>0</v>
      </c>
      <c r="CD373" s="462">
        <f>IF(AND(AT373&lt;&gt;0,AN373&lt;&gt;"NE"),VLOOKUP(AN373,Retirement_Rates,5,FALSE)*Y373,0)</f>
        <v>0</v>
      </c>
      <c r="CE373" s="462">
        <f>IF(AND(AT373&lt;&gt;0,AJ373&lt;&gt;"PF"),LifeCHG*Y373,0)</f>
        <v>0</v>
      </c>
      <c r="CF373" s="462">
        <f>IF(AND(AT373&lt;&gt;0,AM373="Y"),UICHG*Y373,0)</f>
        <v>0</v>
      </c>
      <c r="CG373" s="462">
        <f>IF(AND(AT373&lt;&gt;0,N373&lt;&gt;"NR"),DHRCHG*Y373,0)</f>
        <v>0</v>
      </c>
      <c r="CH373" s="462">
        <f>IF(AT373&lt;&gt;0,WCCHG*Y373,0)</f>
        <v>0</v>
      </c>
      <c r="CI373" s="462">
        <f>IF(OR(AND(AT373&lt;&gt;0,AJ373&lt;&gt;"PF",AN373&lt;&gt;"NE",AG373&lt;&gt;"A"),AND(AL373="E",OR(AT373=1,AT373=3))),SickCHG*Y373,0)</f>
        <v>0</v>
      </c>
      <c r="CJ373" s="462">
        <f t="shared" si="97"/>
        <v>0</v>
      </c>
      <c r="CK373" s="462" t="str">
        <f t="shared" si="98"/>
        <v/>
      </c>
      <c r="CL373" s="462" t="str">
        <f t="shared" si="99"/>
        <v/>
      </c>
      <c r="CM373" s="462" t="str">
        <f t="shared" si="100"/>
        <v/>
      </c>
      <c r="CN373" s="462" t="str">
        <f t="shared" si="101"/>
        <v>0410-01</v>
      </c>
    </row>
    <row r="374" spans="1:92" ht="15" thickBot="1" x14ac:dyDescent="0.35">
      <c r="A374" s="376" t="s">
        <v>161</v>
      </c>
      <c r="B374" s="376" t="s">
        <v>162</v>
      </c>
      <c r="C374" s="376" t="s">
        <v>1027</v>
      </c>
      <c r="D374" s="376" t="s">
        <v>221</v>
      </c>
      <c r="E374" s="376" t="s">
        <v>1014</v>
      </c>
      <c r="F374" s="382" t="s">
        <v>936</v>
      </c>
      <c r="G374" s="376" t="s">
        <v>1015</v>
      </c>
      <c r="H374" s="378"/>
      <c r="I374" s="378"/>
      <c r="J374" s="376" t="s">
        <v>168</v>
      </c>
      <c r="K374" s="376" t="s">
        <v>222</v>
      </c>
      <c r="L374" s="376" t="s">
        <v>166</v>
      </c>
      <c r="M374" s="376" t="s">
        <v>225</v>
      </c>
      <c r="N374" s="376" t="s">
        <v>223</v>
      </c>
      <c r="O374" s="379">
        <v>0</v>
      </c>
      <c r="P374" s="460">
        <v>1</v>
      </c>
      <c r="Q374" s="460">
        <v>0</v>
      </c>
      <c r="R374" s="380">
        <v>0</v>
      </c>
      <c r="S374" s="460">
        <v>0</v>
      </c>
      <c r="T374" s="380">
        <v>0</v>
      </c>
      <c r="U374" s="380">
        <v>0</v>
      </c>
      <c r="V374" s="380">
        <v>0</v>
      </c>
      <c r="W374" s="380">
        <v>0</v>
      </c>
      <c r="X374" s="380">
        <v>0</v>
      </c>
      <c r="Y374" s="380">
        <v>0</v>
      </c>
      <c r="Z374" s="380">
        <v>0</v>
      </c>
      <c r="AA374" s="378"/>
      <c r="AB374" s="376" t="s">
        <v>45</v>
      </c>
      <c r="AC374" s="376" t="s">
        <v>45</v>
      </c>
      <c r="AD374" s="378"/>
      <c r="AE374" s="378"/>
      <c r="AF374" s="378"/>
      <c r="AG374" s="378"/>
      <c r="AH374" s="379">
        <v>0</v>
      </c>
      <c r="AI374" s="379">
        <v>0</v>
      </c>
      <c r="AJ374" s="378"/>
      <c r="AK374" s="378"/>
      <c r="AL374" s="376" t="s">
        <v>181</v>
      </c>
      <c r="AM374" s="378"/>
      <c r="AN374" s="378"/>
      <c r="AO374" s="379">
        <v>0</v>
      </c>
      <c r="AP374" s="460">
        <v>0</v>
      </c>
      <c r="AQ374" s="460">
        <v>0</v>
      </c>
      <c r="AR374" s="459"/>
      <c r="AS374" s="462">
        <f t="shared" si="85"/>
        <v>0</v>
      </c>
      <c r="AT374">
        <f t="shared" si="86"/>
        <v>0</v>
      </c>
      <c r="AU374" s="462" t="str">
        <f>IF(AT374=0,"",IF(AND(AT374=1,M374="F",SUMIF(C2:C391,C374,AS2:AS391)&lt;=1),SUMIF(C2:C391,C374,AS2:AS391),IF(AND(AT374=1,M374="F",SUMIF(C2:C391,C374,AS2:AS391)&gt;1),1,"")))</f>
        <v/>
      </c>
      <c r="AV374" s="462" t="str">
        <f>IF(AT374=0,"",IF(AND(AT374=3,M374="F",SUMIF(C2:C391,C374,AS2:AS391)&lt;=1),SUMIF(C2:C391,C374,AS2:AS391),IF(AND(AT374=3,M374="F",SUMIF(C2:C391,C374,AS2:AS391)&gt;1),1,"")))</f>
        <v/>
      </c>
      <c r="AW374" s="462">
        <f>SUMIF(C2:C391,C374,O2:O391)</f>
        <v>0</v>
      </c>
      <c r="AX374" s="462">
        <f>IF(AND(M374="F",AS374&lt;&gt;0),SUMIF(C2:C391,C374,W2:W391),0)</f>
        <v>0</v>
      </c>
      <c r="AY374" s="462" t="str">
        <f t="shared" si="87"/>
        <v/>
      </c>
      <c r="AZ374" s="462" t="str">
        <f t="shared" si="88"/>
        <v/>
      </c>
      <c r="BA374" s="462">
        <f t="shared" si="89"/>
        <v>0</v>
      </c>
      <c r="BB374" s="462">
        <f>IF(AND(AT374=1,AK374="E",AU374&gt;=0.75,AW374=1),Health,IF(AND(AT374=1,AK374="E",AU374&gt;=0.75),Health*P374,IF(AND(AT374=1,AK374="E",AU374&gt;=0.5,AW374=1),PTHealth,IF(AND(AT374=1,AK374="E",AU374&gt;=0.5),PTHealth*P374,0))))</f>
        <v>0</v>
      </c>
      <c r="BC374" s="462">
        <f>IF(AND(AT374=3,AK374="E",AV374&gt;=0.75,AW374=1),Health,IF(AND(AT374=3,AK374="E",AV374&gt;=0.75),Health*P374,IF(AND(AT374=3,AK374="E",AV374&gt;=0.5,AW374=1),PTHealth,IF(AND(AT374=3,AK374="E",AV374&gt;=0.5),PTHealth*P374,0))))</f>
        <v>0</v>
      </c>
      <c r="BD374" s="462">
        <f>IF(AND(AT374&lt;&gt;0,AX374&gt;=MAXSSDI),SSDI*MAXSSDI*P374,IF(AT374&lt;&gt;0,SSDI*W374,0))</f>
        <v>0</v>
      </c>
      <c r="BE374" s="462">
        <f>IF(AT374&lt;&gt;0,SSHI*W374,0)</f>
        <v>0</v>
      </c>
      <c r="BF374" s="462">
        <f>IF(AND(AT374&lt;&gt;0,AN374&lt;&gt;"NE"),VLOOKUP(AN374,Retirement_Rates,3,FALSE)*W374,0)</f>
        <v>0</v>
      </c>
      <c r="BG374" s="462">
        <f>IF(AND(AT374&lt;&gt;0,AJ374&lt;&gt;"PF"),Life*W374,0)</f>
        <v>0</v>
      </c>
      <c r="BH374" s="462">
        <f>IF(AND(AT374&lt;&gt;0,AM374="Y"),UI*W374,0)</f>
        <v>0</v>
      </c>
      <c r="BI374" s="462">
        <f>IF(AND(AT374&lt;&gt;0,N374&lt;&gt;"NR"),DHR*W374,0)</f>
        <v>0</v>
      </c>
      <c r="BJ374" s="462">
        <f>IF(AT374&lt;&gt;0,WC*W374,0)</f>
        <v>0</v>
      </c>
      <c r="BK374" s="462">
        <f>IF(OR(AND(AT374&lt;&gt;0,AJ374&lt;&gt;"PF",AN374&lt;&gt;"NE",AG374&lt;&gt;"A"),AND(AL374="E",OR(AT374=1,AT374=3))),Sick*W374,0)</f>
        <v>0</v>
      </c>
      <c r="BL374" s="462">
        <f t="shared" si="90"/>
        <v>0</v>
      </c>
      <c r="BM374" s="462">
        <f t="shared" si="91"/>
        <v>0</v>
      </c>
      <c r="BN374" s="462">
        <f>IF(AND(AT374=1,AK374="E",AU374&gt;=0.75,AW374=1),HealthBY,IF(AND(AT374=1,AK374="E",AU374&gt;=0.75),HealthBY*P374,IF(AND(AT374=1,AK374="E",AU374&gt;=0.5,AW374=1),PTHealthBY,IF(AND(AT374=1,AK374="E",AU374&gt;=0.5),PTHealthBY*P374,0))))</f>
        <v>0</v>
      </c>
      <c r="BO374" s="462">
        <f>IF(AND(AT374=3,AK374="E",AV374&gt;=0.75,AW374=1),HealthBY,IF(AND(AT374=3,AK374="E",AV374&gt;=0.75),HealthBY*P374,IF(AND(AT374=3,AK374="E",AV374&gt;=0.5,AW374=1),PTHealthBY,IF(AND(AT374=3,AK374="E",AV374&gt;=0.5),PTHealthBY*P374,0))))</f>
        <v>0</v>
      </c>
      <c r="BP374" s="462">
        <f>IF(AND(AT374&lt;&gt;0,(AX374+BA374)&gt;=MAXSSDIBY),SSDIBY*MAXSSDIBY*P374,IF(AT374&lt;&gt;0,SSDIBY*W374,0))</f>
        <v>0</v>
      </c>
      <c r="BQ374" s="462">
        <f>IF(AT374&lt;&gt;0,SSHIBY*W374,0)</f>
        <v>0</v>
      </c>
      <c r="BR374" s="462">
        <f>IF(AND(AT374&lt;&gt;0,AN374&lt;&gt;"NE"),VLOOKUP(AN374,Retirement_Rates,4,FALSE)*W374,0)</f>
        <v>0</v>
      </c>
      <c r="BS374" s="462">
        <f>IF(AND(AT374&lt;&gt;0,AJ374&lt;&gt;"PF"),LifeBY*W374,0)</f>
        <v>0</v>
      </c>
      <c r="BT374" s="462">
        <f>IF(AND(AT374&lt;&gt;0,AM374="Y"),UIBY*W374,0)</f>
        <v>0</v>
      </c>
      <c r="BU374" s="462">
        <f>IF(AND(AT374&lt;&gt;0,N374&lt;&gt;"NR"),DHRBY*W374,0)</f>
        <v>0</v>
      </c>
      <c r="BV374" s="462">
        <f>IF(AT374&lt;&gt;0,WCBY*W374,0)</f>
        <v>0</v>
      </c>
      <c r="BW374" s="462">
        <f>IF(OR(AND(AT374&lt;&gt;0,AJ374&lt;&gt;"PF",AN374&lt;&gt;"NE",AG374&lt;&gt;"A"),AND(AL374="E",OR(AT374=1,AT374=3))),SickBY*W374,0)</f>
        <v>0</v>
      </c>
      <c r="BX374" s="462">
        <f t="shared" si="92"/>
        <v>0</v>
      </c>
      <c r="BY374" s="462">
        <f t="shared" si="93"/>
        <v>0</v>
      </c>
      <c r="BZ374" s="462">
        <f t="shared" si="94"/>
        <v>0</v>
      </c>
      <c r="CA374" s="462">
        <f t="shared" si="95"/>
        <v>0</v>
      </c>
      <c r="CB374" s="462">
        <f t="shared" si="96"/>
        <v>0</v>
      </c>
      <c r="CC374" s="462">
        <f>IF(AT374&lt;&gt;0,SSHICHG*Y374,0)</f>
        <v>0</v>
      </c>
      <c r="CD374" s="462">
        <f>IF(AND(AT374&lt;&gt;0,AN374&lt;&gt;"NE"),VLOOKUP(AN374,Retirement_Rates,5,FALSE)*Y374,0)</f>
        <v>0</v>
      </c>
      <c r="CE374" s="462">
        <f>IF(AND(AT374&lt;&gt;0,AJ374&lt;&gt;"PF"),LifeCHG*Y374,0)</f>
        <v>0</v>
      </c>
      <c r="CF374" s="462">
        <f>IF(AND(AT374&lt;&gt;0,AM374="Y"),UICHG*Y374,0)</f>
        <v>0</v>
      </c>
      <c r="CG374" s="462">
        <f>IF(AND(AT374&lt;&gt;0,N374&lt;&gt;"NR"),DHRCHG*Y374,0)</f>
        <v>0</v>
      </c>
      <c r="CH374" s="462">
        <f>IF(AT374&lt;&gt;0,WCCHG*Y374,0)</f>
        <v>0</v>
      </c>
      <c r="CI374" s="462">
        <f>IF(OR(AND(AT374&lt;&gt;0,AJ374&lt;&gt;"PF",AN374&lt;&gt;"NE",AG374&lt;&gt;"A"),AND(AL374="E",OR(AT374=1,AT374=3))),SickCHG*Y374,0)</f>
        <v>0</v>
      </c>
      <c r="CJ374" s="462">
        <f t="shared" si="97"/>
        <v>0</v>
      </c>
      <c r="CK374" s="462" t="str">
        <f t="shared" si="98"/>
        <v/>
      </c>
      <c r="CL374" s="462">
        <f t="shared" si="99"/>
        <v>0</v>
      </c>
      <c r="CM374" s="462">
        <f t="shared" si="100"/>
        <v>0</v>
      </c>
      <c r="CN374" s="462" t="str">
        <f t="shared" si="101"/>
        <v>0410-01</v>
      </c>
    </row>
    <row r="375" spans="1:92" ht="15" thickBot="1" x14ac:dyDescent="0.35">
      <c r="A375" s="376" t="s">
        <v>161</v>
      </c>
      <c r="B375" s="376" t="s">
        <v>162</v>
      </c>
      <c r="C375" s="376" t="s">
        <v>568</v>
      </c>
      <c r="D375" s="376" t="s">
        <v>569</v>
      </c>
      <c r="E375" s="376" t="s">
        <v>1014</v>
      </c>
      <c r="F375" s="382" t="s">
        <v>936</v>
      </c>
      <c r="G375" s="376" t="s">
        <v>1015</v>
      </c>
      <c r="H375" s="378"/>
      <c r="I375" s="378"/>
      <c r="J375" s="376" t="s">
        <v>193</v>
      </c>
      <c r="K375" s="376" t="s">
        <v>570</v>
      </c>
      <c r="L375" s="376" t="s">
        <v>195</v>
      </c>
      <c r="M375" s="376" t="s">
        <v>171</v>
      </c>
      <c r="N375" s="376" t="s">
        <v>172</v>
      </c>
      <c r="O375" s="379">
        <v>1</v>
      </c>
      <c r="P375" s="460">
        <v>0.25</v>
      </c>
      <c r="Q375" s="460">
        <v>0.25</v>
      </c>
      <c r="R375" s="380">
        <v>80</v>
      </c>
      <c r="S375" s="460">
        <v>0.25</v>
      </c>
      <c r="T375" s="380">
        <v>17050.04</v>
      </c>
      <c r="U375" s="380">
        <v>0</v>
      </c>
      <c r="V375" s="380">
        <v>7333.78</v>
      </c>
      <c r="W375" s="380">
        <v>14196</v>
      </c>
      <c r="X375" s="380">
        <v>6290.71</v>
      </c>
      <c r="Y375" s="380">
        <v>14196</v>
      </c>
      <c r="Z375" s="380">
        <v>6331.88</v>
      </c>
      <c r="AA375" s="376" t="s">
        <v>571</v>
      </c>
      <c r="AB375" s="376" t="s">
        <v>572</v>
      </c>
      <c r="AC375" s="376" t="s">
        <v>573</v>
      </c>
      <c r="AD375" s="376" t="s">
        <v>574</v>
      </c>
      <c r="AE375" s="376" t="s">
        <v>570</v>
      </c>
      <c r="AF375" s="376" t="s">
        <v>199</v>
      </c>
      <c r="AG375" s="376" t="s">
        <v>178</v>
      </c>
      <c r="AH375" s="381">
        <v>27.3</v>
      </c>
      <c r="AI375" s="381">
        <v>4526.5</v>
      </c>
      <c r="AJ375" s="376" t="s">
        <v>179</v>
      </c>
      <c r="AK375" s="376" t="s">
        <v>180</v>
      </c>
      <c r="AL375" s="376" t="s">
        <v>181</v>
      </c>
      <c r="AM375" s="376" t="s">
        <v>182</v>
      </c>
      <c r="AN375" s="376" t="s">
        <v>68</v>
      </c>
      <c r="AO375" s="379">
        <v>80</v>
      </c>
      <c r="AP375" s="460">
        <v>1</v>
      </c>
      <c r="AQ375" s="460">
        <v>0.25</v>
      </c>
      <c r="AR375" s="458" t="s">
        <v>183</v>
      </c>
      <c r="AS375" s="462">
        <f t="shared" si="85"/>
        <v>0.25</v>
      </c>
      <c r="AT375">
        <f t="shared" si="86"/>
        <v>1</v>
      </c>
      <c r="AU375" s="462">
        <f>IF(AT375=0,"",IF(AND(AT375=1,M375="F",SUMIF(C2:C391,C375,AS2:AS391)&lt;=1),SUMIF(C2:C391,C375,AS2:AS391),IF(AND(AT375=1,M375="F",SUMIF(C2:C391,C375,AS2:AS391)&gt;1),1,"")))</f>
        <v>1</v>
      </c>
      <c r="AV375" s="462" t="str">
        <f>IF(AT375=0,"",IF(AND(AT375=3,M375="F",SUMIF(C2:C391,C375,AS2:AS391)&lt;=1),SUMIF(C2:C391,C375,AS2:AS391),IF(AND(AT375=3,M375="F",SUMIF(C2:C391,C375,AS2:AS391)&gt;1),1,"")))</f>
        <v/>
      </c>
      <c r="AW375" s="462">
        <f>SUMIF(C2:C391,C375,O2:O391)</f>
        <v>3</v>
      </c>
      <c r="AX375" s="462">
        <f>IF(AND(M375="F",AS375&lt;&gt;0),SUMIF(C2:C391,C375,W2:W391),0)</f>
        <v>56784</v>
      </c>
      <c r="AY375" s="462">
        <f t="shared" si="87"/>
        <v>14196</v>
      </c>
      <c r="AZ375" s="462" t="str">
        <f t="shared" si="88"/>
        <v/>
      </c>
      <c r="BA375" s="462">
        <f t="shared" si="89"/>
        <v>0</v>
      </c>
      <c r="BB375" s="462">
        <f>IF(AND(AT375=1,AK375="E",AU375&gt;=0.75,AW375=1),Health,IF(AND(AT375=1,AK375="E",AU375&gt;=0.75),Health*P375,IF(AND(AT375=1,AK375="E",AU375&gt;=0.5,AW375=1),PTHealth,IF(AND(AT375=1,AK375="E",AU375&gt;=0.5),PTHealth*P375,0))))</f>
        <v>2912.5</v>
      </c>
      <c r="BC375" s="462">
        <f>IF(AND(AT375=3,AK375="E",AV375&gt;=0.75,AW375=1),Health,IF(AND(AT375=3,AK375="E",AV375&gt;=0.75),Health*P375,IF(AND(AT375=3,AK375="E",AV375&gt;=0.5,AW375=1),PTHealth,IF(AND(AT375=3,AK375="E",AV375&gt;=0.5),PTHealth*P375,0))))</f>
        <v>0</v>
      </c>
      <c r="BD375" s="462">
        <f>IF(AND(AT375&lt;&gt;0,AX375&gt;=MAXSSDI),SSDI*MAXSSDI*P375,IF(AT375&lt;&gt;0,SSDI*W375,0))</f>
        <v>880.15200000000004</v>
      </c>
      <c r="BE375" s="462">
        <f>IF(AT375&lt;&gt;0,SSHI*W375,0)</f>
        <v>205.84200000000001</v>
      </c>
      <c r="BF375" s="462">
        <f>IF(AND(AT375&lt;&gt;0,AN375&lt;&gt;"NE"),VLOOKUP(AN375,Retirement_Rates,3,FALSE)*W375,0)</f>
        <v>1695.0024000000001</v>
      </c>
      <c r="BG375" s="462">
        <f>IF(AND(AT375&lt;&gt;0,AJ375&lt;&gt;"PF"),Life*W375,0)</f>
        <v>102.35316</v>
      </c>
      <c r="BH375" s="462">
        <f>IF(AND(AT375&lt;&gt;0,AM375="Y"),UI*W375,0)</f>
        <v>69.560400000000001</v>
      </c>
      <c r="BI375" s="462">
        <f>IF(AND(AT375&lt;&gt;0,N375&lt;&gt;"NR"),DHR*W375,0)</f>
        <v>43.43976</v>
      </c>
      <c r="BJ375" s="462">
        <f>IF(AT375&lt;&gt;0,WC*W375,0)</f>
        <v>381.87240000000003</v>
      </c>
      <c r="BK375" s="462">
        <f>IF(OR(AND(AT375&lt;&gt;0,AJ375&lt;&gt;"PF",AN375&lt;&gt;"NE",AG375&lt;&gt;"A"),AND(AL375="E",OR(AT375=1,AT375=3))),Sick*W375,0)</f>
        <v>0</v>
      </c>
      <c r="BL375" s="462">
        <f t="shared" si="90"/>
        <v>3378.2221200000004</v>
      </c>
      <c r="BM375" s="462">
        <f t="shared" si="91"/>
        <v>0</v>
      </c>
      <c r="BN375" s="462">
        <f>IF(AND(AT375=1,AK375="E",AU375&gt;=0.75,AW375=1),HealthBY,IF(AND(AT375=1,AK375="E",AU375&gt;=0.75),HealthBY*P375,IF(AND(AT375=1,AK375="E",AU375&gt;=0.5,AW375=1),PTHealthBY,IF(AND(AT375=1,AK375="E",AU375&gt;=0.5),PTHealthBY*P375,0))))</f>
        <v>2912.5</v>
      </c>
      <c r="BO375" s="462">
        <f>IF(AND(AT375=3,AK375="E",AV375&gt;=0.75,AW375=1),HealthBY,IF(AND(AT375=3,AK375="E",AV375&gt;=0.75),HealthBY*P375,IF(AND(AT375=3,AK375="E",AV375&gt;=0.5,AW375=1),PTHealthBY,IF(AND(AT375=3,AK375="E",AV375&gt;=0.5),PTHealthBY*P375,0))))</f>
        <v>0</v>
      </c>
      <c r="BP375" s="462">
        <f>IF(AND(AT375&lt;&gt;0,(AX375+BA375)&gt;=MAXSSDIBY),SSDIBY*MAXSSDIBY*P375,IF(AT375&lt;&gt;0,SSDIBY*W375,0))</f>
        <v>880.15200000000004</v>
      </c>
      <c r="BQ375" s="462">
        <f>IF(AT375&lt;&gt;0,SSHIBY*W375,0)</f>
        <v>205.84200000000001</v>
      </c>
      <c r="BR375" s="462">
        <f>IF(AND(AT375&lt;&gt;0,AN375&lt;&gt;"NE"),VLOOKUP(AN375,Retirement_Rates,4,FALSE)*W375,0)</f>
        <v>1695.0024000000001</v>
      </c>
      <c r="BS375" s="462">
        <f>IF(AND(AT375&lt;&gt;0,AJ375&lt;&gt;"PF"),LifeBY*W375,0)</f>
        <v>102.35316</v>
      </c>
      <c r="BT375" s="462">
        <f>IF(AND(AT375&lt;&gt;0,AM375="Y"),UIBY*W375,0)</f>
        <v>0</v>
      </c>
      <c r="BU375" s="462">
        <f>IF(AND(AT375&lt;&gt;0,N375&lt;&gt;"NR"),DHRBY*W375,0)</f>
        <v>43.43976</v>
      </c>
      <c r="BV375" s="462">
        <f>IF(AT375&lt;&gt;0,WCBY*W375,0)</f>
        <v>492.60120000000001</v>
      </c>
      <c r="BW375" s="462">
        <f>IF(OR(AND(AT375&lt;&gt;0,AJ375&lt;&gt;"PF",AN375&lt;&gt;"NE",AG375&lt;&gt;"A"),AND(AL375="E",OR(AT375=1,AT375=3))),SickBY*W375,0)</f>
        <v>0</v>
      </c>
      <c r="BX375" s="462">
        <f t="shared" si="92"/>
        <v>3419.3905200000004</v>
      </c>
      <c r="BY375" s="462">
        <f t="shared" si="93"/>
        <v>0</v>
      </c>
      <c r="BZ375" s="462">
        <f t="shared" si="94"/>
        <v>0</v>
      </c>
      <c r="CA375" s="462">
        <f t="shared" si="95"/>
        <v>0</v>
      </c>
      <c r="CB375" s="462">
        <f t="shared" si="96"/>
        <v>0</v>
      </c>
      <c r="CC375" s="462">
        <f>IF(AT375&lt;&gt;0,SSHICHG*Y375,0)</f>
        <v>0</v>
      </c>
      <c r="CD375" s="462">
        <f>IF(AND(AT375&lt;&gt;0,AN375&lt;&gt;"NE"),VLOOKUP(AN375,Retirement_Rates,5,FALSE)*Y375,0)</f>
        <v>0</v>
      </c>
      <c r="CE375" s="462">
        <f>IF(AND(AT375&lt;&gt;0,AJ375&lt;&gt;"PF"),LifeCHG*Y375,0)</f>
        <v>0</v>
      </c>
      <c r="CF375" s="462">
        <f>IF(AND(AT375&lt;&gt;0,AM375="Y"),UICHG*Y375,0)</f>
        <v>-69.560400000000001</v>
      </c>
      <c r="CG375" s="462">
        <f>IF(AND(AT375&lt;&gt;0,N375&lt;&gt;"NR"),DHRCHG*Y375,0)</f>
        <v>0</v>
      </c>
      <c r="CH375" s="462">
        <f>IF(AT375&lt;&gt;0,WCCHG*Y375,0)</f>
        <v>110.72880000000002</v>
      </c>
      <c r="CI375" s="462">
        <f>IF(OR(AND(AT375&lt;&gt;0,AJ375&lt;&gt;"PF",AN375&lt;&gt;"NE",AG375&lt;&gt;"A"),AND(AL375="E",OR(AT375=1,AT375=3))),SickCHG*Y375,0)</f>
        <v>0</v>
      </c>
      <c r="CJ375" s="462">
        <f t="shared" si="97"/>
        <v>41.16840000000002</v>
      </c>
      <c r="CK375" s="462" t="str">
        <f t="shared" si="98"/>
        <v/>
      </c>
      <c r="CL375" s="462" t="str">
        <f t="shared" si="99"/>
        <v/>
      </c>
      <c r="CM375" s="462" t="str">
        <f t="shared" si="100"/>
        <v/>
      </c>
      <c r="CN375" s="462" t="str">
        <f t="shared" si="101"/>
        <v>0410-01</v>
      </c>
    </row>
    <row r="376" spans="1:92" ht="15" thickBot="1" x14ac:dyDescent="0.35">
      <c r="A376" s="376" t="s">
        <v>161</v>
      </c>
      <c r="B376" s="376" t="s">
        <v>162</v>
      </c>
      <c r="C376" s="376" t="s">
        <v>1028</v>
      </c>
      <c r="D376" s="376" t="s">
        <v>221</v>
      </c>
      <c r="E376" s="376" t="s">
        <v>1014</v>
      </c>
      <c r="F376" s="382" t="s">
        <v>936</v>
      </c>
      <c r="G376" s="376" t="s">
        <v>1015</v>
      </c>
      <c r="H376" s="378"/>
      <c r="I376" s="378"/>
      <c r="J376" s="376" t="s">
        <v>168</v>
      </c>
      <c r="K376" s="376" t="s">
        <v>222</v>
      </c>
      <c r="L376" s="376" t="s">
        <v>166</v>
      </c>
      <c r="M376" s="376" t="s">
        <v>225</v>
      </c>
      <c r="N376" s="376" t="s">
        <v>223</v>
      </c>
      <c r="O376" s="379">
        <v>0</v>
      </c>
      <c r="P376" s="460">
        <v>1</v>
      </c>
      <c r="Q376" s="460">
        <v>0</v>
      </c>
      <c r="R376" s="380">
        <v>0</v>
      </c>
      <c r="S376" s="460">
        <v>0</v>
      </c>
      <c r="T376" s="380">
        <v>0</v>
      </c>
      <c r="U376" s="380">
        <v>0</v>
      </c>
      <c r="V376" s="380">
        <v>0</v>
      </c>
      <c r="W376" s="380">
        <v>0</v>
      </c>
      <c r="X376" s="380">
        <v>0</v>
      </c>
      <c r="Y376" s="380">
        <v>0</v>
      </c>
      <c r="Z376" s="380">
        <v>0</v>
      </c>
      <c r="AA376" s="378"/>
      <c r="AB376" s="376" t="s">
        <v>45</v>
      </c>
      <c r="AC376" s="376" t="s">
        <v>45</v>
      </c>
      <c r="AD376" s="378"/>
      <c r="AE376" s="378"/>
      <c r="AF376" s="378"/>
      <c r="AG376" s="378"/>
      <c r="AH376" s="379">
        <v>0</v>
      </c>
      <c r="AI376" s="379">
        <v>0</v>
      </c>
      <c r="AJ376" s="378"/>
      <c r="AK376" s="378"/>
      <c r="AL376" s="376" t="s">
        <v>181</v>
      </c>
      <c r="AM376" s="378"/>
      <c r="AN376" s="378"/>
      <c r="AO376" s="379">
        <v>0</v>
      </c>
      <c r="AP376" s="460">
        <v>0</v>
      </c>
      <c r="AQ376" s="460">
        <v>0</v>
      </c>
      <c r="AR376" s="459"/>
      <c r="AS376" s="462">
        <f t="shared" si="85"/>
        <v>0</v>
      </c>
      <c r="AT376">
        <f t="shared" si="86"/>
        <v>0</v>
      </c>
      <c r="AU376" s="462" t="str">
        <f>IF(AT376=0,"",IF(AND(AT376=1,M376="F",SUMIF(C2:C391,C376,AS2:AS391)&lt;=1),SUMIF(C2:C391,C376,AS2:AS391),IF(AND(AT376=1,M376="F",SUMIF(C2:C391,C376,AS2:AS391)&gt;1),1,"")))</f>
        <v/>
      </c>
      <c r="AV376" s="462" t="str">
        <f>IF(AT376=0,"",IF(AND(AT376=3,M376="F",SUMIF(C2:C391,C376,AS2:AS391)&lt;=1),SUMIF(C2:C391,C376,AS2:AS391),IF(AND(AT376=3,M376="F",SUMIF(C2:C391,C376,AS2:AS391)&gt;1),1,"")))</f>
        <v/>
      </c>
      <c r="AW376" s="462">
        <f>SUMIF(C2:C391,C376,O2:O391)</f>
        <v>0</v>
      </c>
      <c r="AX376" s="462">
        <f>IF(AND(M376="F",AS376&lt;&gt;0),SUMIF(C2:C391,C376,W2:W391),0)</f>
        <v>0</v>
      </c>
      <c r="AY376" s="462" t="str">
        <f t="shared" si="87"/>
        <v/>
      </c>
      <c r="AZ376" s="462" t="str">
        <f t="shared" si="88"/>
        <v/>
      </c>
      <c r="BA376" s="462">
        <f t="shared" si="89"/>
        <v>0</v>
      </c>
      <c r="BB376" s="462">
        <f>IF(AND(AT376=1,AK376="E",AU376&gt;=0.75,AW376=1),Health,IF(AND(AT376=1,AK376="E",AU376&gt;=0.75),Health*P376,IF(AND(AT376=1,AK376="E",AU376&gt;=0.5,AW376=1),PTHealth,IF(AND(AT376=1,AK376="E",AU376&gt;=0.5),PTHealth*P376,0))))</f>
        <v>0</v>
      </c>
      <c r="BC376" s="462">
        <f>IF(AND(AT376=3,AK376="E",AV376&gt;=0.75,AW376=1),Health,IF(AND(AT376=3,AK376="E",AV376&gt;=0.75),Health*P376,IF(AND(AT376=3,AK376="E",AV376&gt;=0.5,AW376=1),PTHealth,IF(AND(AT376=3,AK376="E",AV376&gt;=0.5),PTHealth*P376,0))))</f>
        <v>0</v>
      </c>
      <c r="BD376" s="462">
        <f>IF(AND(AT376&lt;&gt;0,AX376&gt;=MAXSSDI),SSDI*MAXSSDI*P376,IF(AT376&lt;&gt;0,SSDI*W376,0))</f>
        <v>0</v>
      </c>
      <c r="BE376" s="462">
        <f>IF(AT376&lt;&gt;0,SSHI*W376,0)</f>
        <v>0</v>
      </c>
      <c r="BF376" s="462">
        <f>IF(AND(AT376&lt;&gt;0,AN376&lt;&gt;"NE"),VLOOKUP(AN376,Retirement_Rates,3,FALSE)*W376,0)</f>
        <v>0</v>
      </c>
      <c r="BG376" s="462">
        <f>IF(AND(AT376&lt;&gt;0,AJ376&lt;&gt;"PF"),Life*W376,0)</f>
        <v>0</v>
      </c>
      <c r="BH376" s="462">
        <f>IF(AND(AT376&lt;&gt;0,AM376="Y"),UI*W376,0)</f>
        <v>0</v>
      </c>
      <c r="BI376" s="462">
        <f>IF(AND(AT376&lt;&gt;0,N376&lt;&gt;"NR"),DHR*W376,0)</f>
        <v>0</v>
      </c>
      <c r="BJ376" s="462">
        <f>IF(AT376&lt;&gt;0,WC*W376,0)</f>
        <v>0</v>
      </c>
      <c r="BK376" s="462">
        <f>IF(OR(AND(AT376&lt;&gt;0,AJ376&lt;&gt;"PF",AN376&lt;&gt;"NE",AG376&lt;&gt;"A"),AND(AL376="E",OR(AT376=1,AT376=3))),Sick*W376,0)</f>
        <v>0</v>
      </c>
      <c r="BL376" s="462">
        <f t="shared" si="90"/>
        <v>0</v>
      </c>
      <c r="BM376" s="462">
        <f t="shared" si="91"/>
        <v>0</v>
      </c>
      <c r="BN376" s="462">
        <f>IF(AND(AT376=1,AK376="E",AU376&gt;=0.75,AW376=1),HealthBY,IF(AND(AT376=1,AK376="E",AU376&gt;=0.75),HealthBY*P376,IF(AND(AT376=1,AK376="E",AU376&gt;=0.5,AW376=1),PTHealthBY,IF(AND(AT376=1,AK376="E",AU376&gt;=0.5),PTHealthBY*P376,0))))</f>
        <v>0</v>
      </c>
      <c r="BO376" s="462">
        <f>IF(AND(AT376=3,AK376="E",AV376&gt;=0.75,AW376=1),HealthBY,IF(AND(AT376=3,AK376="E",AV376&gt;=0.75),HealthBY*P376,IF(AND(AT376=3,AK376="E",AV376&gt;=0.5,AW376=1),PTHealthBY,IF(AND(AT376=3,AK376="E",AV376&gt;=0.5),PTHealthBY*P376,0))))</f>
        <v>0</v>
      </c>
      <c r="BP376" s="462">
        <f>IF(AND(AT376&lt;&gt;0,(AX376+BA376)&gt;=MAXSSDIBY),SSDIBY*MAXSSDIBY*P376,IF(AT376&lt;&gt;0,SSDIBY*W376,0))</f>
        <v>0</v>
      </c>
      <c r="BQ376" s="462">
        <f>IF(AT376&lt;&gt;0,SSHIBY*W376,0)</f>
        <v>0</v>
      </c>
      <c r="BR376" s="462">
        <f>IF(AND(AT376&lt;&gt;0,AN376&lt;&gt;"NE"),VLOOKUP(AN376,Retirement_Rates,4,FALSE)*W376,0)</f>
        <v>0</v>
      </c>
      <c r="BS376" s="462">
        <f>IF(AND(AT376&lt;&gt;0,AJ376&lt;&gt;"PF"),LifeBY*W376,0)</f>
        <v>0</v>
      </c>
      <c r="BT376" s="462">
        <f>IF(AND(AT376&lt;&gt;0,AM376="Y"),UIBY*W376,0)</f>
        <v>0</v>
      </c>
      <c r="BU376" s="462">
        <f>IF(AND(AT376&lt;&gt;0,N376&lt;&gt;"NR"),DHRBY*W376,0)</f>
        <v>0</v>
      </c>
      <c r="BV376" s="462">
        <f>IF(AT376&lt;&gt;0,WCBY*W376,0)</f>
        <v>0</v>
      </c>
      <c r="BW376" s="462">
        <f>IF(OR(AND(AT376&lt;&gt;0,AJ376&lt;&gt;"PF",AN376&lt;&gt;"NE",AG376&lt;&gt;"A"),AND(AL376="E",OR(AT376=1,AT376=3))),SickBY*W376,0)</f>
        <v>0</v>
      </c>
      <c r="BX376" s="462">
        <f t="shared" si="92"/>
        <v>0</v>
      </c>
      <c r="BY376" s="462">
        <f t="shared" si="93"/>
        <v>0</v>
      </c>
      <c r="BZ376" s="462">
        <f t="shared" si="94"/>
        <v>0</v>
      </c>
      <c r="CA376" s="462">
        <f t="shared" si="95"/>
        <v>0</v>
      </c>
      <c r="CB376" s="462">
        <f t="shared" si="96"/>
        <v>0</v>
      </c>
      <c r="CC376" s="462">
        <f>IF(AT376&lt;&gt;0,SSHICHG*Y376,0)</f>
        <v>0</v>
      </c>
      <c r="CD376" s="462">
        <f>IF(AND(AT376&lt;&gt;0,AN376&lt;&gt;"NE"),VLOOKUP(AN376,Retirement_Rates,5,FALSE)*Y376,0)</f>
        <v>0</v>
      </c>
      <c r="CE376" s="462">
        <f>IF(AND(AT376&lt;&gt;0,AJ376&lt;&gt;"PF"),LifeCHG*Y376,0)</f>
        <v>0</v>
      </c>
      <c r="CF376" s="462">
        <f>IF(AND(AT376&lt;&gt;0,AM376="Y"),UICHG*Y376,0)</f>
        <v>0</v>
      </c>
      <c r="CG376" s="462">
        <f>IF(AND(AT376&lt;&gt;0,N376&lt;&gt;"NR"),DHRCHG*Y376,0)</f>
        <v>0</v>
      </c>
      <c r="CH376" s="462">
        <f>IF(AT376&lt;&gt;0,WCCHG*Y376,0)</f>
        <v>0</v>
      </c>
      <c r="CI376" s="462">
        <f>IF(OR(AND(AT376&lt;&gt;0,AJ376&lt;&gt;"PF",AN376&lt;&gt;"NE",AG376&lt;&gt;"A"),AND(AL376="E",OR(AT376=1,AT376=3))),SickCHG*Y376,0)</f>
        <v>0</v>
      </c>
      <c r="CJ376" s="462">
        <f t="shared" si="97"/>
        <v>0</v>
      </c>
      <c r="CK376" s="462" t="str">
        <f t="shared" si="98"/>
        <v/>
      </c>
      <c r="CL376" s="462">
        <f t="shared" si="99"/>
        <v>0</v>
      </c>
      <c r="CM376" s="462">
        <f t="shared" si="100"/>
        <v>0</v>
      </c>
      <c r="CN376" s="462" t="str">
        <f t="shared" si="101"/>
        <v>0410-01</v>
      </c>
    </row>
    <row r="377" spans="1:92" ht="15" thickBot="1" x14ac:dyDescent="0.35">
      <c r="A377" s="376" t="s">
        <v>161</v>
      </c>
      <c r="B377" s="376" t="s">
        <v>162</v>
      </c>
      <c r="C377" s="376" t="s">
        <v>830</v>
      </c>
      <c r="D377" s="376" t="s">
        <v>221</v>
      </c>
      <c r="E377" s="376" t="s">
        <v>1014</v>
      </c>
      <c r="F377" s="382" t="s">
        <v>936</v>
      </c>
      <c r="G377" s="376" t="s">
        <v>1015</v>
      </c>
      <c r="H377" s="378"/>
      <c r="I377" s="378"/>
      <c r="J377" s="376" t="s">
        <v>168</v>
      </c>
      <c r="K377" s="376" t="s">
        <v>222</v>
      </c>
      <c r="L377" s="376" t="s">
        <v>166</v>
      </c>
      <c r="M377" s="376" t="s">
        <v>171</v>
      </c>
      <c r="N377" s="376" t="s">
        <v>223</v>
      </c>
      <c r="O377" s="379">
        <v>0</v>
      </c>
      <c r="P377" s="460">
        <v>1</v>
      </c>
      <c r="Q377" s="460">
        <v>0</v>
      </c>
      <c r="R377" s="380">
        <v>0</v>
      </c>
      <c r="S377" s="460">
        <v>0</v>
      </c>
      <c r="T377" s="380">
        <v>11797.5</v>
      </c>
      <c r="U377" s="380">
        <v>558</v>
      </c>
      <c r="V377" s="380">
        <v>1661.88</v>
      </c>
      <c r="W377" s="380">
        <v>61475.5</v>
      </c>
      <c r="X377" s="380">
        <v>8579.27</v>
      </c>
      <c r="Y377" s="380">
        <v>61475.5</v>
      </c>
      <c r="Z377" s="380">
        <v>8579.27</v>
      </c>
      <c r="AA377" s="378"/>
      <c r="AB377" s="376" t="s">
        <v>45</v>
      </c>
      <c r="AC377" s="376" t="s">
        <v>45</v>
      </c>
      <c r="AD377" s="378"/>
      <c r="AE377" s="378"/>
      <c r="AF377" s="378"/>
      <c r="AG377" s="378"/>
      <c r="AH377" s="379">
        <v>0</v>
      </c>
      <c r="AI377" s="379">
        <v>0</v>
      </c>
      <c r="AJ377" s="378"/>
      <c r="AK377" s="378"/>
      <c r="AL377" s="376" t="s">
        <v>181</v>
      </c>
      <c r="AM377" s="378"/>
      <c r="AN377" s="378"/>
      <c r="AO377" s="379">
        <v>0</v>
      </c>
      <c r="AP377" s="460">
        <v>0</v>
      </c>
      <c r="AQ377" s="460">
        <v>0</v>
      </c>
      <c r="AR377" s="459"/>
      <c r="AS377" s="462">
        <f t="shared" si="85"/>
        <v>0</v>
      </c>
      <c r="AT377">
        <f t="shared" si="86"/>
        <v>0</v>
      </c>
      <c r="AU377" s="462" t="str">
        <f>IF(AT377=0,"",IF(AND(AT377=1,M377="F",SUMIF(C2:C391,C377,AS2:AS391)&lt;=1),SUMIF(C2:C391,C377,AS2:AS391),IF(AND(AT377=1,M377="F",SUMIF(C2:C391,C377,AS2:AS391)&gt;1),1,"")))</f>
        <v/>
      </c>
      <c r="AV377" s="462" t="str">
        <f>IF(AT377=0,"",IF(AND(AT377=3,M377="F",SUMIF(C2:C391,C377,AS2:AS391)&lt;=1),SUMIF(C2:C391,C377,AS2:AS391),IF(AND(AT377=3,M377="F",SUMIF(C2:C391,C377,AS2:AS391)&gt;1),1,"")))</f>
        <v/>
      </c>
      <c r="AW377" s="462">
        <f>SUMIF(C2:C391,C377,O2:O391)</f>
        <v>0</v>
      </c>
      <c r="AX377" s="462">
        <f>IF(AND(M377="F",AS377&lt;&gt;0),SUMIF(C2:C391,C377,W2:W391),0)</f>
        <v>0</v>
      </c>
      <c r="AY377" s="462" t="str">
        <f t="shared" si="87"/>
        <v/>
      </c>
      <c r="AZ377" s="462" t="str">
        <f t="shared" si="88"/>
        <v/>
      </c>
      <c r="BA377" s="462">
        <f t="shared" si="89"/>
        <v>0</v>
      </c>
      <c r="BB377" s="462">
        <f>IF(AND(AT377=1,AK377="E",AU377&gt;=0.75,AW377=1),Health,IF(AND(AT377=1,AK377="E",AU377&gt;=0.75),Health*P377,IF(AND(AT377=1,AK377="E",AU377&gt;=0.5,AW377=1),PTHealth,IF(AND(AT377=1,AK377="E",AU377&gt;=0.5),PTHealth*P377,0))))</f>
        <v>0</v>
      </c>
      <c r="BC377" s="462">
        <f>IF(AND(AT377=3,AK377="E",AV377&gt;=0.75,AW377=1),Health,IF(AND(AT377=3,AK377="E",AV377&gt;=0.75),Health*P377,IF(AND(AT377=3,AK377="E",AV377&gt;=0.5,AW377=1),PTHealth,IF(AND(AT377=3,AK377="E",AV377&gt;=0.5),PTHealth*P377,0))))</f>
        <v>0</v>
      </c>
      <c r="BD377" s="462">
        <f>IF(AND(AT377&lt;&gt;0,AX377&gt;=MAXSSDI),SSDI*MAXSSDI*P377,IF(AT377&lt;&gt;0,SSDI*W377,0))</f>
        <v>0</v>
      </c>
      <c r="BE377" s="462">
        <f>IF(AT377&lt;&gt;0,SSHI*W377,0)</f>
        <v>0</v>
      </c>
      <c r="BF377" s="462">
        <f>IF(AND(AT377&lt;&gt;0,AN377&lt;&gt;"NE"),VLOOKUP(AN377,Retirement_Rates,3,FALSE)*W377,0)</f>
        <v>0</v>
      </c>
      <c r="BG377" s="462">
        <f>IF(AND(AT377&lt;&gt;0,AJ377&lt;&gt;"PF"),Life*W377,0)</f>
        <v>0</v>
      </c>
      <c r="BH377" s="462">
        <f>IF(AND(AT377&lt;&gt;0,AM377="Y"),UI*W377,0)</f>
        <v>0</v>
      </c>
      <c r="BI377" s="462">
        <f>IF(AND(AT377&lt;&gt;0,N377&lt;&gt;"NR"),DHR*W377,0)</f>
        <v>0</v>
      </c>
      <c r="BJ377" s="462">
        <f>IF(AT377&lt;&gt;0,WC*W377,0)</f>
        <v>0</v>
      </c>
      <c r="BK377" s="462">
        <f>IF(OR(AND(AT377&lt;&gt;0,AJ377&lt;&gt;"PF",AN377&lt;&gt;"NE",AG377&lt;&gt;"A"),AND(AL377="E",OR(AT377=1,AT377=3))),Sick*W377,0)</f>
        <v>0</v>
      </c>
      <c r="BL377" s="462">
        <f t="shared" si="90"/>
        <v>0</v>
      </c>
      <c r="BM377" s="462">
        <f t="shared" si="91"/>
        <v>0</v>
      </c>
      <c r="BN377" s="462">
        <f>IF(AND(AT377=1,AK377="E",AU377&gt;=0.75,AW377=1),HealthBY,IF(AND(AT377=1,AK377="E",AU377&gt;=0.75),HealthBY*P377,IF(AND(AT377=1,AK377="E",AU377&gt;=0.5,AW377=1),PTHealthBY,IF(AND(AT377=1,AK377="E",AU377&gt;=0.5),PTHealthBY*P377,0))))</f>
        <v>0</v>
      </c>
      <c r="BO377" s="462">
        <f>IF(AND(AT377=3,AK377="E",AV377&gt;=0.75,AW377=1),HealthBY,IF(AND(AT377=3,AK377="E",AV377&gt;=0.75),HealthBY*P377,IF(AND(AT377=3,AK377="E",AV377&gt;=0.5,AW377=1),PTHealthBY,IF(AND(AT377=3,AK377="E",AV377&gt;=0.5),PTHealthBY*P377,0))))</f>
        <v>0</v>
      </c>
      <c r="BP377" s="462">
        <f>IF(AND(AT377&lt;&gt;0,(AX377+BA377)&gt;=MAXSSDIBY),SSDIBY*MAXSSDIBY*P377,IF(AT377&lt;&gt;0,SSDIBY*W377,0))</f>
        <v>0</v>
      </c>
      <c r="BQ377" s="462">
        <f>IF(AT377&lt;&gt;0,SSHIBY*W377,0)</f>
        <v>0</v>
      </c>
      <c r="BR377" s="462">
        <f>IF(AND(AT377&lt;&gt;0,AN377&lt;&gt;"NE"),VLOOKUP(AN377,Retirement_Rates,4,FALSE)*W377,0)</f>
        <v>0</v>
      </c>
      <c r="BS377" s="462">
        <f>IF(AND(AT377&lt;&gt;0,AJ377&lt;&gt;"PF"),LifeBY*W377,0)</f>
        <v>0</v>
      </c>
      <c r="BT377" s="462">
        <f>IF(AND(AT377&lt;&gt;0,AM377="Y"),UIBY*W377,0)</f>
        <v>0</v>
      </c>
      <c r="BU377" s="462">
        <f>IF(AND(AT377&lt;&gt;0,N377&lt;&gt;"NR"),DHRBY*W377,0)</f>
        <v>0</v>
      </c>
      <c r="BV377" s="462">
        <f>IF(AT377&lt;&gt;0,WCBY*W377,0)</f>
        <v>0</v>
      </c>
      <c r="BW377" s="462">
        <f>IF(OR(AND(AT377&lt;&gt;0,AJ377&lt;&gt;"PF",AN377&lt;&gt;"NE",AG377&lt;&gt;"A"),AND(AL377="E",OR(AT377=1,AT377=3))),SickBY*W377,0)</f>
        <v>0</v>
      </c>
      <c r="BX377" s="462">
        <f t="shared" si="92"/>
        <v>0</v>
      </c>
      <c r="BY377" s="462">
        <f t="shared" si="93"/>
        <v>0</v>
      </c>
      <c r="BZ377" s="462">
        <f t="shared" si="94"/>
        <v>0</v>
      </c>
      <c r="CA377" s="462">
        <f t="shared" si="95"/>
        <v>0</v>
      </c>
      <c r="CB377" s="462">
        <f t="shared" si="96"/>
        <v>0</v>
      </c>
      <c r="CC377" s="462">
        <f>IF(AT377&lt;&gt;0,SSHICHG*Y377,0)</f>
        <v>0</v>
      </c>
      <c r="CD377" s="462">
        <f>IF(AND(AT377&lt;&gt;0,AN377&lt;&gt;"NE"),VLOOKUP(AN377,Retirement_Rates,5,FALSE)*Y377,0)</f>
        <v>0</v>
      </c>
      <c r="CE377" s="462">
        <f>IF(AND(AT377&lt;&gt;0,AJ377&lt;&gt;"PF"),LifeCHG*Y377,0)</f>
        <v>0</v>
      </c>
      <c r="CF377" s="462">
        <f>IF(AND(AT377&lt;&gt;0,AM377="Y"),UICHG*Y377,0)</f>
        <v>0</v>
      </c>
      <c r="CG377" s="462">
        <f>IF(AND(AT377&lt;&gt;0,N377&lt;&gt;"NR"),DHRCHG*Y377,0)</f>
        <v>0</v>
      </c>
      <c r="CH377" s="462">
        <f>IF(AT377&lt;&gt;0,WCCHG*Y377,0)</f>
        <v>0</v>
      </c>
      <c r="CI377" s="462">
        <f>IF(OR(AND(AT377&lt;&gt;0,AJ377&lt;&gt;"PF",AN377&lt;&gt;"NE",AG377&lt;&gt;"A"),AND(AL377="E",OR(AT377=1,AT377=3))),SickCHG*Y377,0)</f>
        <v>0</v>
      </c>
      <c r="CJ377" s="462">
        <f t="shared" si="97"/>
        <v>0</v>
      </c>
      <c r="CK377" s="462" t="str">
        <f t="shared" si="98"/>
        <v/>
      </c>
      <c r="CL377" s="462">
        <f t="shared" si="99"/>
        <v>12355.5</v>
      </c>
      <c r="CM377" s="462">
        <f t="shared" si="100"/>
        <v>1661.88</v>
      </c>
      <c r="CN377" s="462" t="str">
        <f t="shared" si="101"/>
        <v>0410-01</v>
      </c>
    </row>
    <row r="378" spans="1:92" ht="15" thickBot="1" x14ac:dyDescent="0.35">
      <c r="A378" s="376" t="s">
        <v>161</v>
      </c>
      <c r="B378" s="376" t="s">
        <v>162</v>
      </c>
      <c r="C378" s="376" t="s">
        <v>952</v>
      </c>
      <c r="D378" s="376" t="s">
        <v>438</v>
      </c>
      <c r="E378" s="376" t="s">
        <v>1014</v>
      </c>
      <c r="F378" s="382" t="s">
        <v>936</v>
      </c>
      <c r="G378" s="376" t="s">
        <v>1015</v>
      </c>
      <c r="H378" s="378"/>
      <c r="I378" s="378"/>
      <c r="J378" s="376" t="s">
        <v>168</v>
      </c>
      <c r="K378" s="376" t="s">
        <v>439</v>
      </c>
      <c r="L378" s="376" t="s">
        <v>231</v>
      </c>
      <c r="M378" s="376" t="s">
        <v>171</v>
      </c>
      <c r="N378" s="376" t="s">
        <v>172</v>
      </c>
      <c r="O378" s="379">
        <v>1</v>
      </c>
      <c r="P378" s="460">
        <v>1</v>
      </c>
      <c r="Q378" s="460">
        <v>1</v>
      </c>
      <c r="R378" s="380">
        <v>80</v>
      </c>
      <c r="S378" s="460">
        <v>1</v>
      </c>
      <c r="T378" s="380">
        <v>40538.400000000001</v>
      </c>
      <c r="U378" s="380">
        <v>0</v>
      </c>
      <c r="V378" s="380">
        <v>19788.04</v>
      </c>
      <c r="W378" s="380">
        <v>40892.800000000003</v>
      </c>
      <c r="X378" s="380">
        <v>21381.23</v>
      </c>
      <c r="Y378" s="380">
        <v>40892.800000000003</v>
      </c>
      <c r="Z378" s="380">
        <v>21499.83</v>
      </c>
      <c r="AA378" s="376" t="s">
        <v>953</v>
      </c>
      <c r="AB378" s="376" t="s">
        <v>954</v>
      </c>
      <c r="AC378" s="376" t="s">
        <v>955</v>
      </c>
      <c r="AD378" s="376" t="s">
        <v>176</v>
      </c>
      <c r="AE378" s="376" t="s">
        <v>439</v>
      </c>
      <c r="AF378" s="376" t="s">
        <v>236</v>
      </c>
      <c r="AG378" s="376" t="s">
        <v>178</v>
      </c>
      <c r="AH378" s="381">
        <v>19.66</v>
      </c>
      <c r="AI378" s="381">
        <v>18228.8</v>
      </c>
      <c r="AJ378" s="376" t="s">
        <v>179</v>
      </c>
      <c r="AK378" s="376" t="s">
        <v>180</v>
      </c>
      <c r="AL378" s="376" t="s">
        <v>181</v>
      </c>
      <c r="AM378" s="376" t="s">
        <v>182</v>
      </c>
      <c r="AN378" s="376" t="s">
        <v>68</v>
      </c>
      <c r="AO378" s="379">
        <v>80</v>
      </c>
      <c r="AP378" s="460">
        <v>1</v>
      </c>
      <c r="AQ378" s="460">
        <v>1</v>
      </c>
      <c r="AR378" s="458" t="s">
        <v>183</v>
      </c>
      <c r="AS378" s="462">
        <f t="shared" si="85"/>
        <v>1</v>
      </c>
      <c r="AT378">
        <f t="shared" si="86"/>
        <v>1</v>
      </c>
      <c r="AU378" s="462">
        <f>IF(AT378=0,"",IF(AND(AT378=1,M378="F",SUMIF(C2:C391,C378,AS2:AS391)&lt;=1),SUMIF(C2:C391,C378,AS2:AS391),IF(AND(AT378=1,M378="F",SUMIF(C2:C391,C378,AS2:AS391)&gt;1),1,"")))</f>
        <v>1</v>
      </c>
      <c r="AV378" s="462" t="str">
        <f>IF(AT378=0,"",IF(AND(AT378=3,M378="F",SUMIF(C2:C391,C378,AS2:AS391)&lt;=1),SUMIF(C2:C391,C378,AS2:AS391),IF(AND(AT378=3,M378="F",SUMIF(C2:C391,C378,AS2:AS391)&gt;1),1,"")))</f>
        <v/>
      </c>
      <c r="AW378" s="462">
        <f>SUMIF(C2:C391,C378,O2:O391)</f>
        <v>2</v>
      </c>
      <c r="AX378" s="462">
        <f>IF(AND(M378="F",AS378&lt;&gt;0),SUMIF(C2:C391,C378,W2:W391),0)</f>
        <v>40892.800000000003</v>
      </c>
      <c r="AY378" s="462">
        <f t="shared" si="87"/>
        <v>40892.800000000003</v>
      </c>
      <c r="AZ378" s="462" t="str">
        <f t="shared" si="88"/>
        <v/>
      </c>
      <c r="BA378" s="462">
        <f t="shared" si="89"/>
        <v>0</v>
      </c>
      <c r="BB378" s="462">
        <f>IF(AND(AT378=1,AK378="E",AU378&gt;=0.75,AW378=1),Health,IF(AND(AT378=1,AK378="E",AU378&gt;=0.75),Health*P378,IF(AND(AT378=1,AK378="E",AU378&gt;=0.5,AW378=1),PTHealth,IF(AND(AT378=1,AK378="E",AU378&gt;=0.5),PTHealth*P378,0))))</f>
        <v>11650</v>
      </c>
      <c r="BC378" s="462">
        <f>IF(AND(AT378=3,AK378="E",AV378&gt;=0.75,AW378=1),Health,IF(AND(AT378=3,AK378="E",AV378&gt;=0.75),Health*P378,IF(AND(AT378=3,AK378="E",AV378&gt;=0.5,AW378=1),PTHealth,IF(AND(AT378=3,AK378="E",AV378&gt;=0.5),PTHealth*P378,0))))</f>
        <v>0</v>
      </c>
      <c r="BD378" s="462">
        <f>IF(AND(AT378&lt;&gt;0,AX378&gt;=MAXSSDI),SSDI*MAXSSDI*P378,IF(AT378&lt;&gt;0,SSDI*W378,0))</f>
        <v>2535.3536000000004</v>
      </c>
      <c r="BE378" s="462">
        <f>IF(AT378&lt;&gt;0,SSHI*W378,0)</f>
        <v>592.94560000000013</v>
      </c>
      <c r="BF378" s="462">
        <f>IF(AND(AT378&lt;&gt;0,AN378&lt;&gt;"NE"),VLOOKUP(AN378,Retirement_Rates,3,FALSE)*W378,0)</f>
        <v>4882.6003200000005</v>
      </c>
      <c r="BG378" s="462">
        <f>IF(AND(AT378&lt;&gt;0,AJ378&lt;&gt;"PF"),Life*W378,0)</f>
        <v>294.83708800000005</v>
      </c>
      <c r="BH378" s="462">
        <f>IF(AND(AT378&lt;&gt;0,AM378="Y"),UI*W378,0)</f>
        <v>200.37472</v>
      </c>
      <c r="BI378" s="462">
        <f>IF(AND(AT378&lt;&gt;0,N378&lt;&gt;"NR"),DHR*W378,0)</f>
        <v>125.131968</v>
      </c>
      <c r="BJ378" s="462">
        <f>IF(AT378&lt;&gt;0,WC*W378,0)</f>
        <v>1100.0163200000002</v>
      </c>
      <c r="BK378" s="462">
        <f>IF(OR(AND(AT378&lt;&gt;0,AJ378&lt;&gt;"PF",AN378&lt;&gt;"NE",AG378&lt;&gt;"A"),AND(AL378="E",OR(AT378=1,AT378=3))),Sick*W378,0)</f>
        <v>0</v>
      </c>
      <c r="BL378" s="462">
        <f t="shared" si="90"/>
        <v>9731.2596160000012</v>
      </c>
      <c r="BM378" s="462">
        <f t="shared" si="91"/>
        <v>0</v>
      </c>
      <c r="BN378" s="462">
        <f>IF(AND(AT378=1,AK378="E",AU378&gt;=0.75,AW378=1),HealthBY,IF(AND(AT378=1,AK378="E",AU378&gt;=0.75),HealthBY*P378,IF(AND(AT378=1,AK378="E",AU378&gt;=0.5,AW378=1),PTHealthBY,IF(AND(AT378=1,AK378="E",AU378&gt;=0.5),PTHealthBY*P378,0))))</f>
        <v>11650</v>
      </c>
      <c r="BO378" s="462">
        <f>IF(AND(AT378=3,AK378="E",AV378&gt;=0.75,AW378=1),HealthBY,IF(AND(AT378=3,AK378="E",AV378&gt;=0.75),HealthBY*P378,IF(AND(AT378=3,AK378="E",AV378&gt;=0.5,AW378=1),PTHealthBY,IF(AND(AT378=3,AK378="E",AV378&gt;=0.5),PTHealthBY*P378,0))))</f>
        <v>0</v>
      </c>
      <c r="BP378" s="462">
        <f>IF(AND(AT378&lt;&gt;0,(AX378+BA378)&gt;=MAXSSDIBY),SSDIBY*MAXSSDIBY*P378,IF(AT378&lt;&gt;0,SSDIBY*W378,0))</f>
        <v>2535.3536000000004</v>
      </c>
      <c r="BQ378" s="462">
        <f>IF(AT378&lt;&gt;0,SSHIBY*W378,0)</f>
        <v>592.94560000000013</v>
      </c>
      <c r="BR378" s="462">
        <f>IF(AND(AT378&lt;&gt;0,AN378&lt;&gt;"NE"),VLOOKUP(AN378,Retirement_Rates,4,FALSE)*W378,0)</f>
        <v>4882.6003200000005</v>
      </c>
      <c r="BS378" s="462">
        <f>IF(AND(AT378&lt;&gt;0,AJ378&lt;&gt;"PF"),LifeBY*W378,0)</f>
        <v>294.83708800000005</v>
      </c>
      <c r="BT378" s="462">
        <f>IF(AND(AT378&lt;&gt;0,AM378="Y"),UIBY*W378,0)</f>
        <v>0</v>
      </c>
      <c r="BU378" s="462">
        <f>IF(AND(AT378&lt;&gt;0,N378&lt;&gt;"NR"),DHRBY*W378,0)</f>
        <v>125.131968</v>
      </c>
      <c r="BV378" s="462">
        <f>IF(AT378&lt;&gt;0,WCBY*W378,0)</f>
        <v>1418.9801600000001</v>
      </c>
      <c r="BW378" s="462">
        <f>IF(OR(AND(AT378&lt;&gt;0,AJ378&lt;&gt;"PF",AN378&lt;&gt;"NE",AG378&lt;&gt;"A"),AND(AL378="E",OR(AT378=1,AT378=3))),SickBY*W378,0)</f>
        <v>0</v>
      </c>
      <c r="BX378" s="462">
        <f t="shared" si="92"/>
        <v>9849.8487359999999</v>
      </c>
      <c r="BY378" s="462">
        <f t="shared" si="93"/>
        <v>0</v>
      </c>
      <c r="BZ378" s="462">
        <f t="shared" si="94"/>
        <v>0</v>
      </c>
      <c r="CA378" s="462">
        <f t="shared" si="95"/>
        <v>0</v>
      </c>
      <c r="CB378" s="462">
        <f t="shared" si="96"/>
        <v>0</v>
      </c>
      <c r="CC378" s="462">
        <f>IF(AT378&lt;&gt;0,SSHICHG*Y378,0)</f>
        <v>0</v>
      </c>
      <c r="CD378" s="462">
        <f>IF(AND(AT378&lt;&gt;0,AN378&lt;&gt;"NE"),VLOOKUP(AN378,Retirement_Rates,5,FALSE)*Y378,0)</f>
        <v>0</v>
      </c>
      <c r="CE378" s="462">
        <f>IF(AND(AT378&lt;&gt;0,AJ378&lt;&gt;"PF"),LifeCHG*Y378,0)</f>
        <v>0</v>
      </c>
      <c r="CF378" s="462">
        <f>IF(AND(AT378&lt;&gt;0,AM378="Y"),UICHG*Y378,0)</f>
        <v>-200.37472</v>
      </c>
      <c r="CG378" s="462">
        <f>IF(AND(AT378&lt;&gt;0,N378&lt;&gt;"NR"),DHRCHG*Y378,0)</f>
        <v>0</v>
      </c>
      <c r="CH378" s="462">
        <f>IF(AT378&lt;&gt;0,WCCHG*Y378,0)</f>
        <v>318.96384000000006</v>
      </c>
      <c r="CI378" s="462">
        <f>IF(OR(AND(AT378&lt;&gt;0,AJ378&lt;&gt;"PF",AN378&lt;&gt;"NE",AG378&lt;&gt;"A"),AND(AL378="E",OR(AT378=1,AT378=3))),SickCHG*Y378,0)</f>
        <v>0</v>
      </c>
      <c r="CJ378" s="462">
        <f t="shared" si="97"/>
        <v>118.58912000000007</v>
      </c>
      <c r="CK378" s="462" t="str">
        <f t="shared" si="98"/>
        <v/>
      </c>
      <c r="CL378" s="462" t="str">
        <f t="shared" si="99"/>
        <v/>
      </c>
      <c r="CM378" s="462" t="str">
        <f t="shared" si="100"/>
        <v/>
      </c>
      <c r="CN378" s="462" t="str">
        <f t="shared" si="101"/>
        <v>0410-01</v>
      </c>
    </row>
    <row r="379" spans="1:92" ht="15" thickBot="1" x14ac:dyDescent="0.35">
      <c r="A379" s="376" t="s">
        <v>161</v>
      </c>
      <c r="B379" s="376" t="s">
        <v>162</v>
      </c>
      <c r="C379" s="376" t="s">
        <v>631</v>
      </c>
      <c r="D379" s="376" t="s">
        <v>185</v>
      </c>
      <c r="E379" s="376" t="s">
        <v>1014</v>
      </c>
      <c r="F379" s="382" t="s">
        <v>936</v>
      </c>
      <c r="G379" s="376" t="s">
        <v>1015</v>
      </c>
      <c r="H379" s="378"/>
      <c r="I379" s="378"/>
      <c r="J379" s="376" t="s">
        <v>193</v>
      </c>
      <c r="K379" s="376" t="s">
        <v>186</v>
      </c>
      <c r="L379" s="376" t="s">
        <v>178</v>
      </c>
      <c r="M379" s="376" t="s">
        <v>171</v>
      </c>
      <c r="N379" s="376" t="s">
        <v>172</v>
      </c>
      <c r="O379" s="379">
        <v>1</v>
      </c>
      <c r="P379" s="460">
        <v>0.5</v>
      </c>
      <c r="Q379" s="460">
        <v>0.5</v>
      </c>
      <c r="R379" s="380">
        <v>80</v>
      </c>
      <c r="S379" s="460">
        <v>0.5</v>
      </c>
      <c r="T379" s="380">
        <v>16125.66</v>
      </c>
      <c r="U379" s="380">
        <v>0</v>
      </c>
      <c r="V379" s="380">
        <v>9620.1299999999992</v>
      </c>
      <c r="W379" s="380">
        <v>16411.2</v>
      </c>
      <c r="X379" s="380">
        <v>9730.35</v>
      </c>
      <c r="Y379" s="380">
        <v>16411.2</v>
      </c>
      <c r="Z379" s="380">
        <v>9777.94</v>
      </c>
      <c r="AA379" s="376" t="s">
        <v>632</v>
      </c>
      <c r="AB379" s="376" t="s">
        <v>633</v>
      </c>
      <c r="AC379" s="376" t="s">
        <v>634</v>
      </c>
      <c r="AD379" s="376" t="s">
        <v>180</v>
      </c>
      <c r="AE379" s="376" t="s">
        <v>186</v>
      </c>
      <c r="AF379" s="376" t="s">
        <v>190</v>
      </c>
      <c r="AG379" s="376" t="s">
        <v>178</v>
      </c>
      <c r="AH379" s="381">
        <v>15.78</v>
      </c>
      <c r="AI379" s="381">
        <v>28489.7</v>
      </c>
      <c r="AJ379" s="376" t="s">
        <v>179</v>
      </c>
      <c r="AK379" s="376" t="s">
        <v>180</v>
      </c>
      <c r="AL379" s="376" t="s">
        <v>181</v>
      </c>
      <c r="AM379" s="376" t="s">
        <v>182</v>
      </c>
      <c r="AN379" s="376" t="s">
        <v>68</v>
      </c>
      <c r="AO379" s="379">
        <v>80</v>
      </c>
      <c r="AP379" s="460">
        <v>1</v>
      </c>
      <c r="AQ379" s="460">
        <v>0.5</v>
      </c>
      <c r="AR379" s="458" t="s">
        <v>183</v>
      </c>
      <c r="AS379" s="462">
        <f t="shared" si="85"/>
        <v>0.5</v>
      </c>
      <c r="AT379">
        <f t="shared" si="86"/>
        <v>1</v>
      </c>
      <c r="AU379" s="462">
        <f>IF(AT379=0,"",IF(AND(AT379=1,M379="F",SUMIF(C2:C391,C379,AS2:AS391)&lt;=1),SUMIF(C2:C391,C379,AS2:AS391),IF(AND(AT379=1,M379="F",SUMIF(C2:C391,C379,AS2:AS391)&gt;1),1,"")))</f>
        <v>1</v>
      </c>
      <c r="AV379" s="462" t="str">
        <f>IF(AT379=0,"",IF(AND(AT379=3,M379="F",SUMIF(C2:C391,C379,AS2:AS391)&lt;=1),SUMIF(C2:C391,C379,AS2:AS391),IF(AND(AT379=3,M379="F",SUMIF(C2:C391,C379,AS2:AS391)&gt;1),1,"")))</f>
        <v/>
      </c>
      <c r="AW379" s="462">
        <f>SUMIF(C2:C391,C379,O2:O391)</f>
        <v>2</v>
      </c>
      <c r="AX379" s="462">
        <f>IF(AND(M379="F",AS379&lt;&gt;0),SUMIF(C2:C391,C379,W2:W391),0)</f>
        <v>32822.400000000001</v>
      </c>
      <c r="AY379" s="462">
        <f t="shared" si="87"/>
        <v>16411.2</v>
      </c>
      <c r="AZ379" s="462" t="str">
        <f t="shared" si="88"/>
        <v/>
      </c>
      <c r="BA379" s="462">
        <f t="shared" si="89"/>
        <v>0</v>
      </c>
      <c r="BB379" s="462">
        <f>IF(AND(AT379=1,AK379="E",AU379&gt;=0.75,AW379=1),Health,IF(AND(AT379=1,AK379="E",AU379&gt;=0.75),Health*P379,IF(AND(AT379=1,AK379="E",AU379&gt;=0.5,AW379=1),PTHealth,IF(AND(AT379=1,AK379="E",AU379&gt;=0.5),PTHealth*P379,0))))</f>
        <v>5825</v>
      </c>
      <c r="BC379" s="462">
        <f>IF(AND(AT379=3,AK379="E",AV379&gt;=0.75,AW379=1),Health,IF(AND(AT379=3,AK379="E",AV379&gt;=0.75),Health*P379,IF(AND(AT379=3,AK379="E",AV379&gt;=0.5,AW379=1),PTHealth,IF(AND(AT379=3,AK379="E",AV379&gt;=0.5),PTHealth*P379,0))))</f>
        <v>0</v>
      </c>
      <c r="BD379" s="462">
        <f>IF(AND(AT379&lt;&gt;0,AX379&gt;=MAXSSDI),SSDI*MAXSSDI*P379,IF(AT379&lt;&gt;0,SSDI*W379,0))</f>
        <v>1017.4944</v>
      </c>
      <c r="BE379" s="462">
        <f>IF(AT379&lt;&gt;0,SSHI*W379,0)</f>
        <v>237.96240000000003</v>
      </c>
      <c r="BF379" s="462">
        <f>IF(AND(AT379&lt;&gt;0,AN379&lt;&gt;"NE"),VLOOKUP(AN379,Retirement_Rates,3,FALSE)*W379,0)</f>
        <v>1959.4972800000003</v>
      </c>
      <c r="BG379" s="462">
        <f>IF(AND(AT379&lt;&gt;0,AJ379&lt;&gt;"PF"),Life*W379,0)</f>
        <v>118.324752</v>
      </c>
      <c r="BH379" s="462">
        <f>IF(AND(AT379&lt;&gt;0,AM379="Y"),UI*W379,0)</f>
        <v>80.414879999999997</v>
      </c>
      <c r="BI379" s="462">
        <f>IF(AND(AT379&lt;&gt;0,N379&lt;&gt;"NR"),DHR*W379,0)</f>
        <v>50.218271999999999</v>
      </c>
      <c r="BJ379" s="462">
        <f>IF(AT379&lt;&gt;0,WC*W379,0)</f>
        <v>441.46128000000004</v>
      </c>
      <c r="BK379" s="462">
        <f>IF(OR(AND(AT379&lt;&gt;0,AJ379&lt;&gt;"PF",AN379&lt;&gt;"NE",AG379&lt;&gt;"A"),AND(AL379="E",OR(AT379=1,AT379=3))),Sick*W379,0)</f>
        <v>0</v>
      </c>
      <c r="BL379" s="462">
        <f t="shared" si="90"/>
        <v>3905.3732640000003</v>
      </c>
      <c r="BM379" s="462">
        <f t="shared" si="91"/>
        <v>0</v>
      </c>
      <c r="BN379" s="462">
        <f>IF(AND(AT379=1,AK379="E",AU379&gt;=0.75,AW379=1),HealthBY,IF(AND(AT379=1,AK379="E",AU379&gt;=0.75),HealthBY*P379,IF(AND(AT379=1,AK379="E",AU379&gt;=0.5,AW379=1),PTHealthBY,IF(AND(AT379=1,AK379="E",AU379&gt;=0.5),PTHealthBY*P379,0))))</f>
        <v>5825</v>
      </c>
      <c r="BO379" s="462">
        <f>IF(AND(AT379=3,AK379="E",AV379&gt;=0.75,AW379=1),HealthBY,IF(AND(AT379=3,AK379="E",AV379&gt;=0.75),HealthBY*P379,IF(AND(AT379=3,AK379="E",AV379&gt;=0.5,AW379=1),PTHealthBY,IF(AND(AT379=3,AK379="E",AV379&gt;=0.5),PTHealthBY*P379,0))))</f>
        <v>0</v>
      </c>
      <c r="BP379" s="462">
        <f>IF(AND(AT379&lt;&gt;0,(AX379+BA379)&gt;=MAXSSDIBY),SSDIBY*MAXSSDIBY*P379,IF(AT379&lt;&gt;0,SSDIBY*W379,0))</f>
        <v>1017.4944</v>
      </c>
      <c r="BQ379" s="462">
        <f>IF(AT379&lt;&gt;0,SSHIBY*W379,0)</f>
        <v>237.96240000000003</v>
      </c>
      <c r="BR379" s="462">
        <f>IF(AND(AT379&lt;&gt;0,AN379&lt;&gt;"NE"),VLOOKUP(AN379,Retirement_Rates,4,FALSE)*W379,0)</f>
        <v>1959.4972800000003</v>
      </c>
      <c r="BS379" s="462">
        <f>IF(AND(AT379&lt;&gt;0,AJ379&lt;&gt;"PF"),LifeBY*W379,0)</f>
        <v>118.324752</v>
      </c>
      <c r="BT379" s="462">
        <f>IF(AND(AT379&lt;&gt;0,AM379="Y"),UIBY*W379,0)</f>
        <v>0</v>
      </c>
      <c r="BU379" s="462">
        <f>IF(AND(AT379&lt;&gt;0,N379&lt;&gt;"NR"),DHRBY*W379,0)</f>
        <v>50.218271999999999</v>
      </c>
      <c r="BV379" s="462">
        <f>IF(AT379&lt;&gt;0,WCBY*W379,0)</f>
        <v>569.46864000000005</v>
      </c>
      <c r="BW379" s="462">
        <f>IF(OR(AND(AT379&lt;&gt;0,AJ379&lt;&gt;"PF",AN379&lt;&gt;"NE",AG379&lt;&gt;"A"),AND(AL379="E",OR(AT379=1,AT379=3))),SickBY*W379,0)</f>
        <v>0</v>
      </c>
      <c r="BX379" s="462">
        <f t="shared" si="92"/>
        <v>3952.9657440000005</v>
      </c>
      <c r="BY379" s="462">
        <f t="shared" si="93"/>
        <v>0</v>
      </c>
      <c r="BZ379" s="462">
        <f t="shared" si="94"/>
        <v>0</v>
      </c>
      <c r="CA379" s="462">
        <f t="shared" si="95"/>
        <v>0</v>
      </c>
      <c r="CB379" s="462">
        <f t="shared" si="96"/>
        <v>0</v>
      </c>
      <c r="CC379" s="462">
        <f>IF(AT379&lt;&gt;0,SSHICHG*Y379,0)</f>
        <v>0</v>
      </c>
      <c r="CD379" s="462">
        <f>IF(AND(AT379&lt;&gt;0,AN379&lt;&gt;"NE"),VLOOKUP(AN379,Retirement_Rates,5,FALSE)*Y379,0)</f>
        <v>0</v>
      </c>
      <c r="CE379" s="462">
        <f>IF(AND(AT379&lt;&gt;0,AJ379&lt;&gt;"PF"),LifeCHG*Y379,0)</f>
        <v>0</v>
      </c>
      <c r="CF379" s="462">
        <f>IF(AND(AT379&lt;&gt;0,AM379="Y"),UICHG*Y379,0)</f>
        <v>-80.414879999999997</v>
      </c>
      <c r="CG379" s="462">
        <f>IF(AND(AT379&lt;&gt;0,N379&lt;&gt;"NR"),DHRCHG*Y379,0)</f>
        <v>0</v>
      </c>
      <c r="CH379" s="462">
        <f>IF(AT379&lt;&gt;0,WCCHG*Y379,0)</f>
        <v>128.00736000000003</v>
      </c>
      <c r="CI379" s="462">
        <f>IF(OR(AND(AT379&lt;&gt;0,AJ379&lt;&gt;"PF",AN379&lt;&gt;"NE",AG379&lt;&gt;"A"),AND(AL379="E",OR(AT379=1,AT379=3))),SickCHG*Y379,0)</f>
        <v>0</v>
      </c>
      <c r="CJ379" s="462">
        <f t="shared" si="97"/>
        <v>47.592480000000037</v>
      </c>
      <c r="CK379" s="462" t="str">
        <f t="shared" si="98"/>
        <v/>
      </c>
      <c r="CL379" s="462" t="str">
        <f t="shared" si="99"/>
        <v/>
      </c>
      <c r="CM379" s="462" t="str">
        <f t="shared" si="100"/>
        <v/>
      </c>
      <c r="CN379" s="462" t="str">
        <f t="shared" si="101"/>
        <v>0410-01</v>
      </c>
    </row>
    <row r="380" spans="1:92" ht="15" thickBot="1" x14ac:dyDescent="0.35">
      <c r="A380" s="376" t="s">
        <v>161</v>
      </c>
      <c r="B380" s="376" t="s">
        <v>162</v>
      </c>
      <c r="C380" s="376" t="s">
        <v>1029</v>
      </c>
      <c r="D380" s="376" t="s">
        <v>221</v>
      </c>
      <c r="E380" s="376" t="s">
        <v>1014</v>
      </c>
      <c r="F380" s="382" t="s">
        <v>936</v>
      </c>
      <c r="G380" s="376" t="s">
        <v>1015</v>
      </c>
      <c r="H380" s="378"/>
      <c r="I380" s="378"/>
      <c r="J380" s="376" t="s">
        <v>168</v>
      </c>
      <c r="K380" s="376" t="s">
        <v>222</v>
      </c>
      <c r="L380" s="376" t="s">
        <v>166</v>
      </c>
      <c r="M380" s="376" t="s">
        <v>225</v>
      </c>
      <c r="N380" s="376" t="s">
        <v>223</v>
      </c>
      <c r="O380" s="379">
        <v>0</v>
      </c>
      <c r="P380" s="460">
        <v>1</v>
      </c>
      <c r="Q380" s="460">
        <v>0</v>
      </c>
      <c r="R380" s="380">
        <v>0</v>
      </c>
      <c r="S380" s="460">
        <v>0</v>
      </c>
      <c r="T380" s="380">
        <v>0</v>
      </c>
      <c r="U380" s="380">
        <v>0</v>
      </c>
      <c r="V380" s="380">
        <v>0</v>
      </c>
      <c r="W380" s="380">
        <v>0</v>
      </c>
      <c r="X380" s="380">
        <v>0</v>
      </c>
      <c r="Y380" s="380">
        <v>0</v>
      </c>
      <c r="Z380" s="380">
        <v>0</v>
      </c>
      <c r="AA380" s="378"/>
      <c r="AB380" s="376" t="s">
        <v>45</v>
      </c>
      <c r="AC380" s="376" t="s">
        <v>45</v>
      </c>
      <c r="AD380" s="378"/>
      <c r="AE380" s="378"/>
      <c r="AF380" s="378"/>
      <c r="AG380" s="378"/>
      <c r="AH380" s="379">
        <v>0</v>
      </c>
      <c r="AI380" s="379">
        <v>0</v>
      </c>
      <c r="AJ380" s="378"/>
      <c r="AK380" s="378"/>
      <c r="AL380" s="376" t="s">
        <v>181</v>
      </c>
      <c r="AM380" s="378"/>
      <c r="AN380" s="378"/>
      <c r="AO380" s="379">
        <v>0</v>
      </c>
      <c r="AP380" s="460">
        <v>0</v>
      </c>
      <c r="AQ380" s="460">
        <v>0</v>
      </c>
      <c r="AR380" s="459"/>
      <c r="AS380" s="462">
        <f t="shared" si="85"/>
        <v>0</v>
      </c>
      <c r="AT380">
        <f t="shared" si="86"/>
        <v>0</v>
      </c>
      <c r="AU380" s="462" t="str">
        <f>IF(AT380=0,"",IF(AND(AT380=1,M380="F",SUMIF(C2:C391,C380,AS2:AS391)&lt;=1),SUMIF(C2:C391,C380,AS2:AS391),IF(AND(AT380=1,M380="F",SUMIF(C2:C391,C380,AS2:AS391)&gt;1),1,"")))</f>
        <v/>
      </c>
      <c r="AV380" s="462" t="str">
        <f>IF(AT380=0,"",IF(AND(AT380=3,M380="F",SUMIF(C2:C391,C380,AS2:AS391)&lt;=1),SUMIF(C2:C391,C380,AS2:AS391),IF(AND(AT380=3,M380="F",SUMIF(C2:C391,C380,AS2:AS391)&gt;1),1,"")))</f>
        <v/>
      </c>
      <c r="AW380" s="462">
        <f>SUMIF(C2:C391,C380,O2:O391)</f>
        <v>0</v>
      </c>
      <c r="AX380" s="462">
        <f>IF(AND(M380="F",AS380&lt;&gt;0),SUMIF(C2:C391,C380,W2:W391),0)</f>
        <v>0</v>
      </c>
      <c r="AY380" s="462" t="str">
        <f t="shared" si="87"/>
        <v/>
      </c>
      <c r="AZ380" s="462" t="str">
        <f t="shared" si="88"/>
        <v/>
      </c>
      <c r="BA380" s="462">
        <f t="shared" si="89"/>
        <v>0</v>
      </c>
      <c r="BB380" s="462">
        <f>IF(AND(AT380=1,AK380="E",AU380&gt;=0.75,AW380=1),Health,IF(AND(AT380=1,AK380="E",AU380&gt;=0.75),Health*P380,IF(AND(AT380=1,AK380="E",AU380&gt;=0.5,AW380=1),PTHealth,IF(AND(AT380=1,AK380="E",AU380&gt;=0.5),PTHealth*P380,0))))</f>
        <v>0</v>
      </c>
      <c r="BC380" s="462">
        <f>IF(AND(AT380=3,AK380="E",AV380&gt;=0.75,AW380=1),Health,IF(AND(AT380=3,AK380="E",AV380&gt;=0.75),Health*P380,IF(AND(AT380=3,AK380="E",AV380&gt;=0.5,AW380=1),PTHealth,IF(AND(AT380=3,AK380="E",AV380&gt;=0.5),PTHealth*P380,0))))</f>
        <v>0</v>
      </c>
      <c r="BD380" s="462">
        <f>IF(AND(AT380&lt;&gt;0,AX380&gt;=MAXSSDI),SSDI*MAXSSDI*P380,IF(AT380&lt;&gt;0,SSDI*W380,0))</f>
        <v>0</v>
      </c>
      <c r="BE380" s="462">
        <f>IF(AT380&lt;&gt;0,SSHI*W380,0)</f>
        <v>0</v>
      </c>
      <c r="BF380" s="462">
        <f>IF(AND(AT380&lt;&gt;0,AN380&lt;&gt;"NE"),VLOOKUP(AN380,Retirement_Rates,3,FALSE)*W380,0)</f>
        <v>0</v>
      </c>
      <c r="BG380" s="462">
        <f>IF(AND(AT380&lt;&gt;0,AJ380&lt;&gt;"PF"),Life*W380,0)</f>
        <v>0</v>
      </c>
      <c r="BH380" s="462">
        <f>IF(AND(AT380&lt;&gt;0,AM380="Y"),UI*W380,0)</f>
        <v>0</v>
      </c>
      <c r="BI380" s="462">
        <f>IF(AND(AT380&lt;&gt;0,N380&lt;&gt;"NR"),DHR*W380,0)</f>
        <v>0</v>
      </c>
      <c r="BJ380" s="462">
        <f>IF(AT380&lt;&gt;0,WC*W380,0)</f>
        <v>0</v>
      </c>
      <c r="BK380" s="462">
        <f>IF(OR(AND(AT380&lt;&gt;0,AJ380&lt;&gt;"PF",AN380&lt;&gt;"NE",AG380&lt;&gt;"A"),AND(AL380="E",OR(AT380=1,AT380=3))),Sick*W380,0)</f>
        <v>0</v>
      </c>
      <c r="BL380" s="462">
        <f t="shared" si="90"/>
        <v>0</v>
      </c>
      <c r="BM380" s="462">
        <f t="shared" si="91"/>
        <v>0</v>
      </c>
      <c r="BN380" s="462">
        <f>IF(AND(AT380=1,AK380="E",AU380&gt;=0.75,AW380=1),HealthBY,IF(AND(AT380=1,AK380="E",AU380&gt;=0.75),HealthBY*P380,IF(AND(AT380=1,AK380="E",AU380&gt;=0.5,AW380=1),PTHealthBY,IF(AND(AT380=1,AK380="E",AU380&gt;=0.5),PTHealthBY*P380,0))))</f>
        <v>0</v>
      </c>
      <c r="BO380" s="462">
        <f>IF(AND(AT380=3,AK380="E",AV380&gt;=0.75,AW380=1),HealthBY,IF(AND(AT380=3,AK380="E",AV380&gt;=0.75),HealthBY*P380,IF(AND(AT380=3,AK380="E",AV380&gt;=0.5,AW380=1),PTHealthBY,IF(AND(AT380=3,AK380="E",AV380&gt;=0.5),PTHealthBY*P380,0))))</f>
        <v>0</v>
      </c>
      <c r="BP380" s="462">
        <f>IF(AND(AT380&lt;&gt;0,(AX380+BA380)&gt;=MAXSSDIBY),SSDIBY*MAXSSDIBY*P380,IF(AT380&lt;&gt;0,SSDIBY*W380,0))</f>
        <v>0</v>
      </c>
      <c r="BQ380" s="462">
        <f>IF(AT380&lt;&gt;0,SSHIBY*W380,0)</f>
        <v>0</v>
      </c>
      <c r="BR380" s="462">
        <f>IF(AND(AT380&lt;&gt;0,AN380&lt;&gt;"NE"),VLOOKUP(AN380,Retirement_Rates,4,FALSE)*W380,0)</f>
        <v>0</v>
      </c>
      <c r="BS380" s="462">
        <f>IF(AND(AT380&lt;&gt;0,AJ380&lt;&gt;"PF"),LifeBY*W380,0)</f>
        <v>0</v>
      </c>
      <c r="BT380" s="462">
        <f>IF(AND(AT380&lt;&gt;0,AM380="Y"),UIBY*W380,0)</f>
        <v>0</v>
      </c>
      <c r="BU380" s="462">
        <f>IF(AND(AT380&lt;&gt;0,N380&lt;&gt;"NR"),DHRBY*W380,0)</f>
        <v>0</v>
      </c>
      <c r="BV380" s="462">
        <f>IF(AT380&lt;&gt;0,WCBY*W380,0)</f>
        <v>0</v>
      </c>
      <c r="BW380" s="462">
        <f>IF(OR(AND(AT380&lt;&gt;0,AJ380&lt;&gt;"PF",AN380&lt;&gt;"NE",AG380&lt;&gt;"A"),AND(AL380="E",OR(AT380=1,AT380=3))),SickBY*W380,0)</f>
        <v>0</v>
      </c>
      <c r="BX380" s="462">
        <f t="shared" si="92"/>
        <v>0</v>
      </c>
      <c r="BY380" s="462">
        <f t="shared" si="93"/>
        <v>0</v>
      </c>
      <c r="BZ380" s="462">
        <f t="shared" si="94"/>
        <v>0</v>
      </c>
      <c r="CA380" s="462">
        <f t="shared" si="95"/>
        <v>0</v>
      </c>
      <c r="CB380" s="462">
        <f t="shared" si="96"/>
        <v>0</v>
      </c>
      <c r="CC380" s="462">
        <f>IF(AT380&lt;&gt;0,SSHICHG*Y380,0)</f>
        <v>0</v>
      </c>
      <c r="CD380" s="462">
        <f>IF(AND(AT380&lt;&gt;0,AN380&lt;&gt;"NE"),VLOOKUP(AN380,Retirement_Rates,5,FALSE)*Y380,0)</f>
        <v>0</v>
      </c>
      <c r="CE380" s="462">
        <f>IF(AND(AT380&lt;&gt;0,AJ380&lt;&gt;"PF"),LifeCHG*Y380,0)</f>
        <v>0</v>
      </c>
      <c r="CF380" s="462">
        <f>IF(AND(AT380&lt;&gt;0,AM380="Y"),UICHG*Y380,0)</f>
        <v>0</v>
      </c>
      <c r="CG380" s="462">
        <f>IF(AND(AT380&lt;&gt;0,N380&lt;&gt;"NR"),DHRCHG*Y380,0)</f>
        <v>0</v>
      </c>
      <c r="CH380" s="462">
        <f>IF(AT380&lt;&gt;0,WCCHG*Y380,0)</f>
        <v>0</v>
      </c>
      <c r="CI380" s="462">
        <f>IF(OR(AND(AT380&lt;&gt;0,AJ380&lt;&gt;"PF",AN380&lt;&gt;"NE",AG380&lt;&gt;"A"),AND(AL380="E",OR(AT380=1,AT380=3))),SickCHG*Y380,0)</f>
        <v>0</v>
      </c>
      <c r="CJ380" s="462">
        <f t="shared" si="97"/>
        <v>0</v>
      </c>
      <c r="CK380" s="462" t="str">
        <f t="shared" si="98"/>
        <v/>
      </c>
      <c r="CL380" s="462">
        <f t="shared" si="99"/>
        <v>0</v>
      </c>
      <c r="CM380" s="462">
        <f t="shared" si="100"/>
        <v>0</v>
      </c>
      <c r="CN380" s="462" t="str">
        <f t="shared" si="101"/>
        <v>0410-01</v>
      </c>
    </row>
    <row r="381" spans="1:92" ht="15" thickBot="1" x14ac:dyDescent="0.35">
      <c r="A381" s="376" t="s">
        <v>161</v>
      </c>
      <c r="B381" s="376" t="s">
        <v>162</v>
      </c>
      <c r="C381" s="376" t="s">
        <v>655</v>
      </c>
      <c r="D381" s="376" t="s">
        <v>438</v>
      </c>
      <c r="E381" s="376" t="s">
        <v>1014</v>
      </c>
      <c r="F381" s="382" t="s">
        <v>936</v>
      </c>
      <c r="G381" s="376" t="s">
        <v>1015</v>
      </c>
      <c r="H381" s="378"/>
      <c r="I381" s="378"/>
      <c r="J381" s="376" t="s">
        <v>193</v>
      </c>
      <c r="K381" s="376" t="s">
        <v>439</v>
      </c>
      <c r="L381" s="376" t="s">
        <v>231</v>
      </c>
      <c r="M381" s="376" t="s">
        <v>171</v>
      </c>
      <c r="N381" s="376" t="s">
        <v>172</v>
      </c>
      <c r="O381" s="379">
        <v>1</v>
      </c>
      <c r="P381" s="460">
        <v>0.8</v>
      </c>
      <c r="Q381" s="460">
        <v>0.8</v>
      </c>
      <c r="R381" s="380">
        <v>80</v>
      </c>
      <c r="S381" s="460">
        <v>0.8</v>
      </c>
      <c r="T381" s="380">
        <v>17178.05</v>
      </c>
      <c r="U381" s="380">
        <v>12.37</v>
      </c>
      <c r="V381" s="380">
        <v>7198.77</v>
      </c>
      <c r="W381" s="380">
        <v>33446.400000000001</v>
      </c>
      <c r="X381" s="380">
        <v>17279.2</v>
      </c>
      <c r="Y381" s="380">
        <v>33446.400000000001</v>
      </c>
      <c r="Z381" s="380">
        <v>17376.2</v>
      </c>
      <c r="AA381" s="376" t="s">
        <v>656</v>
      </c>
      <c r="AB381" s="376" t="s">
        <v>657</v>
      </c>
      <c r="AC381" s="376" t="s">
        <v>658</v>
      </c>
      <c r="AD381" s="376" t="s">
        <v>176</v>
      </c>
      <c r="AE381" s="376" t="s">
        <v>439</v>
      </c>
      <c r="AF381" s="376" t="s">
        <v>236</v>
      </c>
      <c r="AG381" s="376" t="s">
        <v>178</v>
      </c>
      <c r="AH381" s="381">
        <v>20.100000000000001</v>
      </c>
      <c r="AI381" s="381">
        <v>8057.9</v>
      </c>
      <c r="AJ381" s="376" t="s">
        <v>179</v>
      </c>
      <c r="AK381" s="376" t="s">
        <v>180</v>
      </c>
      <c r="AL381" s="376" t="s">
        <v>181</v>
      </c>
      <c r="AM381" s="376" t="s">
        <v>182</v>
      </c>
      <c r="AN381" s="376" t="s">
        <v>68</v>
      </c>
      <c r="AO381" s="379">
        <v>80</v>
      </c>
      <c r="AP381" s="460">
        <v>1</v>
      </c>
      <c r="AQ381" s="460">
        <v>0.8</v>
      </c>
      <c r="AR381" s="458" t="s">
        <v>183</v>
      </c>
      <c r="AS381" s="462">
        <f t="shared" si="85"/>
        <v>0.8</v>
      </c>
      <c r="AT381">
        <f t="shared" si="86"/>
        <v>1</v>
      </c>
      <c r="AU381" s="462">
        <f>IF(AT381=0,"",IF(AND(AT381=1,M381="F",SUMIF(C2:C391,C381,AS2:AS391)&lt;=1),SUMIF(C2:C391,C381,AS2:AS391),IF(AND(AT381=1,M381="F",SUMIF(C2:C391,C381,AS2:AS391)&gt;1),1,"")))</f>
        <v>1</v>
      </c>
      <c r="AV381" s="462" t="str">
        <f>IF(AT381=0,"",IF(AND(AT381=3,M381="F",SUMIF(C2:C391,C381,AS2:AS391)&lt;=1),SUMIF(C2:C391,C381,AS2:AS391),IF(AND(AT381=3,M381="F",SUMIF(C2:C391,C381,AS2:AS391)&gt;1),1,"")))</f>
        <v/>
      </c>
      <c r="AW381" s="462">
        <f>SUMIF(C2:C391,C381,O2:O391)</f>
        <v>2</v>
      </c>
      <c r="AX381" s="462">
        <f>IF(AND(M381="F",AS381&lt;&gt;0),SUMIF(C2:C391,C381,W2:W391),0)</f>
        <v>41808</v>
      </c>
      <c r="AY381" s="462">
        <f t="shared" si="87"/>
        <v>33446.400000000001</v>
      </c>
      <c r="AZ381" s="462" t="str">
        <f t="shared" si="88"/>
        <v/>
      </c>
      <c r="BA381" s="462">
        <f t="shared" si="89"/>
        <v>0</v>
      </c>
      <c r="BB381" s="462">
        <f>IF(AND(AT381=1,AK381="E",AU381&gt;=0.75,AW381=1),Health,IF(AND(AT381=1,AK381="E",AU381&gt;=0.75),Health*P381,IF(AND(AT381=1,AK381="E",AU381&gt;=0.5,AW381=1),PTHealth,IF(AND(AT381=1,AK381="E",AU381&gt;=0.5),PTHealth*P381,0))))</f>
        <v>9320</v>
      </c>
      <c r="BC381" s="462">
        <f>IF(AND(AT381=3,AK381="E",AV381&gt;=0.75,AW381=1),Health,IF(AND(AT381=3,AK381="E",AV381&gt;=0.75),Health*P381,IF(AND(AT381=3,AK381="E",AV381&gt;=0.5,AW381=1),PTHealth,IF(AND(AT381=3,AK381="E",AV381&gt;=0.5),PTHealth*P381,0))))</f>
        <v>0</v>
      </c>
      <c r="BD381" s="462">
        <f>IF(AND(AT381&lt;&gt;0,AX381&gt;=MAXSSDI),SSDI*MAXSSDI*P381,IF(AT381&lt;&gt;0,SSDI*W381,0))</f>
        <v>2073.6768000000002</v>
      </c>
      <c r="BE381" s="462">
        <f>IF(AT381&lt;&gt;0,SSHI*W381,0)</f>
        <v>484.97280000000006</v>
      </c>
      <c r="BF381" s="462">
        <f>IF(AND(AT381&lt;&gt;0,AN381&lt;&gt;"NE"),VLOOKUP(AN381,Retirement_Rates,3,FALSE)*W381,0)</f>
        <v>3993.5001600000005</v>
      </c>
      <c r="BG381" s="462">
        <f>IF(AND(AT381&lt;&gt;0,AJ381&lt;&gt;"PF"),Life*W381,0)</f>
        <v>241.14854400000002</v>
      </c>
      <c r="BH381" s="462">
        <f>IF(AND(AT381&lt;&gt;0,AM381="Y"),UI*W381,0)</f>
        <v>163.88736</v>
      </c>
      <c r="BI381" s="462">
        <f>IF(AND(AT381&lt;&gt;0,N381&lt;&gt;"NR"),DHR*W381,0)</f>
        <v>102.345984</v>
      </c>
      <c r="BJ381" s="462">
        <f>IF(AT381&lt;&gt;0,WC*W381,0)</f>
        <v>899.70816000000002</v>
      </c>
      <c r="BK381" s="462">
        <f>IF(OR(AND(AT381&lt;&gt;0,AJ381&lt;&gt;"PF",AN381&lt;&gt;"NE",AG381&lt;&gt;"A"),AND(AL381="E",OR(AT381=1,AT381=3))),Sick*W381,0)</f>
        <v>0</v>
      </c>
      <c r="BL381" s="462">
        <f t="shared" si="90"/>
        <v>7959.2398079999994</v>
      </c>
      <c r="BM381" s="462">
        <f t="shared" si="91"/>
        <v>0</v>
      </c>
      <c r="BN381" s="462">
        <f>IF(AND(AT381=1,AK381="E",AU381&gt;=0.75,AW381=1),HealthBY,IF(AND(AT381=1,AK381="E",AU381&gt;=0.75),HealthBY*P381,IF(AND(AT381=1,AK381="E",AU381&gt;=0.5,AW381=1),PTHealthBY,IF(AND(AT381=1,AK381="E",AU381&gt;=0.5),PTHealthBY*P381,0))))</f>
        <v>9320</v>
      </c>
      <c r="BO381" s="462">
        <f>IF(AND(AT381=3,AK381="E",AV381&gt;=0.75,AW381=1),HealthBY,IF(AND(AT381=3,AK381="E",AV381&gt;=0.75),HealthBY*P381,IF(AND(AT381=3,AK381="E",AV381&gt;=0.5,AW381=1),PTHealthBY,IF(AND(AT381=3,AK381="E",AV381&gt;=0.5),PTHealthBY*P381,0))))</f>
        <v>0</v>
      </c>
      <c r="BP381" s="462">
        <f>IF(AND(AT381&lt;&gt;0,(AX381+BA381)&gt;=MAXSSDIBY),SSDIBY*MAXSSDIBY*P381,IF(AT381&lt;&gt;0,SSDIBY*W381,0))</f>
        <v>2073.6768000000002</v>
      </c>
      <c r="BQ381" s="462">
        <f>IF(AT381&lt;&gt;0,SSHIBY*W381,0)</f>
        <v>484.97280000000006</v>
      </c>
      <c r="BR381" s="462">
        <f>IF(AND(AT381&lt;&gt;0,AN381&lt;&gt;"NE"),VLOOKUP(AN381,Retirement_Rates,4,FALSE)*W381,0)</f>
        <v>3993.5001600000005</v>
      </c>
      <c r="BS381" s="462">
        <f>IF(AND(AT381&lt;&gt;0,AJ381&lt;&gt;"PF"),LifeBY*W381,0)</f>
        <v>241.14854400000002</v>
      </c>
      <c r="BT381" s="462">
        <f>IF(AND(AT381&lt;&gt;0,AM381="Y"),UIBY*W381,0)</f>
        <v>0</v>
      </c>
      <c r="BU381" s="462">
        <f>IF(AND(AT381&lt;&gt;0,N381&lt;&gt;"NR"),DHRBY*W381,0)</f>
        <v>102.345984</v>
      </c>
      <c r="BV381" s="462">
        <f>IF(AT381&lt;&gt;0,WCBY*W381,0)</f>
        <v>1160.5900800000002</v>
      </c>
      <c r="BW381" s="462">
        <f>IF(OR(AND(AT381&lt;&gt;0,AJ381&lt;&gt;"PF",AN381&lt;&gt;"NE",AG381&lt;&gt;"A"),AND(AL381="E",OR(AT381=1,AT381=3))),SickBY*W381,0)</f>
        <v>0</v>
      </c>
      <c r="BX381" s="462">
        <f t="shared" si="92"/>
        <v>8056.2343679999994</v>
      </c>
      <c r="BY381" s="462">
        <f t="shared" si="93"/>
        <v>0</v>
      </c>
      <c r="BZ381" s="462">
        <f t="shared" si="94"/>
        <v>0</v>
      </c>
      <c r="CA381" s="462">
        <f t="shared" si="95"/>
        <v>0</v>
      </c>
      <c r="CB381" s="462">
        <f t="shared" si="96"/>
        <v>0</v>
      </c>
      <c r="CC381" s="462">
        <f>IF(AT381&lt;&gt;0,SSHICHG*Y381,0)</f>
        <v>0</v>
      </c>
      <c r="CD381" s="462">
        <f>IF(AND(AT381&lt;&gt;0,AN381&lt;&gt;"NE"),VLOOKUP(AN381,Retirement_Rates,5,FALSE)*Y381,0)</f>
        <v>0</v>
      </c>
      <c r="CE381" s="462">
        <f>IF(AND(AT381&lt;&gt;0,AJ381&lt;&gt;"PF"),LifeCHG*Y381,0)</f>
        <v>0</v>
      </c>
      <c r="CF381" s="462">
        <f>IF(AND(AT381&lt;&gt;0,AM381="Y"),UICHG*Y381,0)</f>
        <v>-163.88736</v>
      </c>
      <c r="CG381" s="462">
        <f>IF(AND(AT381&lt;&gt;0,N381&lt;&gt;"NR"),DHRCHG*Y381,0)</f>
        <v>0</v>
      </c>
      <c r="CH381" s="462">
        <f>IF(AT381&lt;&gt;0,WCCHG*Y381,0)</f>
        <v>260.88192000000004</v>
      </c>
      <c r="CI381" s="462">
        <f>IF(OR(AND(AT381&lt;&gt;0,AJ381&lt;&gt;"PF",AN381&lt;&gt;"NE",AG381&lt;&gt;"A"),AND(AL381="E",OR(AT381=1,AT381=3))),SickCHG*Y381,0)</f>
        <v>0</v>
      </c>
      <c r="CJ381" s="462">
        <f t="shared" si="97"/>
        <v>96.994560000000035</v>
      </c>
      <c r="CK381" s="462" t="str">
        <f t="shared" si="98"/>
        <v/>
      </c>
      <c r="CL381" s="462" t="str">
        <f t="shared" si="99"/>
        <v/>
      </c>
      <c r="CM381" s="462" t="str">
        <f t="shared" si="100"/>
        <v/>
      </c>
      <c r="CN381" s="462" t="str">
        <f t="shared" si="101"/>
        <v>0410-01</v>
      </c>
    </row>
    <row r="382" spans="1:92" ht="15" thickBot="1" x14ac:dyDescent="0.35">
      <c r="A382" s="376" t="s">
        <v>161</v>
      </c>
      <c r="B382" s="376" t="s">
        <v>162</v>
      </c>
      <c r="C382" s="376" t="s">
        <v>860</v>
      </c>
      <c r="D382" s="376" t="s">
        <v>221</v>
      </c>
      <c r="E382" s="376" t="s">
        <v>1014</v>
      </c>
      <c r="F382" s="382" t="s">
        <v>936</v>
      </c>
      <c r="G382" s="376" t="s">
        <v>1015</v>
      </c>
      <c r="H382" s="378"/>
      <c r="I382" s="378"/>
      <c r="J382" s="376" t="s">
        <v>168</v>
      </c>
      <c r="K382" s="376" t="s">
        <v>222</v>
      </c>
      <c r="L382" s="376" t="s">
        <v>166</v>
      </c>
      <c r="M382" s="376" t="s">
        <v>171</v>
      </c>
      <c r="N382" s="376" t="s">
        <v>223</v>
      </c>
      <c r="O382" s="379">
        <v>0</v>
      </c>
      <c r="P382" s="460">
        <v>1</v>
      </c>
      <c r="Q382" s="460">
        <v>0</v>
      </c>
      <c r="R382" s="380">
        <v>0</v>
      </c>
      <c r="S382" s="460">
        <v>0</v>
      </c>
      <c r="T382" s="380">
        <v>40756.089999999997</v>
      </c>
      <c r="U382" s="380">
        <v>465.01</v>
      </c>
      <c r="V382" s="380">
        <v>4190.2</v>
      </c>
      <c r="W382" s="380">
        <v>44638.17</v>
      </c>
      <c r="X382" s="380">
        <v>5773.13</v>
      </c>
      <c r="Y382" s="380">
        <v>44638.17</v>
      </c>
      <c r="Z382" s="380">
        <v>5773.13</v>
      </c>
      <c r="AA382" s="378"/>
      <c r="AB382" s="376" t="s">
        <v>45</v>
      </c>
      <c r="AC382" s="376" t="s">
        <v>45</v>
      </c>
      <c r="AD382" s="378"/>
      <c r="AE382" s="378"/>
      <c r="AF382" s="378"/>
      <c r="AG382" s="378"/>
      <c r="AH382" s="379">
        <v>0</v>
      </c>
      <c r="AI382" s="379">
        <v>0</v>
      </c>
      <c r="AJ382" s="378"/>
      <c r="AK382" s="378"/>
      <c r="AL382" s="376" t="s">
        <v>181</v>
      </c>
      <c r="AM382" s="378"/>
      <c r="AN382" s="378"/>
      <c r="AO382" s="379">
        <v>0</v>
      </c>
      <c r="AP382" s="460">
        <v>0</v>
      </c>
      <c r="AQ382" s="460">
        <v>0</v>
      </c>
      <c r="AR382" s="459"/>
      <c r="AS382" s="462">
        <f t="shared" si="85"/>
        <v>0</v>
      </c>
      <c r="AT382">
        <f t="shared" si="86"/>
        <v>0</v>
      </c>
      <c r="AU382" s="462" t="str">
        <f>IF(AT382=0,"",IF(AND(AT382=1,M382="F",SUMIF(C2:C391,C382,AS2:AS391)&lt;=1),SUMIF(C2:C391,C382,AS2:AS391),IF(AND(AT382=1,M382="F",SUMIF(C2:C391,C382,AS2:AS391)&gt;1),1,"")))</f>
        <v/>
      </c>
      <c r="AV382" s="462" t="str">
        <f>IF(AT382=0,"",IF(AND(AT382=3,M382="F",SUMIF(C2:C391,C382,AS2:AS391)&lt;=1),SUMIF(C2:C391,C382,AS2:AS391),IF(AND(AT382=3,M382="F",SUMIF(C2:C391,C382,AS2:AS391)&gt;1),1,"")))</f>
        <v/>
      </c>
      <c r="AW382" s="462">
        <f>SUMIF(C2:C391,C382,O2:O391)</f>
        <v>0</v>
      </c>
      <c r="AX382" s="462">
        <f>IF(AND(M382="F",AS382&lt;&gt;0),SUMIF(C2:C391,C382,W2:W391),0)</f>
        <v>0</v>
      </c>
      <c r="AY382" s="462" t="str">
        <f t="shared" si="87"/>
        <v/>
      </c>
      <c r="AZ382" s="462" t="str">
        <f t="shared" si="88"/>
        <v/>
      </c>
      <c r="BA382" s="462">
        <f t="shared" si="89"/>
        <v>0</v>
      </c>
      <c r="BB382" s="462">
        <f>IF(AND(AT382=1,AK382="E",AU382&gt;=0.75,AW382=1),Health,IF(AND(AT382=1,AK382="E",AU382&gt;=0.75),Health*P382,IF(AND(AT382=1,AK382="E",AU382&gt;=0.5,AW382=1),PTHealth,IF(AND(AT382=1,AK382="E",AU382&gt;=0.5),PTHealth*P382,0))))</f>
        <v>0</v>
      </c>
      <c r="BC382" s="462">
        <f>IF(AND(AT382=3,AK382="E",AV382&gt;=0.75,AW382=1),Health,IF(AND(AT382=3,AK382="E",AV382&gt;=0.75),Health*P382,IF(AND(AT382=3,AK382="E",AV382&gt;=0.5,AW382=1),PTHealth,IF(AND(AT382=3,AK382="E",AV382&gt;=0.5),PTHealth*P382,0))))</f>
        <v>0</v>
      </c>
      <c r="BD382" s="462">
        <f>IF(AND(AT382&lt;&gt;0,AX382&gt;=MAXSSDI),SSDI*MAXSSDI*P382,IF(AT382&lt;&gt;0,SSDI*W382,0))</f>
        <v>0</v>
      </c>
      <c r="BE382" s="462">
        <f>IF(AT382&lt;&gt;0,SSHI*W382,0)</f>
        <v>0</v>
      </c>
      <c r="BF382" s="462">
        <f>IF(AND(AT382&lt;&gt;0,AN382&lt;&gt;"NE"),VLOOKUP(AN382,Retirement_Rates,3,FALSE)*W382,0)</f>
        <v>0</v>
      </c>
      <c r="BG382" s="462">
        <f>IF(AND(AT382&lt;&gt;0,AJ382&lt;&gt;"PF"),Life*W382,0)</f>
        <v>0</v>
      </c>
      <c r="BH382" s="462">
        <f>IF(AND(AT382&lt;&gt;0,AM382="Y"),UI*W382,0)</f>
        <v>0</v>
      </c>
      <c r="BI382" s="462">
        <f>IF(AND(AT382&lt;&gt;0,N382&lt;&gt;"NR"),DHR*W382,0)</f>
        <v>0</v>
      </c>
      <c r="BJ382" s="462">
        <f>IF(AT382&lt;&gt;0,WC*W382,0)</f>
        <v>0</v>
      </c>
      <c r="BK382" s="462">
        <f>IF(OR(AND(AT382&lt;&gt;0,AJ382&lt;&gt;"PF",AN382&lt;&gt;"NE",AG382&lt;&gt;"A"),AND(AL382="E",OR(AT382=1,AT382=3))),Sick*W382,0)</f>
        <v>0</v>
      </c>
      <c r="BL382" s="462">
        <f t="shared" si="90"/>
        <v>0</v>
      </c>
      <c r="BM382" s="462">
        <f t="shared" si="91"/>
        <v>0</v>
      </c>
      <c r="BN382" s="462">
        <f>IF(AND(AT382=1,AK382="E",AU382&gt;=0.75,AW382=1),HealthBY,IF(AND(AT382=1,AK382="E",AU382&gt;=0.75),HealthBY*P382,IF(AND(AT382=1,AK382="E",AU382&gt;=0.5,AW382=1),PTHealthBY,IF(AND(AT382=1,AK382="E",AU382&gt;=0.5),PTHealthBY*P382,0))))</f>
        <v>0</v>
      </c>
      <c r="BO382" s="462">
        <f>IF(AND(AT382=3,AK382="E",AV382&gt;=0.75,AW382=1),HealthBY,IF(AND(AT382=3,AK382="E",AV382&gt;=0.75),HealthBY*P382,IF(AND(AT382=3,AK382="E",AV382&gt;=0.5,AW382=1),PTHealthBY,IF(AND(AT382=3,AK382="E",AV382&gt;=0.5),PTHealthBY*P382,0))))</f>
        <v>0</v>
      </c>
      <c r="BP382" s="462">
        <f>IF(AND(AT382&lt;&gt;0,(AX382+BA382)&gt;=MAXSSDIBY),SSDIBY*MAXSSDIBY*P382,IF(AT382&lt;&gt;0,SSDIBY*W382,0))</f>
        <v>0</v>
      </c>
      <c r="BQ382" s="462">
        <f>IF(AT382&lt;&gt;0,SSHIBY*W382,0)</f>
        <v>0</v>
      </c>
      <c r="BR382" s="462">
        <f>IF(AND(AT382&lt;&gt;0,AN382&lt;&gt;"NE"),VLOOKUP(AN382,Retirement_Rates,4,FALSE)*W382,0)</f>
        <v>0</v>
      </c>
      <c r="BS382" s="462">
        <f>IF(AND(AT382&lt;&gt;0,AJ382&lt;&gt;"PF"),LifeBY*W382,0)</f>
        <v>0</v>
      </c>
      <c r="BT382" s="462">
        <f>IF(AND(AT382&lt;&gt;0,AM382="Y"),UIBY*W382,0)</f>
        <v>0</v>
      </c>
      <c r="BU382" s="462">
        <f>IF(AND(AT382&lt;&gt;0,N382&lt;&gt;"NR"),DHRBY*W382,0)</f>
        <v>0</v>
      </c>
      <c r="BV382" s="462">
        <f>IF(AT382&lt;&gt;0,WCBY*W382,0)</f>
        <v>0</v>
      </c>
      <c r="BW382" s="462">
        <f>IF(OR(AND(AT382&lt;&gt;0,AJ382&lt;&gt;"PF",AN382&lt;&gt;"NE",AG382&lt;&gt;"A"),AND(AL382="E",OR(AT382=1,AT382=3))),SickBY*W382,0)</f>
        <v>0</v>
      </c>
      <c r="BX382" s="462">
        <f t="shared" si="92"/>
        <v>0</v>
      </c>
      <c r="BY382" s="462">
        <f t="shared" si="93"/>
        <v>0</v>
      </c>
      <c r="BZ382" s="462">
        <f t="shared" si="94"/>
        <v>0</v>
      </c>
      <c r="CA382" s="462">
        <f t="shared" si="95"/>
        <v>0</v>
      </c>
      <c r="CB382" s="462">
        <f t="shared" si="96"/>
        <v>0</v>
      </c>
      <c r="CC382" s="462">
        <f>IF(AT382&lt;&gt;0,SSHICHG*Y382,0)</f>
        <v>0</v>
      </c>
      <c r="CD382" s="462">
        <f>IF(AND(AT382&lt;&gt;0,AN382&lt;&gt;"NE"),VLOOKUP(AN382,Retirement_Rates,5,FALSE)*Y382,0)</f>
        <v>0</v>
      </c>
      <c r="CE382" s="462">
        <f>IF(AND(AT382&lt;&gt;0,AJ382&lt;&gt;"PF"),LifeCHG*Y382,0)</f>
        <v>0</v>
      </c>
      <c r="CF382" s="462">
        <f>IF(AND(AT382&lt;&gt;0,AM382="Y"),UICHG*Y382,0)</f>
        <v>0</v>
      </c>
      <c r="CG382" s="462">
        <f>IF(AND(AT382&lt;&gt;0,N382&lt;&gt;"NR"),DHRCHG*Y382,0)</f>
        <v>0</v>
      </c>
      <c r="CH382" s="462">
        <f>IF(AT382&lt;&gt;0,WCCHG*Y382,0)</f>
        <v>0</v>
      </c>
      <c r="CI382" s="462">
        <f>IF(OR(AND(AT382&lt;&gt;0,AJ382&lt;&gt;"PF",AN382&lt;&gt;"NE",AG382&lt;&gt;"A"),AND(AL382="E",OR(AT382=1,AT382=3))),SickCHG*Y382,0)</f>
        <v>0</v>
      </c>
      <c r="CJ382" s="462">
        <f t="shared" si="97"/>
        <v>0</v>
      </c>
      <c r="CK382" s="462" t="str">
        <f t="shared" si="98"/>
        <v/>
      </c>
      <c r="CL382" s="462">
        <f t="shared" si="99"/>
        <v>41221.1</v>
      </c>
      <c r="CM382" s="462">
        <f t="shared" si="100"/>
        <v>4190.2</v>
      </c>
      <c r="CN382" s="462" t="str">
        <f t="shared" si="101"/>
        <v>0410-01</v>
      </c>
    </row>
    <row r="383" spans="1:92" ht="15" thickBot="1" x14ac:dyDescent="0.35">
      <c r="A383" s="376" t="s">
        <v>161</v>
      </c>
      <c r="B383" s="376" t="s">
        <v>162</v>
      </c>
      <c r="C383" s="376" t="s">
        <v>673</v>
      </c>
      <c r="D383" s="376" t="s">
        <v>453</v>
      </c>
      <c r="E383" s="376" t="s">
        <v>1014</v>
      </c>
      <c r="F383" s="382" t="s">
        <v>936</v>
      </c>
      <c r="G383" s="376" t="s">
        <v>1015</v>
      </c>
      <c r="H383" s="378"/>
      <c r="I383" s="378"/>
      <c r="J383" s="376" t="s">
        <v>229</v>
      </c>
      <c r="K383" s="376" t="s">
        <v>454</v>
      </c>
      <c r="L383" s="376" t="s">
        <v>170</v>
      </c>
      <c r="M383" s="376" t="s">
        <v>171</v>
      </c>
      <c r="N383" s="376" t="s">
        <v>172</v>
      </c>
      <c r="O383" s="379">
        <v>1</v>
      </c>
      <c r="P383" s="460">
        <v>0.5</v>
      </c>
      <c r="Q383" s="460">
        <v>0.5</v>
      </c>
      <c r="R383" s="380">
        <v>80</v>
      </c>
      <c r="S383" s="460">
        <v>0.5</v>
      </c>
      <c r="T383" s="380">
        <v>27962.45</v>
      </c>
      <c r="U383" s="380">
        <v>0</v>
      </c>
      <c r="V383" s="380">
        <v>10372.77</v>
      </c>
      <c r="W383" s="380">
        <v>29640</v>
      </c>
      <c r="X383" s="380">
        <v>12878.42</v>
      </c>
      <c r="Y383" s="380">
        <v>29640</v>
      </c>
      <c r="Z383" s="380">
        <v>12964.37</v>
      </c>
      <c r="AA383" s="376" t="s">
        <v>674</v>
      </c>
      <c r="AB383" s="376" t="s">
        <v>590</v>
      </c>
      <c r="AC383" s="376" t="s">
        <v>675</v>
      </c>
      <c r="AD383" s="376" t="s">
        <v>324</v>
      </c>
      <c r="AE383" s="376" t="s">
        <v>454</v>
      </c>
      <c r="AF383" s="376" t="s">
        <v>177</v>
      </c>
      <c r="AG383" s="376" t="s">
        <v>178</v>
      </c>
      <c r="AH383" s="381">
        <v>28.5</v>
      </c>
      <c r="AI383" s="381">
        <v>22185.5</v>
      </c>
      <c r="AJ383" s="376" t="s">
        <v>179</v>
      </c>
      <c r="AK383" s="376" t="s">
        <v>180</v>
      </c>
      <c r="AL383" s="376" t="s">
        <v>181</v>
      </c>
      <c r="AM383" s="376" t="s">
        <v>182</v>
      </c>
      <c r="AN383" s="376" t="s">
        <v>68</v>
      </c>
      <c r="AO383" s="379">
        <v>80</v>
      </c>
      <c r="AP383" s="460">
        <v>1</v>
      </c>
      <c r="AQ383" s="460">
        <v>0.5</v>
      </c>
      <c r="AR383" s="458" t="s">
        <v>183</v>
      </c>
      <c r="AS383" s="462">
        <f t="shared" si="85"/>
        <v>0.5</v>
      </c>
      <c r="AT383">
        <f t="shared" si="86"/>
        <v>1</v>
      </c>
      <c r="AU383" s="462">
        <f>IF(AT383=0,"",IF(AND(AT383=1,M383="F",SUMIF(C2:C391,C383,AS2:AS391)&lt;=1),SUMIF(C2:C391,C383,AS2:AS391),IF(AND(AT383=1,M383="F",SUMIF(C2:C391,C383,AS2:AS391)&gt;1),1,"")))</f>
        <v>1</v>
      </c>
      <c r="AV383" s="462" t="str">
        <f>IF(AT383=0,"",IF(AND(AT383=3,M383="F",SUMIF(C2:C391,C383,AS2:AS391)&lt;=1),SUMIF(C2:C391,C383,AS2:AS391),IF(AND(AT383=3,M383="F",SUMIF(C2:C391,C383,AS2:AS391)&gt;1),1,"")))</f>
        <v/>
      </c>
      <c r="AW383" s="462">
        <f>SUMIF(C2:C391,C383,O2:O391)</f>
        <v>3</v>
      </c>
      <c r="AX383" s="462">
        <f>IF(AND(M383="F",AS383&lt;&gt;0),SUMIF(C2:C391,C383,W2:W391),0)</f>
        <v>59280</v>
      </c>
      <c r="AY383" s="462">
        <f t="shared" si="87"/>
        <v>29640</v>
      </c>
      <c r="AZ383" s="462" t="str">
        <f t="shared" si="88"/>
        <v/>
      </c>
      <c r="BA383" s="462">
        <f t="shared" si="89"/>
        <v>0</v>
      </c>
      <c r="BB383" s="462">
        <f>IF(AND(AT383=1,AK383="E",AU383&gt;=0.75,AW383=1),Health,IF(AND(AT383=1,AK383="E",AU383&gt;=0.75),Health*P383,IF(AND(AT383=1,AK383="E",AU383&gt;=0.5,AW383=1),PTHealth,IF(AND(AT383=1,AK383="E",AU383&gt;=0.5),PTHealth*P383,0))))</f>
        <v>5825</v>
      </c>
      <c r="BC383" s="462">
        <f>IF(AND(AT383=3,AK383="E",AV383&gt;=0.75,AW383=1),Health,IF(AND(AT383=3,AK383="E",AV383&gt;=0.75),Health*P383,IF(AND(AT383=3,AK383="E",AV383&gt;=0.5,AW383=1),PTHealth,IF(AND(AT383=3,AK383="E",AV383&gt;=0.5),PTHealth*P383,0))))</f>
        <v>0</v>
      </c>
      <c r="BD383" s="462">
        <f>IF(AND(AT383&lt;&gt;0,AX383&gt;=MAXSSDI),SSDI*MAXSSDI*P383,IF(AT383&lt;&gt;0,SSDI*W383,0))</f>
        <v>1837.68</v>
      </c>
      <c r="BE383" s="462">
        <f>IF(AT383&lt;&gt;0,SSHI*W383,0)</f>
        <v>429.78000000000003</v>
      </c>
      <c r="BF383" s="462">
        <f>IF(AND(AT383&lt;&gt;0,AN383&lt;&gt;"NE"),VLOOKUP(AN383,Retirement_Rates,3,FALSE)*W383,0)</f>
        <v>3539.0160000000001</v>
      </c>
      <c r="BG383" s="462">
        <f>IF(AND(AT383&lt;&gt;0,AJ383&lt;&gt;"PF"),Life*W383,0)</f>
        <v>213.70440000000002</v>
      </c>
      <c r="BH383" s="462">
        <f>IF(AND(AT383&lt;&gt;0,AM383="Y"),UI*W383,0)</f>
        <v>145.23599999999999</v>
      </c>
      <c r="BI383" s="462">
        <f>IF(AND(AT383&lt;&gt;0,N383&lt;&gt;"NR"),DHR*W383,0)</f>
        <v>90.698399999999992</v>
      </c>
      <c r="BJ383" s="462">
        <f>IF(AT383&lt;&gt;0,WC*W383,0)</f>
        <v>797.31600000000003</v>
      </c>
      <c r="BK383" s="462">
        <f>IF(OR(AND(AT383&lt;&gt;0,AJ383&lt;&gt;"PF",AN383&lt;&gt;"NE",AG383&lt;&gt;"A"),AND(AL383="E",OR(AT383=1,AT383=3))),Sick*W383,0)</f>
        <v>0</v>
      </c>
      <c r="BL383" s="462">
        <f t="shared" si="90"/>
        <v>7053.4308000000001</v>
      </c>
      <c r="BM383" s="462">
        <f t="shared" si="91"/>
        <v>0</v>
      </c>
      <c r="BN383" s="462">
        <f>IF(AND(AT383=1,AK383="E",AU383&gt;=0.75,AW383=1),HealthBY,IF(AND(AT383=1,AK383="E",AU383&gt;=0.75),HealthBY*P383,IF(AND(AT383=1,AK383="E",AU383&gt;=0.5,AW383=1),PTHealthBY,IF(AND(AT383=1,AK383="E",AU383&gt;=0.5),PTHealthBY*P383,0))))</f>
        <v>5825</v>
      </c>
      <c r="BO383" s="462">
        <f>IF(AND(AT383=3,AK383="E",AV383&gt;=0.75,AW383=1),HealthBY,IF(AND(AT383=3,AK383="E",AV383&gt;=0.75),HealthBY*P383,IF(AND(AT383=3,AK383="E",AV383&gt;=0.5,AW383=1),PTHealthBY,IF(AND(AT383=3,AK383="E",AV383&gt;=0.5),PTHealthBY*P383,0))))</f>
        <v>0</v>
      </c>
      <c r="BP383" s="462">
        <f>IF(AND(AT383&lt;&gt;0,(AX383+BA383)&gt;=MAXSSDIBY),SSDIBY*MAXSSDIBY*P383,IF(AT383&lt;&gt;0,SSDIBY*W383,0))</f>
        <v>1837.68</v>
      </c>
      <c r="BQ383" s="462">
        <f>IF(AT383&lt;&gt;0,SSHIBY*W383,0)</f>
        <v>429.78000000000003</v>
      </c>
      <c r="BR383" s="462">
        <f>IF(AND(AT383&lt;&gt;0,AN383&lt;&gt;"NE"),VLOOKUP(AN383,Retirement_Rates,4,FALSE)*W383,0)</f>
        <v>3539.0160000000001</v>
      </c>
      <c r="BS383" s="462">
        <f>IF(AND(AT383&lt;&gt;0,AJ383&lt;&gt;"PF"),LifeBY*W383,0)</f>
        <v>213.70440000000002</v>
      </c>
      <c r="BT383" s="462">
        <f>IF(AND(AT383&lt;&gt;0,AM383="Y"),UIBY*W383,0)</f>
        <v>0</v>
      </c>
      <c r="BU383" s="462">
        <f>IF(AND(AT383&lt;&gt;0,N383&lt;&gt;"NR"),DHRBY*W383,0)</f>
        <v>90.698399999999992</v>
      </c>
      <c r="BV383" s="462">
        <f>IF(AT383&lt;&gt;0,WCBY*W383,0)</f>
        <v>1028.508</v>
      </c>
      <c r="BW383" s="462">
        <f>IF(OR(AND(AT383&lt;&gt;0,AJ383&lt;&gt;"PF",AN383&lt;&gt;"NE",AG383&lt;&gt;"A"),AND(AL383="E",OR(AT383=1,AT383=3))),SickBY*W383,0)</f>
        <v>0</v>
      </c>
      <c r="BX383" s="462">
        <f t="shared" si="92"/>
        <v>7139.3868000000002</v>
      </c>
      <c r="BY383" s="462">
        <f t="shared" si="93"/>
        <v>0</v>
      </c>
      <c r="BZ383" s="462">
        <f t="shared" si="94"/>
        <v>0</v>
      </c>
      <c r="CA383" s="462">
        <f t="shared" si="95"/>
        <v>0</v>
      </c>
      <c r="CB383" s="462">
        <f t="shared" si="96"/>
        <v>0</v>
      </c>
      <c r="CC383" s="462">
        <f>IF(AT383&lt;&gt;0,SSHICHG*Y383,0)</f>
        <v>0</v>
      </c>
      <c r="CD383" s="462">
        <f>IF(AND(AT383&lt;&gt;0,AN383&lt;&gt;"NE"),VLOOKUP(AN383,Retirement_Rates,5,FALSE)*Y383,0)</f>
        <v>0</v>
      </c>
      <c r="CE383" s="462">
        <f>IF(AND(AT383&lt;&gt;0,AJ383&lt;&gt;"PF"),LifeCHG*Y383,0)</f>
        <v>0</v>
      </c>
      <c r="CF383" s="462">
        <f>IF(AND(AT383&lt;&gt;0,AM383="Y"),UICHG*Y383,0)</f>
        <v>-145.23599999999999</v>
      </c>
      <c r="CG383" s="462">
        <f>IF(AND(AT383&lt;&gt;0,N383&lt;&gt;"NR"),DHRCHG*Y383,0)</f>
        <v>0</v>
      </c>
      <c r="CH383" s="462">
        <f>IF(AT383&lt;&gt;0,WCCHG*Y383,0)</f>
        <v>231.19200000000004</v>
      </c>
      <c r="CI383" s="462">
        <f>IF(OR(AND(AT383&lt;&gt;0,AJ383&lt;&gt;"PF",AN383&lt;&gt;"NE",AG383&lt;&gt;"A"),AND(AL383="E",OR(AT383=1,AT383=3))),SickCHG*Y383,0)</f>
        <v>0</v>
      </c>
      <c r="CJ383" s="462">
        <f t="shared" si="97"/>
        <v>85.956000000000046</v>
      </c>
      <c r="CK383" s="462" t="str">
        <f t="shared" si="98"/>
        <v/>
      </c>
      <c r="CL383" s="462" t="str">
        <f t="shared" si="99"/>
        <v/>
      </c>
      <c r="CM383" s="462" t="str">
        <f t="shared" si="100"/>
        <v/>
      </c>
      <c r="CN383" s="462" t="str">
        <f t="shared" si="101"/>
        <v>0410-01</v>
      </c>
    </row>
    <row r="384" spans="1:92" ht="15" thickBot="1" x14ac:dyDescent="0.35">
      <c r="A384" s="376" t="s">
        <v>161</v>
      </c>
      <c r="B384" s="376" t="s">
        <v>162</v>
      </c>
      <c r="C384" s="376" t="s">
        <v>1030</v>
      </c>
      <c r="D384" s="376" t="s">
        <v>221</v>
      </c>
      <c r="E384" s="376" t="s">
        <v>1014</v>
      </c>
      <c r="F384" s="382" t="s">
        <v>936</v>
      </c>
      <c r="G384" s="376" t="s">
        <v>1015</v>
      </c>
      <c r="H384" s="378"/>
      <c r="I384" s="378"/>
      <c r="J384" s="376" t="s">
        <v>168</v>
      </c>
      <c r="K384" s="376" t="s">
        <v>222</v>
      </c>
      <c r="L384" s="376" t="s">
        <v>166</v>
      </c>
      <c r="M384" s="376" t="s">
        <v>225</v>
      </c>
      <c r="N384" s="376" t="s">
        <v>223</v>
      </c>
      <c r="O384" s="379">
        <v>0</v>
      </c>
      <c r="P384" s="460">
        <v>1</v>
      </c>
      <c r="Q384" s="460">
        <v>0</v>
      </c>
      <c r="R384" s="380">
        <v>0</v>
      </c>
      <c r="S384" s="460">
        <v>0</v>
      </c>
      <c r="T384" s="380">
        <v>0</v>
      </c>
      <c r="U384" s="380">
        <v>0</v>
      </c>
      <c r="V384" s="380">
        <v>0</v>
      </c>
      <c r="W384" s="380">
        <v>0</v>
      </c>
      <c r="X384" s="380">
        <v>0</v>
      </c>
      <c r="Y384" s="380">
        <v>0</v>
      </c>
      <c r="Z384" s="380">
        <v>0</v>
      </c>
      <c r="AA384" s="378"/>
      <c r="AB384" s="376" t="s">
        <v>45</v>
      </c>
      <c r="AC384" s="376" t="s">
        <v>45</v>
      </c>
      <c r="AD384" s="378"/>
      <c r="AE384" s="378"/>
      <c r="AF384" s="378"/>
      <c r="AG384" s="378"/>
      <c r="AH384" s="379">
        <v>0</v>
      </c>
      <c r="AI384" s="379">
        <v>0</v>
      </c>
      <c r="AJ384" s="378"/>
      <c r="AK384" s="378"/>
      <c r="AL384" s="376" t="s">
        <v>181</v>
      </c>
      <c r="AM384" s="378"/>
      <c r="AN384" s="378"/>
      <c r="AO384" s="379">
        <v>0</v>
      </c>
      <c r="AP384" s="460">
        <v>0</v>
      </c>
      <c r="AQ384" s="460">
        <v>0</v>
      </c>
      <c r="AR384" s="459"/>
      <c r="AS384" s="462">
        <f t="shared" si="85"/>
        <v>0</v>
      </c>
      <c r="AT384">
        <f t="shared" si="86"/>
        <v>0</v>
      </c>
      <c r="AU384" s="462" t="str">
        <f>IF(AT384=0,"",IF(AND(AT384=1,M384="F",SUMIF(C2:C391,C384,AS2:AS391)&lt;=1),SUMIF(C2:C391,C384,AS2:AS391),IF(AND(AT384=1,M384="F",SUMIF(C2:C391,C384,AS2:AS391)&gt;1),1,"")))</f>
        <v/>
      </c>
      <c r="AV384" s="462" t="str">
        <f>IF(AT384=0,"",IF(AND(AT384=3,M384="F",SUMIF(C2:C391,C384,AS2:AS391)&lt;=1),SUMIF(C2:C391,C384,AS2:AS391),IF(AND(AT384=3,M384="F",SUMIF(C2:C391,C384,AS2:AS391)&gt;1),1,"")))</f>
        <v/>
      </c>
      <c r="AW384" s="462">
        <f>SUMIF(C2:C391,C384,O2:O391)</f>
        <v>0</v>
      </c>
      <c r="AX384" s="462">
        <f>IF(AND(M384="F",AS384&lt;&gt;0),SUMIF(C2:C391,C384,W2:W391),0)</f>
        <v>0</v>
      </c>
      <c r="AY384" s="462" t="str">
        <f t="shared" si="87"/>
        <v/>
      </c>
      <c r="AZ384" s="462" t="str">
        <f t="shared" si="88"/>
        <v/>
      </c>
      <c r="BA384" s="462">
        <f t="shared" si="89"/>
        <v>0</v>
      </c>
      <c r="BB384" s="462">
        <f>IF(AND(AT384=1,AK384="E",AU384&gt;=0.75,AW384=1),Health,IF(AND(AT384=1,AK384="E",AU384&gt;=0.75),Health*P384,IF(AND(AT384=1,AK384="E",AU384&gt;=0.5,AW384=1),PTHealth,IF(AND(AT384=1,AK384="E",AU384&gt;=0.5),PTHealth*P384,0))))</f>
        <v>0</v>
      </c>
      <c r="BC384" s="462">
        <f>IF(AND(AT384=3,AK384="E",AV384&gt;=0.75,AW384=1),Health,IF(AND(AT384=3,AK384="E",AV384&gt;=0.75),Health*P384,IF(AND(AT384=3,AK384="E",AV384&gt;=0.5,AW384=1),PTHealth,IF(AND(AT384=3,AK384="E",AV384&gt;=0.5),PTHealth*P384,0))))</f>
        <v>0</v>
      </c>
      <c r="BD384" s="462">
        <f>IF(AND(AT384&lt;&gt;0,AX384&gt;=MAXSSDI),SSDI*MAXSSDI*P384,IF(AT384&lt;&gt;0,SSDI*W384,0))</f>
        <v>0</v>
      </c>
      <c r="BE384" s="462">
        <f>IF(AT384&lt;&gt;0,SSHI*W384,0)</f>
        <v>0</v>
      </c>
      <c r="BF384" s="462">
        <f>IF(AND(AT384&lt;&gt;0,AN384&lt;&gt;"NE"),VLOOKUP(AN384,Retirement_Rates,3,FALSE)*W384,0)</f>
        <v>0</v>
      </c>
      <c r="BG384" s="462">
        <f>IF(AND(AT384&lt;&gt;0,AJ384&lt;&gt;"PF"),Life*W384,0)</f>
        <v>0</v>
      </c>
      <c r="BH384" s="462">
        <f>IF(AND(AT384&lt;&gt;0,AM384="Y"),UI*W384,0)</f>
        <v>0</v>
      </c>
      <c r="BI384" s="462">
        <f>IF(AND(AT384&lt;&gt;0,N384&lt;&gt;"NR"),DHR*W384,0)</f>
        <v>0</v>
      </c>
      <c r="BJ384" s="462">
        <f>IF(AT384&lt;&gt;0,WC*W384,0)</f>
        <v>0</v>
      </c>
      <c r="BK384" s="462">
        <f>IF(OR(AND(AT384&lt;&gt;0,AJ384&lt;&gt;"PF",AN384&lt;&gt;"NE",AG384&lt;&gt;"A"),AND(AL384="E",OR(AT384=1,AT384=3))),Sick*W384,0)</f>
        <v>0</v>
      </c>
      <c r="BL384" s="462">
        <f t="shared" si="90"/>
        <v>0</v>
      </c>
      <c r="BM384" s="462">
        <f t="shared" si="91"/>
        <v>0</v>
      </c>
      <c r="BN384" s="462">
        <f>IF(AND(AT384=1,AK384="E",AU384&gt;=0.75,AW384=1),HealthBY,IF(AND(AT384=1,AK384="E",AU384&gt;=0.75),HealthBY*P384,IF(AND(AT384=1,AK384="E",AU384&gt;=0.5,AW384=1),PTHealthBY,IF(AND(AT384=1,AK384="E",AU384&gt;=0.5),PTHealthBY*P384,0))))</f>
        <v>0</v>
      </c>
      <c r="BO384" s="462">
        <f>IF(AND(AT384=3,AK384="E",AV384&gt;=0.75,AW384=1),HealthBY,IF(AND(AT384=3,AK384="E",AV384&gt;=0.75),HealthBY*P384,IF(AND(AT384=3,AK384="E",AV384&gt;=0.5,AW384=1),PTHealthBY,IF(AND(AT384=3,AK384="E",AV384&gt;=0.5),PTHealthBY*P384,0))))</f>
        <v>0</v>
      </c>
      <c r="BP384" s="462">
        <f>IF(AND(AT384&lt;&gt;0,(AX384+BA384)&gt;=MAXSSDIBY),SSDIBY*MAXSSDIBY*P384,IF(AT384&lt;&gt;0,SSDIBY*W384,0))</f>
        <v>0</v>
      </c>
      <c r="BQ384" s="462">
        <f>IF(AT384&lt;&gt;0,SSHIBY*W384,0)</f>
        <v>0</v>
      </c>
      <c r="BR384" s="462">
        <f>IF(AND(AT384&lt;&gt;0,AN384&lt;&gt;"NE"),VLOOKUP(AN384,Retirement_Rates,4,FALSE)*W384,0)</f>
        <v>0</v>
      </c>
      <c r="BS384" s="462">
        <f>IF(AND(AT384&lt;&gt;0,AJ384&lt;&gt;"PF"),LifeBY*W384,0)</f>
        <v>0</v>
      </c>
      <c r="BT384" s="462">
        <f>IF(AND(AT384&lt;&gt;0,AM384="Y"),UIBY*W384,0)</f>
        <v>0</v>
      </c>
      <c r="BU384" s="462">
        <f>IF(AND(AT384&lt;&gt;0,N384&lt;&gt;"NR"),DHRBY*W384,0)</f>
        <v>0</v>
      </c>
      <c r="BV384" s="462">
        <f>IF(AT384&lt;&gt;0,WCBY*W384,0)</f>
        <v>0</v>
      </c>
      <c r="BW384" s="462">
        <f>IF(OR(AND(AT384&lt;&gt;0,AJ384&lt;&gt;"PF",AN384&lt;&gt;"NE",AG384&lt;&gt;"A"),AND(AL384="E",OR(AT384=1,AT384=3))),SickBY*W384,0)</f>
        <v>0</v>
      </c>
      <c r="BX384" s="462">
        <f t="shared" si="92"/>
        <v>0</v>
      </c>
      <c r="BY384" s="462">
        <f t="shared" si="93"/>
        <v>0</v>
      </c>
      <c r="BZ384" s="462">
        <f t="shared" si="94"/>
        <v>0</v>
      </c>
      <c r="CA384" s="462">
        <f t="shared" si="95"/>
        <v>0</v>
      </c>
      <c r="CB384" s="462">
        <f t="shared" si="96"/>
        <v>0</v>
      </c>
      <c r="CC384" s="462">
        <f>IF(AT384&lt;&gt;0,SSHICHG*Y384,0)</f>
        <v>0</v>
      </c>
      <c r="CD384" s="462">
        <f>IF(AND(AT384&lt;&gt;0,AN384&lt;&gt;"NE"),VLOOKUP(AN384,Retirement_Rates,5,FALSE)*Y384,0)</f>
        <v>0</v>
      </c>
      <c r="CE384" s="462">
        <f>IF(AND(AT384&lt;&gt;0,AJ384&lt;&gt;"PF"),LifeCHG*Y384,0)</f>
        <v>0</v>
      </c>
      <c r="CF384" s="462">
        <f>IF(AND(AT384&lt;&gt;0,AM384="Y"),UICHG*Y384,0)</f>
        <v>0</v>
      </c>
      <c r="CG384" s="462">
        <f>IF(AND(AT384&lt;&gt;0,N384&lt;&gt;"NR"),DHRCHG*Y384,0)</f>
        <v>0</v>
      </c>
      <c r="CH384" s="462">
        <f>IF(AT384&lt;&gt;0,WCCHG*Y384,0)</f>
        <v>0</v>
      </c>
      <c r="CI384" s="462">
        <f>IF(OR(AND(AT384&lt;&gt;0,AJ384&lt;&gt;"PF",AN384&lt;&gt;"NE",AG384&lt;&gt;"A"),AND(AL384="E",OR(AT384=1,AT384=3))),SickCHG*Y384,0)</f>
        <v>0</v>
      </c>
      <c r="CJ384" s="462">
        <f t="shared" si="97"/>
        <v>0</v>
      </c>
      <c r="CK384" s="462" t="str">
        <f t="shared" si="98"/>
        <v/>
      </c>
      <c r="CL384" s="462">
        <f t="shared" si="99"/>
        <v>0</v>
      </c>
      <c r="CM384" s="462">
        <f t="shared" si="100"/>
        <v>0</v>
      </c>
      <c r="CN384" s="462" t="str">
        <f t="shared" si="101"/>
        <v>0410-01</v>
      </c>
    </row>
    <row r="385" spans="1:92" ht="15" thickBot="1" x14ac:dyDescent="0.35">
      <c r="A385" s="376" t="s">
        <v>161</v>
      </c>
      <c r="B385" s="376" t="s">
        <v>162</v>
      </c>
      <c r="C385" s="376" t="s">
        <v>1031</v>
      </c>
      <c r="D385" s="376" t="s">
        <v>405</v>
      </c>
      <c r="E385" s="376" t="s">
        <v>1014</v>
      </c>
      <c r="F385" s="382" t="s">
        <v>936</v>
      </c>
      <c r="G385" s="376" t="s">
        <v>1015</v>
      </c>
      <c r="H385" s="378"/>
      <c r="I385" s="378"/>
      <c r="J385" s="376" t="s">
        <v>168</v>
      </c>
      <c r="K385" s="376" t="s">
        <v>406</v>
      </c>
      <c r="L385" s="376" t="s">
        <v>316</v>
      </c>
      <c r="M385" s="376" t="s">
        <v>171</v>
      </c>
      <c r="N385" s="376" t="s">
        <v>172</v>
      </c>
      <c r="O385" s="379">
        <v>1</v>
      </c>
      <c r="P385" s="460">
        <v>1</v>
      </c>
      <c r="Q385" s="460">
        <v>1</v>
      </c>
      <c r="R385" s="380">
        <v>53</v>
      </c>
      <c r="S385" s="460">
        <v>0.66</v>
      </c>
      <c r="T385" s="380">
        <v>21499.57</v>
      </c>
      <c r="U385" s="380">
        <v>0</v>
      </c>
      <c r="V385" s="380">
        <v>14839.46</v>
      </c>
      <c r="W385" s="380">
        <v>18547.88</v>
      </c>
      <c r="X385" s="380">
        <v>16063.8</v>
      </c>
      <c r="Y385" s="380">
        <v>18547.88</v>
      </c>
      <c r="Z385" s="380">
        <v>16117.6</v>
      </c>
      <c r="AA385" s="376" t="s">
        <v>1032</v>
      </c>
      <c r="AB385" s="376" t="s">
        <v>1033</v>
      </c>
      <c r="AC385" s="376" t="s">
        <v>1034</v>
      </c>
      <c r="AD385" s="376" t="s">
        <v>240</v>
      </c>
      <c r="AE385" s="376" t="s">
        <v>406</v>
      </c>
      <c r="AF385" s="376" t="s">
        <v>320</v>
      </c>
      <c r="AG385" s="376" t="s">
        <v>178</v>
      </c>
      <c r="AH385" s="381">
        <v>13.46</v>
      </c>
      <c r="AI385" s="381">
        <v>19777.3</v>
      </c>
      <c r="AJ385" s="376" t="s">
        <v>249</v>
      </c>
      <c r="AK385" s="376" t="s">
        <v>180</v>
      </c>
      <c r="AL385" s="376" t="s">
        <v>181</v>
      </c>
      <c r="AM385" s="376" t="s">
        <v>182</v>
      </c>
      <c r="AN385" s="376" t="s">
        <v>68</v>
      </c>
      <c r="AO385" s="379">
        <v>53</v>
      </c>
      <c r="AP385" s="460">
        <v>1</v>
      </c>
      <c r="AQ385" s="460">
        <v>0.66</v>
      </c>
      <c r="AR385" s="458" t="s">
        <v>183</v>
      </c>
      <c r="AS385" s="462">
        <f t="shared" si="85"/>
        <v>0.66249999999999998</v>
      </c>
      <c r="AT385">
        <f t="shared" si="86"/>
        <v>1</v>
      </c>
      <c r="AU385" s="462">
        <f>IF(AT385=0,"",IF(AND(AT385=1,M385="F",SUMIF(C2:C391,C385,AS2:AS391)&lt;=1),SUMIF(C2:C391,C385,AS2:AS391),IF(AND(AT385=1,M385="F",SUMIF(C2:C391,C385,AS2:AS391)&gt;1),1,"")))</f>
        <v>0.66249999999999998</v>
      </c>
      <c r="AV385" s="462" t="str">
        <f>IF(AT385=0,"",IF(AND(AT385=3,M385="F",SUMIF(C2:C391,C385,AS2:AS391)&lt;=1),SUMIF(C2:C391,C385,AS2:AS391),IF(AND(AT385=3,M385="F",SUMIF(C2:C391,C385,AS2:AS391)&gt;1),1,"")))</f>
        <v/>
      </c>
      <c r="AW385" s="462">
        <f>SUMIF(C2:C391,C385,O2:O391)</f>
        <v>1</v>
      </c>
      <c r="AX385" s="462">
        <f>IF(AND(M385="F",AS385&lt;&gt;0),SUMIF(C2:C391,C385,W2:W391),0)</f>
        <v>18547.88</v>
      </c>
      <c r="AY385" s="462">
        <f t="shared" si="87"/>
        <v>18547.88</v>
      </c>
      <c r="AZ385" s="462" t="str">
        <f t="shared" si="88"/>
        <v/>
      </c>
      <c r="BA385" s="462">
        <f t="shared" si="89"/>
        <v>0</v>
      </c>
      <c r="BB385" s="462">
        <f>IF(AND(AT385=1,AK385="E",AU385&gt;=0.75,AW385=1),Health,IF(AND(AT385=1,AK385="E",AU385&gt;=0.75),Health*P385,IF(AND(AT385=1,AK385="E",AU385&gt;=0.5,AW385=1),PTHealth,IF(AND(AT385=1,AK385="E",AU385&gt;=0.5),PTHealth*P385,0))))</f>
        <v>9320</v>
      </c>
      <c r="BC385" s="462">
        <f>IF(AND(AT385=3,AK385="E",AV385&gt;=0.75,AW385=1),Health,IF(AND(AT385=3,AK385="E",AV385&gt;=0.75),Health*P385,IF(AND(AT385=3,AK385="E",AV385&gt;=0.5,AW385=1),PTHealth,IF(AND(AT385=3,AK385="E",AV385&gt;=0.5),PTHealth*P385,0))))</f>
        <v>0</v>
      </c>
      <c r="BD385" s="462">
        <f>IF(AND(AT385&lt;&gt;0,AX385&gt;=MAXSSDI),SSDI*MAXSSDI*P385,IF(AT385&lt;&gt;0,SSDI*W385,0))</f>
        <v>1149.96856</v>
      </c>
      <c r="BE385" s="462">
        <f>IF(AT385&lt;&gt;0,SSHI*W385,0)</f>
        <v>268.94426000000004</v>
      </c>
      <c r="BF385" s="462">
        <f>IF(AND(AT385&lt;&gt;0,AN385&lt;&gt;"NE"),VLOOKUP(AN385,Retirement_Rates,3,FALSE)*W385,0)</f>
        <v>2214.6168720000001</v>
      </c>
      <c r="BG385" s="462">
        <f>IF(AND(AT385&lt;&gt;0,AJ385&lt;&gt;"PF"),Life*W385,0)</f>
        <v>133.7302148</v>
      </c>
      <c r="BH385" s="462">
        <f>IF(AND(AT385&lt;&gt;0,AM385="Y"),UI*W385,0)</f>
        <v>90.884612000000004</v>
      </c>
      <c r="BI385" s="462">
        <f>IF(AND(AT385&lt;&gt;0,N385&lt;&gt;"NR"),DHR*W385,0)</f>
        <v>56.756512799999996</v>
      </c>
      <c r="BJ385" s="462">
        <f>IF(AT385&lt;&gt;0,WC*W385,0)</f>
        <v>498.93797200000006</v>
      </c>
      <c r="BK385" s="462">
        <f>IF(OR(AND(AT385&lt;&gt;0,AJ385&lt;&gt;"PF",AN385&lt;&gt;"NE",AG385&lt;&gt;"A"),AND(AL385="E",OR(AT385=1,AT385=3))),Sick*W385,0)</f>
        <v>0</v>
      </c>
      <c r="BL385" s="462">
        <f t="shared" si="90"/>
        <v>4413.8390036000001</v>
      </c>
      <c r="BM385" s="462">
        <f t="shared" si="91"/>
        <v>0</v>
      </c>
      <c r="BN385" s="462">
        <f>IF(AND(AT385=1,AK385="E",AU385&gt;=0.75,AW385=1),HealthBY,IF(AND(AT385=1,AK385="E",AU385&gt;=0.75),HealthBY*P385,IF(AND(AT385=1,AK385="E",AU385&gt;=0.5,AW385=1),PTHealthBY,IF(AND(AT385=1,AK385="E",AU385&gt;=0.5),PTHealthBY*P385,0))))</f>
        <v>9320</v>
      </c>
      <c r="BO385" s="462">
        <f>IF(AND(AT385=3,AK385="E",AV385&gt;=0.75,AW385=1),HealthBY,IF(AND(AT385=3,AK385="E",AV385&gt;=0.75),HealthBY*P385,IF(AND(AT385=3,AK385="E",AV385&gt;=0.5,AW385=1),PTHealthBY,IF(AND(AT385=3,AK385="E",AV385&gt;=0.5),PTHealthBY*P385,0))))</f>
        <v>0</v>
      </c>
      <c r="BP385" s="462">
        <f>IF(AND(AT385&lt;&gt;0,(AX385+BA385)&gt;=MAXSSDIBY),SSDIBY*MAXSSDIBY*P385,IF(AT385&lt;&gt;0,SSDIBY*W385,0))</f>
        <v>1149.96856</v>
      </c>
      <c r="BQ385" s="462">
        <f>IF(AT385&lt;&gt;0,SSHIBY*W385,0)</f>
        <v>268.94426000000004</v>
      </c>
      <c r="BR385" s="462">
        <f>IF(AND(AT385&lt;&gt;0,AN385&lt;&gt;"NE"),VLOOKUP(AN385,Retirement_Rates,4,FALSE)*W385,0)</f>
        <v>2214.6168720000001</v>
      </c>
      <c r="BS385" s="462">
        <f>IF(AND(AT385&lt;&gt;0,AJ385&lt;&gt;"PF"),LifeBY*W385,0)</f>
        <v>133.7302148</v>
      </c>
      <c r="BT385" s="462">
        <f>IF(AND(AT385&lt;&gt;0,AM385="Y"),UIBY*W385,0)</f>
        <v>0</v>
      </c>
      <c r="BU385" s="462">
        <f>IF(AND(AT385&lt;&gt;0,N385&lt;&gt;"NR"),DHRBY*W385,0)</f>
        <v>56.756512799999996</v>
      </c>
      <c r="BV385" s="462">
        <f>IF(AT385&lt;&gt;0,WCBY*W385,0)</f>
        <v>643.61143600000003</v>
      </c>
      <c r="BW385" s="462">
        <f>IF(OR(AND(AT385&lt;&gt;0,AJ385&lt;&gt;"PF",AN385&lt;&gt;"NE",AG385&lt;&gt;"A"),AND(AL385="E",OR(AT385=1,AT385=3))),SickBY*W385,0)</f>
        <v>0</v>
      </c>
      <c r="BX385" s="462">
        <f t="shared" si="92"/>
        <v>4467.6278555999997</v>
      </c>
      <c r="BY385" s="462">
        <f t="shared" si="93"/>
        <v>0</v>
      </c>
      <c r="BZ385" s="462">
        <f t="shared" si="94"/>
        <v>0</v>
      </c>
      <c r="CA385" s="462">
        <f t="shared" si="95"/>
        <v>0</v>
      </c>
      <c r="CB385" s="462">
        <f t="shared" si="96"/>
        <v>0</v>
      </c>
      <c r="CC385" s="462">
        <f>IF(AT385&lt;&gt;0,SSHICHG*Y385,0)</f>
        <v>0</v>
      </c>
      <c r="CD385" s="462">
        <f>IF(AND(AT385&lt;&gt;0,AN385&lt;&gt;"NE"),VLOOKUP(AN385,Retirement_Rates,5,FALSE)*Y385,0)</f>
        <v>0</v>
      </c>
      <c r="CE385" s="462">
        <f>IF(AND(AT385&lt;&gt;0,AJ385&lt;&gt;"PF"),LifeCHG*Y385,0)</f>
        <v>0</v>
      </c>
      <c r="CF385" s="462">
        <f>IF(AND(AT385&lt;&gt;0,AM385="Y"),UICHG*Y385,0)</f>
        <v>-90.884612000000004</v>
      </c>
      <c r="CG385" s="462">
        <f>IF(AND(AT385&lt;&gt;0,N385&lt;&gt;"NR"),DHRCHG*Y385,0)</f>
        <v>0</v>
      </c>
      <c r="CH385" s="462">
        <f>IF(AT385&lt;&gt;0,WCCHG*Y385,0)</f>
        <v>144.67346400000002</v>
      </c>
      <c r="CI385" s="462">
        <f>IF(OR(AND(AT385&lt;&gt;0,AJ385&lt;&gt;"PF",AN385&lt;&gt;"NE",AG385&lt;&gt;"A"),AND(AL385="E",OR(AT385=1,AT385=3))),SickCHG*Y385,0)</f>
        <v>0</v>
      </c>
      <c r="CJ385" s="462">
        <f t="shared" si="97"/>
        <v>53.78885200000002</v>
      </c>
      <c r="CK385" s="462" t="str">
        <f t="shared" si="98"/>
        <v/>
      </c>
      <c r="CL385" s="462" t="str">
        <f t="shared" si="99"/>
        <v/>
      </c>
      <c r="CM385" s="462" t="str">
        <f t="shared" si="100"/>
        <v/>
      </c>
      <c r="CN385" s="462" t="str">
        <f t="shared" si="101"/>
        <v>0410-01</v>
      </c>
    </row>
    <row r="386" spans="1:92" ht="15" thickBot="1" x14ac:dyDescent="0.35">
      <c r="A386" s="376" t="s">
        <v>161</v>
      </c>
      <c r="B386" s="376" t="s">
        <v>162</v>
      </c>
      <c r="C386" s="376" t="s">
        <v>1035</v>
      </c>
      <c r="D386" s="376" t="s">
        <v>221</v>
      </c>
      <c r="E386" s="376" t="s">
        <v>1014</v>
      </c>
      <c r="F386" s="382" t="s">
        <v>936</v>
      </c>
      <c r="G386" s="376" t="s">
        <v>1015</v>
      </c>
      <c r="H386" s="378"/>
      <c r="I386" s="378"/>
      <c r="J386" s="376" t="s">
        <v>168</v>
      </c>
      <c r="K386" s="376" t="s">
        <v>222</v>
      </c>
      <c r="L386" s="376" t="s">
        <v>166</v>
      </c>
      <c r="M386" s="376" t="s">
        <v>225</v>
      </c>
      <c r="N386" s="376" t="s">
        <v>223</v>
      </c>
      <c r="O386" s="379">
        <v>0</v>
      </c>
      <c r="P386" s="460">
        <v>1</v>
      </c>
      <c r="Q386" s="460">
        <v>0</v>
      </c>
      <c r="R386" s="380">
        <v>0</v>
      </c>
      <c r="S386" s="460">
        <v>0</v>
      </c>
      <c r="T386" s="380">
        <v>0</v>
      </c>
      <c r="U386" s="380">
        <v>0</v>
      </c>
      <c r="V386" s="380">
        <v>0</v>
      </c>
      <c r="W386" s="380">
        <v>0</v>
      </c>
      <c r="X386" s="380">
        <v>0</v>
      </c>
      <c r="Y386" s="380">
        <v>0</v>
      </c>
      <c r="Z386" s="380">
        <v>0</v>
      </c>
      <c r="AA386" s="378"/>
      <c r="AB386" s="376" t="s">
        <v>45</v>
      </c>
      <c r="AC386" s="376" t="s">
        <v>45</v>
      </c>
      <c r="AD386" s="378"/>
      <c r="AE386" s="378"/>
      <c r="AF386" s="378"/>
      <c r="AG386" s="378"/>
      <c r="AH386" s="379">
        <v>0</v>
      </c>
      <c r="AI386" s="379">
        <v>0</v>
      </c>
      <c r="AJ386" s="378"/>
      <c r="AK386" s="378"/>
      <c r="AL386" s="376" t="s">
        <v>181</v>
      </c>
      <c r="AM386" s="378"/>
      <c r="AN386" s="378"/>
      <c r="AO386" s="379">
        <v>0</v>
      </c>
      <c r="AP386" s="460">
        <v>0</v>
      </c>
      <c r="AQ386" s="460">
        <v>0</v>
      </c>
      <c r="AR386" s="459"/>
      <c r="AS386" s="462">
        <f t="shared" si="85"/>
        <v>0</v>
      </c>
      <c r="AT386">
        <f t="shared" si="86"/>
        <v>0</v>
      </c>
      <c r="AU386" s="462" t="str">
        <f>IF(AT386=0,"",IF(AND(AT386=1,M386="F",SUMIF(C2:C391,C386,AS2:AS391)&lt;=1),SUMIF(C2:C391,C386,AS2:AS391),IF(AND(AT386=1,M386="F",SUMIF(C2:C391,C386,AS2:AS391)&gt;1),1,"")))</f>
        <v/>
      </c>
      <c r="AV386" s="462" t="str">
        <f>IF(AT386=0,"",IF(AND(AT386=3,M386="F",SUMIF(C2:C391,C386,AS2:AS391)&lt;=1),SUMIF(C2:C391,C386,AS2:AS391),IF(AND(AT386=3,M386="F",SUMIF(C2:C391,C386,AS2:AS391)&gt;1),1,"")))</f>
        <v/>
      </c>
      <c r="AW386" s="462">
        <f>SUMIF(C2:C391,C386,O2:O391)</f>
        <v>0</v>
      </c>
      <c r="AX386" s="462">
        <f>IF(AND(M386="F",AS386&lt;&gt;0),SUMIF(C2:C391,C386,W2:W391),0)</f>
        <v>0</v>
      </c>
      <c r="AY386" s="462" t="str">
        <f t="shared" si="87"/>
        <v/>
      </c>
      <c r="AZ386" s="462" t="str">
        <f t="shared" si="88"/>
        <v/>
      </c>
      <c r="BA386" s="462">
        <f t="shared" si="89"/>
        <v>0</v>
      </c>
      <c r="BB386" s="462">
        <f>IF(AND(AT386=1,AK386="E",AU386&gt;=0.75,AW386=1),Health,IF(AND(AT386=1,AK386="E",AU386&gt;=0.75),Health*P386,IF(AND(AT386=1,AK386="E",AU386&gt;=0.5,AW386=1),PTHealth,IF(AND(AT386=1,AK386="E",AU386&gt;=0.5),PTHealth*P386,0))))</f>
        <v>0</v>
      </c>
      <c r="BC386" s="462">
        <f>IF(AND(AT386=3,AK386="E",AV386&gt;=0.75,AW386=1),Health,IF(AND(AT386=3,AK386="E",AV386&gt;=0.75),Health*P386,IF(AND(AT386=3,AK386="E",AV386&gt;=0.5,AW386=1),PTHealth,IF(AND(AT386=3,AK386="E",AV386&gt;=0.5),PTHealth*P386,0))))</f>
        <v>0</v>
      </c>
      <c r="BD386" s="462">
        <f>IF(AND(AT386&lt;&gt;0,AX386&gt;=MAXSSDI),SSDI*MAXSSDI*P386,IF(AT386&lt;&gt;0,SSDI*W386,0))</f>
        <v>0</v>
      </c>
      <c r="BE386" s="462">
        <f>IF(AT386&lt;&gt;0,SSHI*W386,0)</f>
        <v>0</v>
      </c>
      <c r="BF386" s="462">
        <f>IF(AND(AT386&lt;&gt;0,AN386&lt;&gt;"NE"),VLOOKUP(AN386,Retirement_Rates,3,FALSE)*W386,0)</f>
        <v>0</v>
      </c>
      <c r="BG386" s="462">
        <f>IF(AND(AT386&lt;&gt;0,AJ386&lt;&gt;"PF"),Life*W386,0)</f>
        <v>0</v>
      </c>
      <c r="BH386" s="462">
        <f>IF(AND(AT386&lt;&gt;0,AM386="Y"),UI*W386,0)</f>
        <v>0</v>
      </c>
      <c r="BI386" s="462">
        <f>IF(AND(AT386&lt;&gt;0,N386&lt;&gt;"NR"),DHR*W386,0)</f>
        <v>0</v>
      </c>
      <c r="BJ386" s="462">
        <f>IF(AT386&lt;&gt;0,WC*W386,0)</f>
        <v>0</v>
      </c>
      <c r="BK386" s="462">
        <f>IF(OR(AND(AT386&lt;&gt;0,AJ386&lt;&gt;"PF",AN386&lt;&gt;"NE",AG386&lt;&gt;"A"),AND(AL386="E",OR(AT386=1,AT386=3))),Sick*W386,0)</f>
        <v>0</v>
      </c>
      <c r="BL386" s="462">
        <f t="shared" si="90"/>
        <v>0</v>
      </c>
      <c r="BM386" s="462">
        <f t="shared" si="91"/>
        <v>0</v>
      </c>
      <c r="BN386" s="462">
        <f>IF(AND(AT386=1,AK386="E",AU386&gt;=0.75,AW386=1),HealthBY,IF(AND(AT386=1,AK386="E",AU386&gt;=0.75),HealthBY*P386,IF(AND(AT386=1,AK386="E",AU386&gt;=0.5,AW386=1),PTHealthBY,IF(AND(AT386=1,AK386="E",AU386&gt;=0.5),PTHealthBY*P386,0))))</f>
        <v>0</v>
      </c>
      <c r="BO386" s="462">
        <f>IF(AND(AT386=3,AK386="E",AV386&gt;=0.75,AW386=1),HealthBY,IF(AND(AT386=3,AK386="E",AV386&gt;=0.75),HealthBY*P386,IF(AND(AT386=3,AK386="E",AV386&gt;=0.5,AW386=1),PTHealthBY,IF(AND(AT386=3,AK386="E",AV386&gt;=0.5),PTHealthBY*P386,0))))</f>
        <v>0</v>
      </c>
      <c r="BP386" s="462">
        <f>IF(AND(AT386&lt;&gt;0,(AX386+BA386)&gt;=MAXSSDIBY),SSDIBY*MAXSSDIBY*P386,IF(AT386&lt;&gt;0,SSDIBY*W386,0))</f>
        <v>0</v>
      </c>
      <c r="BQ386" s="462">
        <f>IF(AT386&lt;&gt;0,SSHIBY*W386,0)</f>
        <v>0</v>
      </c>
      <c r="BR386" s="462">
        <f>IF(AND(AT386&lt;&gt;0,AN386&lt;&gt;"NE"),VLOOKUP(AN386,Retirement_Rates,4,FALSE)*W386,0)</f>
        <v>0</v>
      </c>
      <c r="BS386" s="462">
        <f>IF(AND(AT386&lt;&gt;0,AJ386&lt;&gt;"PF"),LifeBY*W386,0)</f>
        <v>0</v>
      </c>
      <c r="BT386" s="462">
        <f>IF(AND(AT386&lt;&gt;0,AM386="Y"),UIBY*W386,0)</f>
        <v>0</v>
      </c>
      <c r="BU386" s="462">
        <f>IF(AND(AT386&lt;&gt;0,N386&lt;&gt;"NR"),DHRBY*W386,0)</f>
        <v>0</v>
      </c>
      <c r="BV386" s="462">
        <f>IF(AT386&lt;&gt;0,WCBY*W386,0)</f>
        <v>0</v>
      </c>
      <c r="BW386" s="462">
        <f>IF(OR(AND(AT386&lt;&gt;0,AJ386&lt;&gt;"PF",AN386&lt;&gt;"NE",AG386&lt;&gt;"A"),AND(AL386="E",OR(AT386=1,AT386=3))),SickBY*W386,0)</f>
        <v>0</v>
      </c>
      <c r="BX386" s="462">
        <f t="shared" si="92"/>
        <v>0</v>
      </c>
      <c r="BY386" s="462">
        <f t="shared" si="93"/>
        <v>0</v>
      </c>
      <c r="BZ386" s="462">
        <f t="shared" si="94"/>
        <v>0</v>
      </c>
      <c r="CA386" s="462">
        <f t="shared" si="95"/>
        <v>0</v>
      </c>
      <c r="CB386" s="462">
        <f t="shared" si="96"/>
        <v>0</v>
      </c>
      <c r="CC386" s="462">
        <f>IF(AT386&lt;&gt;0,SSHICHG*Y386,0)</f>
        <v>0</v>
      </c>
      <c r="CD386" s="462">
        <f>IF(AND(AT386&lt;&gt;0,AN386&lt;&gt;"NE"),VLOOKUP(AN386,Retirement_Rates,5,FALSE)*Y386,0)</f>
        <v>0</v>
      </c>
      <c r="CE386" s="462">
        <f>IF(AND(AT386&lt;&gt;0,AJ386&lt;&gt;"PF"),LifeCHG*Y386,0)</f>
        <v>0</v>
      </c>
      <c r="CF386" s="462">
        <f>IF(AND(AT386&lt;&gt;0,AM386="Y"),UICHG*Y386,0)</f>
        <v>0</v>
      </c>
      <c r="CG386" s="462">
        <f>IF(AND(AT386&lt;&gt;0,N386&lt;&gt;"NR"),DHRCHG*Y386,0)</f>
        <v>0</v>
      </c>
      <c r="CH386" s="462">
        <f>IF(AT386&lt;&gt;0,WCCHG*Y386,0)</f>
        <v>0</v>
      </c>
      <c r="CI386" s="462">
        <f>IF(OR(AND(AT386&lt;&gt;0,AJ386&lt;&gt;"PF",AN386&lt;&gt;"NE",AG386&lt;&gt;"A"),AND(AL386="E",OR(AT386=1,AT386=3))),SickCHG*Y386,0)</f>
        <v>0</v>
      </c>
      <c r="CJ386" s="462">
        <f t="shared" si="97"/>
        <v>0</v>
      </c>
      <c r="CK386" s="462" t="str">
        <f t="shared" si="98"/>
        <v/>
      </c>
      <c r="CL386" s="462">
        <f t="shared" si="99"/>
        <v>0</v>
      </c>
      <c r="CM386" s="462">
        <f t="shared" si="100"/>
        <v>0</v>
      </c>
      <c r="CN386" s="462" t="str">
        <f t="shared" si="101"/>
        <v>0410-01</v>
      </c>
    </row>
    <row r="387" spans="1:92" ht="15" thickBot="1" x14ac:dyDescent="0.35">
      <c r="A387" s="376" t="s">
        <v>161</v>
      </c>
      <c r="B387" s="376" t="s">
        <v>162</v>
      </c>
      <c r="C387" s="376" t="s">
        <v>1036</v>
      </c>
      <c r="D387" s="376" t="s">
        <v>221</v>
      </c>
      <c r="E387" s="376" t="s">
        <v>1014</v>
      </c>
      <c r="F387" s="382" t="s">
        <v>936</v>
      </c>
      <c r="G387" s="376" t="s">
        <v>1015</v>
      </c>
      <c r="H387" s="378"/>
      <c r="I387" s="378"/>
      <c r="J387" s="376" t="s">
        <v>168</v>
      </c>
      <c r="K387" s="376" t="s">
        <v>222</v>
      </c>
      <c r="L387" s="376" t="s">
        <v>166</v>
      </c>
      <c r="M387" s="376" t="s">
        <v>225</v>
      </c>
      <c r="N387" s="376" t="s">
        <v>223</v>
      </c>
      <c r="O387" s="379">
        <v>0</v>
      </c>
      <c r="P387" s="460">
        <v>1</v>
      </c>
      <c r="Q387" s="460">
        <v>0</v>
      </c>
      <c r="R387" s="380">
        <v>0</v>
      </c>
      <c r="S387" s="460">
        <v>0</v>
      </c>
      <c r="T387" s="380">
        <v>0</v>
      </c>
      <c r="U387" s="380">
        <v>0</v>
      </c>
      <c r="V387" s="380">
        <v>0</v>
      </c>
      <c r="W387" s="380">
        <v>0</v>
      </c>
      <c r="X387" s="380">
        <v>0</v>
      </c>
      <c r="Y387" s="380">
        <v>0</v>
      </c>
      <c r="Z387" s="380">
        <v>0</v>
      </c>
      <c r="AA387" s="378"/>
      <c r="AB387" s="376" t="s">
        <v>45</v>
      </c>
      <c r="AC387" s="376" t="s">
        <v>45</v>
      </c>
      <c r="AD387" s="378"/>
      <c r="AE387" s="378"/>
      <c r="AF387" s="378"/>
      <c r="AG387" s="378"/>
      <c r="AH387" s="379">
        <v>0</v>
      </c>
      <c r="AI387" s="379">
        <v>0</v>
      </c>
      <c r="AJ387" s="378"/>
      <c r="AK387" s="378"/>
      <c r="AL387" s="376" t="s">
        <v>181</v>
      </c>
      <c r="AM387" s="378"/>
      <c r="AN387" s="378"/>
      <c r="AO387" s="379">
        <v>0</v>
      </c>
      <c r="AP387" s="460">
        <v>0</v>
      </c>
      <c r="AQ387" s="460">
        <v>0</v>
      </c>
      <c r="AR387" s="459"/>
      <c r="AS387" s="462">
        <f t="shared" ref="AS387:AS391" si="102">IF(((AO387/80)*AP387*P387)&gt;1,AQ387,((AO387/80)*AP387*P387))</f>
        <v>0</v>
      </c>
      <c r="AT387">
        <f t="shared" ref="AT387:AT391" si="103">IF(AND(M387="F",N387&lt;&gt;"NG",AS387&lt;&gt;0,AND(AR387&lt;&gt;6,AR387&lt;&gt;36,AR387&lt;&gt;56),AG387&lt;&gt;"A",OR(AG387="H",AJ387="FS")),1,IF(AND(M387="F",N387&lt;&gt;"NG",AS387&lt;&gt;0,AG387="A"),3,0))</f>
        <v>0</v>
      </c>
      <c r="AU387" s="462" t="str">
        <f>IF(AT387=0,"",IF(AND(AT387=1,M387="F",SUMIF(C2:C391,C387,AS2:AS391)&lt;=1),SUMIF(C2:C391,C387,AS2:AS391),IF(AND(AT387=1,M387="F",SUMIF(C2:C391,C387,AS2:AS391)&gt;1),1,"")))</f>
        <v/>
      </c>
      <c r="AV387" s="462" t="str">
        <f>IF(AT387=0,"",IF(AND(AT387=3,M387="F",SUMIF(C2:C391,C387,AS2:AS391)&lt;=1),SUMIF(C2:C391,C387,AS2:AS391),IF(AND(AT387=3,M387="F",SUMIF(C2:C391,C387,AS2:AS391)&gt;1),1,"")))</f>
        <v/>
      </c>
      <c r="AW387" s="462">
        <f>SUMIF(C2:C391,C387,O2:O391)</f>
        <v>0</v>
      </c>
      <c r="AX387" s="462">
        <f>IF(AND(M387="F",AS387&lt;&gt;0),SUMIF(C2:C391,C387,W2:W391),0)</f>
        <v>0</v>
      </c>
      <c r="AY387" s="462" t="str">
        <f t="shared" ref="AY387:AY391" si="104">IF(AT387=1,W387,"")</f>
        <v/>
      </c>
      <c r="AZ387" s="462" t="str">
        <f t="shared" ref="AZ387:AZ391" si="105">IF(AT387=3,W387,"")</f>
        <v/>
      </c>
      <c r="BA387" s="462">
        <f t="shared" ref="BA387:BA391" si="106">IF(AT387=1,Y387-W387,0)</f>
        <v>0</v>
      </c>
      <c r="BB387" s="462">
        <f>IF(AND(AT387=1,AK387="E",AU387&gt;=0.75,AW387=1),Health,IF(AND(AT387=1,AK387="E",AU387&gt;=0.75),Health*P387,IF(AND(AT387=1,AK387="E",AU387&gt;=0.5,AW387=1),PTHealth,IF(AND(AT387=1,AK387="E",AU387&gt;=0.5),PTHealth*P387,0))))</f>
        <v>0</v>
      </c>
      <c r="BC387" s="462">
        <f>IF(AND(AT387=3,AK387="E",AV387&gt;=0.75,AW387=1),Health,IF(AND(AT387=3,AK387="E",AV387&gt;=0.75),Health*P387,IF(AND(AT387=3,AK387="E",AV387&gt;=0.5,AW387=1),PTHealth,IF(AND(AT387=3,AK387="E",AV387&gt;=0.5),PTHealth*P387,0))))</f>
        <v>0</v>
      </c>
      <c r="BD387" s="462">
        <f>IF(AND(AT387&lt;&gt;0,AX387&gt;=MAXSSDI),SSDI*MAXSSDI*P387,IF(AT387&lt;&gt;0,SSDI*W387,0))</f>
        <v>0</v>
      </c>
      <c r="BE387" s="462">
        <f>IF(AT387&lt;&gt;0,SSHI*W387,0)</f>
        <v>0</v>
      </c>
      <c r="BF387" s="462">
        <f>IF(AND(AT387&lt;&gt;0,AN387&lt;&gt;"NE"),VLOOKUP(AN387,Retirement_Rates,3,FALSE)*W387,0)</f>
        <v>0</v>
      </c>
      <c r="BG387" s="462">
        <f>IF(AND(AT387&lt;&gt;0,AJ387&lt;&gt;"PF"),Life*W387,0)</f>
        <v>0</v>
      </c>
      <c r="BH387" s="462">
        <f>IF(AND(AT387&lt;&gt;0,AM387="Y"),UI*W387,0)</f>
        <v>0</v>
      </c>
      <c r="BI387" s="462">
        <f>IF(AND(AT387&lt;&gt;0,N387&lt;&gt;"NR"),DHR*W387,0)</f>
        <v>0</v>
      </c>
      <c r="BJ387" s="462">
        <f>IF(AT387&lt;&gt;0,WC*W387,0)</f>
        <v>0</v>
      </c>
      <c r="BK387" s="462">
        <f>IF(OR(AND(AT387&lt;&gt;0,AJ387&lt;&gt;"PF",AN387&lt;&gt;"NE",AG387&lt;&gt;"A"),AND(AL387="E",OR(AT387=1,AT387=3))),Sick*W387,0)</f>
        <v>0</v>
      </c>
      <c r="BL387" s="462">
        <f t="shared" ref="BL387:BL391" si="107">IF(AT387=1,SUM(BD387:BK387),0)</f>
        <v>0</v>
      </c>
      <c r="BM387" s="462">
        <f t="shared" ref="BM387:BM391" si="108">IF(AT387=3,SUM(BD387:BK387),0)</f>
        <v>0</v>
      </c>
      <c r="BN387" s="462">
        <f>IF(AND(AT387=1,AK387="E",AU387&gt;=0.75,AW387=1),HealthBY,IF(AND(AT387=1,AK387="E",AU387&gt;=0.75),HealthBY*P387,IF(AND(AT387=1,AK387="E",AU387&gt;=0.5,AW387=1),PTHealthBY,IF(AND(AT387=1,AK387="E",AU387&gt;=0.5),PTHealthBY*P387,0))))</f>
        <v>0</v>
      </c>
      <c r="BO387" s="462">
        <f>IF(AND(AT387=3,AK387="E",AV387&gt;=0.75,AW387=1),HealthBY,IF(AND(AT387=3,AK387="E",AV387&gt;=0.75),HealthBY*P387,IF(AND(AT387=3,AK387="E",AV387&gt;=0.5,AW387=1),PTHealthBY,IF(AND(AT387=3,AK387="E",AV387&gt;=0.5),PTHealthBY*P387,0))))</f>
        <v>0</v>
      </c>
      <c r="BP387" s="462">
        <f>IF(AND(AT387&lt;&gt;0,(AX387+BA387)&gt;=MAXSSDIBY),SSDIBY*MAXSSDIBY*P387,IF(AT387&lt;&gt;0,SSDIBY*W387,0))</f>
        <v>0</v>
      </c>
      <c r="BQ387" s="462">
        <f>IF(AT387&lt;&gt;0,SSHIBY*W387,0)</f>
        <v>0</v>
      </c>
      <c r="BR387" s="462">
        <f>IF(AND(AT387&lt;&gt;0,AN387&lt;&gt;"NE"),VLOOKUP(AN387,Retirement_Rates,4,FALSE)*W387,0)</f>
        <v>0</v>
      </c>
      <c r="BS387" s="462">
        <f>IF(AND(AT387&lt;&gt;0,AJ387&lt;&gt;"PF"),LifeBY*W387,0)</f>
        <v>0</v>
      </c>
      <c r="BT387" s="462">
        <f>IF(AND(AT387&lt;&gt;0,AM387="Y"),UIBY*W387,0)</f>
        <v>0</v>
      </c>
      <c r="BU387" s="462">
        <f>IF(AND(AT387&lt;&gt;0,N387&lt;&gt;"NR"),DHRBY*W387,0)</f>
        <v>0</v>
      </c>
      <c r="BV387" s="462">
        <f>IF(AT387&lt;&gt;0,WCBY*W387,0)</f>
        <v>0</v>
      </c>
      <c r="BW387" s="462">
        <f>IF(OR(AND(AT387&lt;&gt;0,AJ387&lt;&gt;"PF",AN387&lt;&gt;"NE",AG387&lt;&gt;"A"),AND(AL387="E",OR(AT387=1,AT387=3))),SickBY*W387,0)</f>
        <v>0</v>
      </c>
      <c r="BX387" s="462">
        <f t="shared" ref="BX387:BX391" si="109">IF(AT387=1,SUM(BP387:BW387),0)</f>
        <v>0</v>
      </c>
      <c r="BY387" s="462">
        <f t="shared" ref="BY387:BY391" si="110">IF(AT387=3,SUM(BP387:BW387),0)</f>
        <v>0</v>
      </c>
      <c r="BZ387" s="462">
        <f t="shared" ref="BZ387:BZ391" si="111">IF(AT387=1,BN387-BB387,0)</f>
        <v>0</v>
      </c>
      <c r="CA387" s="462">
        <f t="shared" ref="CA387:CA391" si="112">IF(AT387=3,BO387-BC387,0)</f>
        <v>0</v>
      </c>
      <c r="CB387" s="462">
        <f t="shared" ref="CB387:CB391" si="113">BP387-BD387</f>
        <v>0</v>
      </c>
      <c r="CC387" s="462">
        <f>IF(AT387&lt;&gt;0,SSHICHG*Y387,0)</f>
        <v>0</v>
      </c>
      <c r="CD387" s="462">
        <f>IF(AND(AT387&lt;&gt;0,AN387&lt;&gt;"NE"),VLOOKUP(AN387,Retirement_Rates,5,FALSE)*Y387,0)</f>
        <v>0</v>
      </c>
      <c r="CE387" s="462">
        <f>IF(AND(AT387&lt;&gt;0,AJ387&lt;&gt;"PF"),LifeCHG*Y387,0)</f>
        <v>0</v>
      </c>
      <c r="CF387" s="462">
        <f>IF(AND(AT387&lt;&gt;0,AM387="Y"),UICHG*Y387,0)</f>
        <v>0</v>
      </c>
      <c r="CG387" s="462">
        <f>IF(AND(AT387&lt;&gt;0,N387&lt;&gt;"NR"),DHRCHG*Y387,0)</f>
        <v>0</v>
      </c>
      <c r="CH387" s="462">
        <f>IF(AT387&lt;&gt;0,WCCHG*Y387,0)</f>
        <v>0</v>
      </c>
      <c r="CI387" s="462">
        <f>IF(OR(AND(AT387&lt;&gt;0,AJ387&lt;&gt;"PF",AN387&lt;&gt;"NE",AG387&lt;&gt;"A"),AND(AL387="E",OR(AT387=1,AT387=3))),SickCHG*Y387,0)</f>
        <v>0</v>
      </c>
      <c r="CJ387" s="462">
        <f t="shared" ref="CJ387:CJ391" si="114">IF(AT387=1,SUM(CB387:CI387),0)</f>
        <v>0</v>
      </c>
      <c r="CK387" s="462" t="str">
        <f t="shared" ref="CK387:CK391" si="115">IF(AT387=3,SUM(CB387:CI387),"")</f>
        <v/>
      </c>
      <c r="CL387" s="462">
        <f t="shared" ref="CL387:CL391" si="116">IF(OR(N387="NG",AG387="D"),(T387+U387),"")</f>
        <v>0</v>
      </c>
      <c r="CM387" s="462">
        <f t="shared" ref="CM387:CM391" si="117">IF(OR(N387="NG",AG387="D"),V387,"")</f>
        <v>0</v>
      </c>
      <c r="CN387" s="462" t="str">
        <f t="shared" ref="CN387:CN391" si="118">E387 &amp; "-" &amp; F387</f>
        <v>0410-01</v>
      </c>
    </row>
    <row r="388" spans="1:92" ht="15" thickBot="1" x14ac:dyDescent="0.35">
      <c r="A388" s="376" t="s">
        <v>161</v>
      </c>
      <c r="B388" s="376" t="s">
        <v>162</v>
      </c>
      <c r="C388" s="376" t="s">
        <v>1037</v>
      </c>
      <c r="D388" s="376" t="s">
        <v>221</v>
      </c>
      <c r="E388" s="376" t="s">
        <v>1014</v>
      </c>
      <c r="F388" s="382" t="s">
        <v>936</v>
      </c>
      <c r="G388" s="376" t="s">
        <v>1015</v>
      </c>
      <c r="H388" s="378"/>
      <c r="I388" s="378"/>
      <c r="J388" s="376" t="s">
        <v>168</v>
      </c>
      <c r="K388" s="376" t="s">
        <v>222</v>
      </c>
      <c r="L388" s="376" t="s">
        <v>166</v>
      </c>
      <c r="M388" s="376" t="s">
        <v>225</v>
      </c>
      <c r="N388" s="376" t="s">
        <v>223</v>
      </c>
      <c r="O388" s="379">
        <v>0</v>
      </c>
      <c r="P388" s="460">
        <v>1</v>
      </c>
      <c r="Q388" s="460">
        <v>0</v>
      </c>
      <c r="R388" s="380">
        <v>0</v>
      </c>
      <c r="S388" s="460">
        <v>0</v>
      </c>
      <c r="T388" s="380">
        <v>0</v>
      </c>
      <c r="U388" s="380">
        <v>0</v>
      </c>
      <c r="V388" s="380">
        <v>0</v>
      </c>
      <c r="W388" s="380">
        <v>0</v>
      </c>
      <c r="X388" s="380">
        <v>0</v>
      </c>
      <c r="Y388" s="380">
        <v>0</v>
      </c>
      <c r="Z388" s="380">
        <v>0</v>
      </c>
      <c r="AA388" s="378"/>
      <c r="AB388" s="376" t="s">
        <v>45</v>
      </c>
      <c r="AC388" s="376" t="s">
        <v>45</v>
      </c>
      <c r="AD388" s="378"/>
      <c r="AE388" s="378"/>
      <c r="AF388" s="378"/>
      <c r="AG388" s="378"/>
      <c r="AH388" s="379">
        <v>0</v>
      </c>
      <c r="AI388" s="379">
        <v>0</v>
      </c>
      <c r="AJ388" s="378"/>
      <c r="AK388" s="378"/>
      <c r="AL388" s="376" t="s">
        <v>181</v>
      </c>
      <c r="AM388" s="378"/>
      <c r="AN388" s="378"/>
      <c r="AO388" s="379">
        <v>0</v>
      </c>
      <c r="AP388" s="460">
        <v>0</v>
      </c>
      <c r="AQ388" s="460">
        <v>0</v>
      </c>
      <c r="AR388" s="459"/>
      <c r="AS388" s="462">
        <f t="shared" si="102"/>
        <v>0</v>
      </c>
      <c r="AT388">
        <f t="shared" si="103"/>
        <v>0</v>
      </c>
      <c r="AU388" s="462" t="str">
        <f>IF(AT388=0,"",IF(AND(AT388=1,M388="F",SUMIF(C2:C391,C388,AS2:AS391)&lt;=1),SUMIF(C2:C391,C388,AS2:AS391),IF(AND(AT388=1,M388="F",SUMIF(C2:C391,C388,AS2:AS391)&gt;1),1,"")))</f>
        <v/>
      </c>
      <c r="AV388" s="462" t="str">
        <f>IF(AT388=0,"",IF(AND(AT388=3,M388="F",SUMIF(C2:C391,C388,AS2:AS391)&lt;=1),SUMIF(C2:C391,C388,AS2:AS391),IF(AND(AT388=3,M388="F",SUMIF(C2:C391,C388,AS2:AS391)&gt;1),1,"")))</f>
        <v/>
      </c>
      <c r="AW388" s="462">
        <f>SUMIF(C2:C391,C388,O2:O391)</f>
        <v>0</v>
      </c>
      <c r="AX388" s="462">
        <f>IF(AND(M388="F",AS388&lt;&gt;0),SUMIF(C2:C391,C388,W2:W391),0)</f>
        <v>0</v>
      </c>
      <c r="AY388" s="462" t="str">
        <f t="shared" si="104"/>
        <v/>
      </c>
      <c r="AZ388" s="462" t="str">
        <f t="shared" si="105"/>
        <v/>
      </c>
      <c r="BA388" s="462">
        <f t="shared" si="106"/>
        <v>0</v>
      </c>
      <c r="BB388" s="462">
        <f>IF(AND(AT388=1,AK388="E",AU388&gt;=0.75,AW388=1),Health,IF(AND(AT388=1,AK388="E",AU388&gt;=0.75),Health*P388,IF(AND(AT388=1,AK388="E",AU388&gt;=0.5,AW388=1),PTHealth,IF(AND(AT388=1,AK388="E",AU388&gt;=0.5),PTHealth*P388,0))))</f>
        <v>0</v>
      </c>
      <c r="BC388" s="462">
        <f>IF(AND(AT388=3,AK388="E",AV388&gt;=0.75,AW388=1),Health,IF(AND(AT388=3,AK388="E",AV388&gt;=0.75),Health*P388,IF(AND(AT388=3,AK388="E",AV388&gt;=0.5,AW388=1),PTHealth,IF(AND(AT388=3,AK388="E",AV388&gt;=0.5),PTHealth*P388,0))))</f>
        <v>0</v>
      </c>
      <c r="BD388" s="462">
        <f>IF(AND(AT388&lt;&gt;0,AX388&gt;=MAXSSDI),SSDI*MAXSSDI*P388,IF(AT388&lt;&gt;0,SSDI*W388,0))</f>
        <v>0</v>
      </c>
      <c r="BE388" s="462">
        <f>IF(AT388&lt;&gt;0,SSHI*W388,0)</f>
        <v>0</v>
      </c>
      <c r="BF388" s="462">
        <f>IF(AND(AT388&lt;&gt;0,AN388&lt;&gt;"NE"),VLOOKUP(AN388,Retirement_Rates,3,FALSE)*W388,0)</f>
        <v>0</v>
      </c>
      <c r="BG388" s="462">
        <f>IF(AND(AT388&lt;&gt;0,AJ388&lt;&gt;"PF"),Life*W388,0)</f>
        <v>0</v>
      </c>
      <c r="BH388" s="462">
        <f>IF(AND(AT388&lt;&gt;0,AM388="Y"),UI*W388,0)</f>
        <v>0</v>
      </c>
      <c r="BI388" s="462">
        <f>IF(AND(AT388&lt;&gt;0,N388&lt;&gt;"NR"),DHR*W388,0)</f>
        <v>0</v>
      </c>
      <c r="BJ388" s="462">
        <f>IF(AT388&lt;&gt;0,WC*W388,0)</f>
        <v>0</v>
      </c>
      <c r="BK388" s="462">
        <f>IF(OR(AND(AT388&lt;&gt;0,AJ388&lt;&gt;"PF",AN388&lt;&gt;"NE",AG388&lt;&gt;"A"),AND(AL388="E",OR(AT388=1,AT388=3))),Sick*W388,0)</f>
        <v>0</v>
      </c>
      <c r="BL388" s="462">
        <f t="shared" si="107"/>
        <v>0</v>
      </c>
      <c r="BM388" s="462">
        <f t="shared" si="108"/>
        <v>0</v>
      </c>
      <c r="BN388" s="462">
        <f>IF(AND(AT388=1,AK388="E",AU388&gt;=0.75,AW388=1),HealthBY,IF(AND(AT388=1,AK388="E",AU388&gt;=0.75),HealthBY*P388,IF(AND(AT388=1,AK388="E",AU388&gt;=0.5,AW388=1),PTHealthBY,IF(AND(AT388=1,AK388="E",AU388&gt;=0.5),PTHealthBY*P388,0))))</f>
        <v>0</v>
      </c>
      <c r="BO388" s="462">
        <f>IF(AND(AT388=3,AK388="E",AV388&gt;=0.75,AW388=1),HealthBY,IF(AND(AT388=3,AK388="E",AV388&gt;=0.75),HealthBY*P388,IF(AND(AT388=3,AK388="E",AV388&gt;=0.5,AW388=1),PTHealthBY,IF(AND(AT388=3,AK388="E",AV388&gt;=0.5),PTHealthBY*P388,0))))</f>
        <v>0</v>
      </c>
      <c r="BP388" s="462">
        <f>IF(AND(AT388&lt;&gt;0,(AX388+BA388)&gt;=MAXSSDIBY),SSDIBY*MAXSSDIBY*P388,IF(AT388&lt;&gt;0,SSDIBY*W388,0))</f>
        <v>0</v>
      </c>
      <c r="BQ388" s="462">
        <f>IF(AT388&lt;&gt;0,SSHIBY*W388,0)</f>
        <v>0</v>
      </c>
      <c r="BR388" s="462">
        <f>IF(AND(AT388&lt;&gt;0,AN388&lt;&gt;"NE"),VLOOKUP(AN388,Retirement_Rates,4,FALSE)*W388,0)</f>
        <v>0</v>
      </c>
      <c r="BS388" s="462">
        <f>IF(AND(AT388&lt;&gt;0,AJ388&lt;&gt;"PF"),LifeBY*W388,0)</f>
        <v>0</v>
      </c>
      <c r="BT388" s="462">
        <f>IF(AND(AT388&lt;&gt;0,AM388="Y"),UIBY*W388,0)</f>
        <v>0</v>
      </c>
      <c r="BU388" s="462">
        <f>IF(AND(AT388&lt;&gt;0,N388&lt;&gt;"NR"),DHRBY*W388,0)</f>
        <v>0</v>
      </c>
      <c r="BV388" s="462">
        <f>IF(AT388&lt;&gt;0,WCBY*W388,0)</f>
        <v>0</v>
      </c>
      <c r="BW388" s="462">
        <f>IF(OR(AND(AT388&lt;&gt;0,AJ388&lt;&gt;"PF",AN388&lt;&gt;"NE",AG388&lt;&gt;"A"),AND(AL388="E",OR(AT388=1,AT388=3))),SickBY*W388,0)</f>
        <v>0</v>
      </c>
      <c r="BX388" s="462">
        <f t="shared" si="109"/>
        <v>0</v>
      </c>
      <c r="BY388" s="462">
        <f t="shared" si="110"/>
        <v>0</v>
      </c>
      <c r="BZ388" s="462">
        <f t="shared" si="111"/>
        <v>0</v>
      </c>
      <c r="CA388" s="462">
        <f t="shared" si="112"/>
        <v>0</v>
      </c>
      <c r="CB388" s="462">
        <f t="shared" si="113"/>
        <v>0</v>
      </c>
      <c r="CC388" s="462">
        <f>IF(AT388&lt;&gt;0,SSHICHG*Y388,0)</f>
        <v>0</v>
      </c>
      <c r="CD388" s="462">
        <f>IF(AND(AT388&lt;&gt;0,AN388&lt;&gt;"NE"),VLOOKUP(AN388,Retirement_Rates,5,FALSE)*Y388,0)</f>
        <v>0</v>
      </c>
      <c r="CE388" s="462">
        <f>IF(AND(AT388&lt;&gt;0,AJ388&lt;&gt;"PF"),LifeCHG*Y388,0)</f>
        <v>0</v>
      </c>
      <c r="CF388" s="462">
        <f>IF(AND(AT388&lt;&gt;0,AM388="Y"),UICHG*Y388,0)</f>
        <v>0</v>
      </c>
      <c r="CG388" s="462">
        <f>IF(AND(AT388&lt;&gt;0,N388&lt;&gt;"NR"),DHRCHG*Y388,0)</f>
        <v>0</v>
      </c>
      <c r="CH388" s="462">
        <f>IF(AT388&lt;&gt;0,WCCHG*Y388,0)</f>
        <v>0</v>
      </c>
      <c r="CI388" s="462">
        <f>IF(OR(AND(AT388&lt;&gt;0,AJ388&lt;&gt;"PF",AN388&lt;&gt;"NE",AG388&lt;&gt;"A"),AND(AL388="E",OR(AT388=1,AT388=3))),SickCHG*Y388,0)</f>
        <v>0</v>
      </c>
      <c r="CJ388" s="462">
        <f t="shared" si="114"/>
        <v>0</v>
      </c>
      <c r="CK388" s="462" t="str">
        <f t="shared" si="115"/>
        <v/>
      </c>
      <c r="CL388" s="462">
        <f t="shared" si="116"/>
        <v>0</v>
      </c>
      <c r="CM388" s="462">
        <f t="shared" si="117"/>
        <v>0</v>
      </c>
      <c r="CN388" s="462" t="str">
        <f t="shared" si="118"/>
        <v>0410-01</v>
      </c>
    </row>
    <row r="389" spans="1:92" ht="15" thickBot="1" x14ac:dyDescent="0.35">
      <c r="A389" s="376" t="s">
        <v>161</v>
      </c>
      <c r="B389" s="376" t="s">
        <v>162</v>
      </c>
      <c r="C389" s="376" t="s">
        <v>1038</v>
      </c>
      <c r="D389" s="376" t="s">
        <v>221</v>
      </c>
      <c r="E389" s="376" t="s">
        <v>1014</v>
      </c>
      <c r="F389" s="382" t="s">
        <v>936</v>
      </c>
      <c r="G389" s="376" t="s">
        <v>1015</v>
      </c>
      <c r="H389" s="378"/>
      <c r="I389" s="378"/>
      <c r="J389" s="376" t="s">
        <v>168</v>
      </c>
      <c r="K389" s="376" t="s">
        <v>222</v>
      </c>
      <c r="L389" s="376" t="s">
        <v>166</v>
      </c>
      <c r="M389" s="376" t="s">
        <v>171</v>
      </c>
      <c r="N389" s="376" t="s">
        <v>223</v>
      </c>
      <c r="O389" s="379">
        <v>0</v>
      </c>
      <c r="P389" s="460">
        <v>1</v>
      </c>
      <c r="Q389" s="460">
        <v>0</v>
      </c>
      <c r="R389" s="380">
        <v>0</v>
      </c>
      <c r="S389" s="460">
        <v>0</v>
      </c>
      <c r="T389" s="380">
        <v>73115.5</v>
      </c>
      <c r="U389" s="380">
        <v>2957.52</v>
      </c>
      <c r="V389" s="380">
        <v>10747.8</v>
      </c>
      <c r="W389" s="380">
        <v>76073.02</v>
      </c>
      <c r="X389" s="380">
        <v>10747.8</v>
      </c>
      <c r="Y389" s="380">
        <v>76073.02</v>
      </c>
      <c r="Z389" s="380">
        <v>10747.8</v>
      </c>
      <c r="AA389" s="378"/>
      <c r="AB389" s="376" t="s">
        <v>45</v>
      </c>
      <c r="AC389" s="376" t="s">
        <v>45</v>
      </c>
      <c r="AD389" s="378"/>
      <c r="AE389" s="378"/>
      <c r="AF389" s="378"/>
      <c r="AG389" s="378"/>
      <c r="AH389" s="379">
        <v>0</v>
      </c>
      <c r="AI389" s="379">
        <v>0</v>
      </c>
      <c r="AJ389" s="378"/>
      <c r="AK389" s="378"/>
      <c r="AL389" s="376" t="s">
        <v>181</v>
      </c>
      <c r="AM389" s="378"/>
      <c r="AN389" s="378"/>
      <c r="AO389" s="379">
        <v>0</v>
      </c>
      <c r="AP389" s="460">
        <v>0</v>
      </c>
      <c r="AQ389" s="460">
        <v>0</v>
      </c>
      <c r="AR389" s="459"/>
      <c r="AS389" s="462">
        <f t="shared" si="102"/>
        <v>0</v>
      </c>
      <c r="AT389">
        <f t="shared" si="103"/>
        <v>0</v>
      </c>
      <c r="AU389" s="462" t="str">
        <f>IF(AT389=0,"",IF(AND(AT389=1,M389="F",SUMIF(C2:C391,C389,AS2:AS391)&lt;=1),SUMIF(C2:C391,C389,AS2:AS391),IF(AND(AT389=1,M389="F",SUMIF(C2:C391,C389,AS2:AS391)&gt;1),1,"")))</f>
        <v/>
      </c>
      <c r="AV389" s="462" t="str">
        <f>IF(AT389=0,"",IF(AND(AT389=3,M389="F",SUMIF(C2:C391,C389,AS2:AS391)&lt;=1),SUMIF(C2:C391,C389,AS2:AS391),IF(AND(AT389=3,M389="F",SUMIF(C2:C391,C389,AS2:AS391)&gt;1),1,"")))</f>
        <v/>
      </c>
      <c r="AW389" s="462">
        <f>SUMIF(C2:C391,C389,O2:O391)</f>
        <v>0</v>
      </c>
      <c r="AX389" s="462">
        <f>IF(AND(M389="F",AS389&lt;&gt;0),SUMIF(C2:C391,C389,W2:W391),0)</f>
        <v>0</v>
      </c>
      <c r="AY389" s="462" t="str">
        <f t="shared" si="104"/>
        <v/>
      </c>
      <c r="AZ389" s="462" t="str">
        <f t="shared" si="105"/>
        <v/>
      </c>
      <c r="BA389" s="462">
        <f t="shared" si="106"/>
        <v>0</v>
      </c>
      <c r="BB389" s="462">
        <f>IF(AND(AT389=1,AK389="E",AU389&gt;=0.75,AW389=1),Health,IF(AND(AT389=1,AK389="E",AU389&gt;=0.75),Health*P389,IF(AND(AT389=1,AK389="E",AU389&gt;=0.5,AW389=1),PTHealth,IF(AND(AT389=1,AK389="E",AU389&gt;=0.5),PTHealth*P389,0))))</f>
        <v>0</v>
      </c>
      <c r="BC389" s="462">
        <f>IF(AND(AT389=3,AK389="E",AV389&gt;=0.75,AW389=1),Health,IF(AND(AT389=3,AK389="E",AV389&gt;=0.75),Health*P389,IF(AND(AT389=3,AK389="E",AV389&gt;=0.5,AW389=1),PTHealth,IF(AND(AT389=3,AK389="E",AV389&gt;=0.5),PTHealth*P389,0))))</f>
        <v>0</v>
      </c>
      <c r="BD389" s="462">
        <f>IF(AND(AT389&lt;&gt;0,AX389&gt;=MAXSSDI),SSDI*MAXSSDI*P389,IF(AT389&lt;&gt;0,SSDI*W389,0))</f>
        <v>0</v>
      </c>
      <c r="BE389" s="462">
        <f>IF(AT389&lt;&gt;0,SSHI*W389,0)</f>
        <v>0</v>
      </c>
      <c r="BF389" s="462">
        <f>IF(AND(AT389&lt;&gt;0,AN389&lt;&gt;"NE"),VLOOKUP(AN389,Retirement_Rates,3,FALSE)*W389,0)</f>
        <v>0</v>
      </c>
      <c r="BG389" s="462">
        <f>IF(AND(AT389&lt;&gt;0,AJ389&lt;&gt;"PF"),Life*W389,0)</f>
        <v>0</v>
      </c>
      <c r="BH389" s="462">
        <f>IF(AND(AT389&lt;&gt;0,AM389="Y"),UI*W389,0)</f>
        <v>0</v>
      </c>
      <c r="BI389" s="462">
        <f>IF(AND(AT389&lt;&gt;0,N389&lt;&gt;"NR"),DHR*W389,0)</f>
        <v>0</v>
      </c>
      <c r="BJ389" s="462">
        <f>IF(AT389&lt;&gt;0,WC*W389,0)</f>
        <v>0</v>
      </c>
      <c r="BK389" s="462">
        <f>IF(OR(AND(AT389&lt;&gt;0,AJ389&lt;&gt;"PF",AN389&lt;&gt;"NE",AG389&lt;&gt;"A"),AND(AL389="E",OR(AT389=1,AT389=3))),Sick*W389,0)</f>
        <v>0</v>
      </c>
      <c r="BL389" s="462">
        <f t="shared" si="107"/>
        <v>0</v>
      </c>
      <c r="BM389" s="462">
        <f t="shared" si="108"/>
        <v>0</v>
      </c>
      <c r="BN389" s="462">
        <f>IF(AND(AT389=1,AK389="E",AU389&gt;=0.75,AW389=1),HealthBY,IF(AND(AT389=1,AK389="E",AU389&gt;=0.75),HealthBY*P389,IF(AND(AT389=1,AK389="E",AU389&gt;=0.5,AW389=1),PTHealthBY,IF(AND(AT389=1,AK389="E",AU389&gt;=0.5),PTHealthBY*P389,0))))</f>
        <v>0</v>
      </c>
      <c r="BO389" s="462">
        <f>IF(AND(AT389=3,AK389="E",AV389&gt;=0.75,AW389=1),HealthBY,IF(AND(AT389=3,AK389="E",AV389&gt;=0.75),HealthBY*P389,IF(AND(AT389=3,AK389="E",AV389&gt;=0.5,AW389=1),PTHealthBY,IF(AND(AT389=3,AK389="E",AV389&gt;=0.5),PTHealthBY*P389,0))))</f>
        <v>0</v>
      </c>
      <c r="BP389" s="462">
        <f>IF(AND(AT389&lt;&gt;0,(AX389+BA389)&gt;=MAXSSDIBY),SSDIBY*MAXSSDIBY*P389,IF(AT389&lt;&gt;0,SSDIBY*W389,0))</f>
        <v>0</v>
      </c>
      <c r="BQ389" s="462">
        <f>IF(AT389&lt;&gt;0,SSHIBY*W389,0)</f>
        <v>0</v>
      </c>
      <c r="BR389" s="462">
        <f>IF(AND(AT389&lt;&gt;0,AN389&lt;&gt;"NE"),VLOOKUP(AN389,Retirement_Rates,4,FALSE)*W389,0)</f>
        <v>0</v>
      </c>
      <c r="BS389" s="462">
        <f>IF(AND(AT389&lt;&gt;0,AJ389&lt;&gt;"PF"),LifeBY*W389,0)</f>
        <v>0</v>
      </c>
      <c r="BT389" s="462">
        <f>IF(AND(AT389&lt;&gt;0,AM389="Y"),UIBY*W389,0)</f>
        <v>0</v>
      </c>
      <c r="BU389" s="462">
        <f>IF(AND(AT389&lt;&gt;0,N389&lt;&gt;"NR"),DHRBY*W389,0)</f>
        <v>0</v>
      </c>
      <c r="BV389" s="462">
        <f>IF(AT389&lt;&gt;0,WCBY*W389,0)</f>
        <v>0</v>
      </c>
      <c r="BW389" s="462">
        <f>IF(OR(AND(AT389&lt;&gt;0,AJ389&lt;&gt;"PF",AN389&lt;&gt;"NE",AG389&lt;&gt;"A"),AND(AL389="E",OR(AT389=1,AT389=3))),SickBY*W389,0)</f>
        <v>0</v>
      </c>
      <c r="BX389" s="462">
        <f t="shared" si="109"/>
        <v>0</v>
      </c>
      <c r="BY389" s="462">
        <f t="shared" si="110"/>
        <v>0</v>
      </c>
      <c r="BZ389" s="462">
        <f t="shared" si="111"/>
        <v>0</v>
      </c>
      <c r="CA389" s="462">
        <f t="shared" si="112"/>
        <v>0</v>
      </c>
      <c r="CB389" s="462">
        <f t="shared" si="113"/>
        <v>0</v>
      </c>
      <c r="CC389" s="462">
        <f>IF(AT389&lt;&gt;0,SSHICHG*Y389,0)</f>
        <v>0</v>
      </c>
      <c r="CD389" s="462">
        <f>IF(AND(AT389&lt;&gt;0,AN389&lt;&gt;"NE"),VLOOKUP(AN389,Retirement_Rates,5,FALSE)*Y389,0)</f>
        <v>0</v>
      </c>
      <c r="CE389" s="462">
        <f>IF(AND(AT389&lt;&gt;0,AJ389&lt;&gt;"PF"),LifeCHG*Y389,0)</f>
        <v>0</v>
      </c>
      <c r="CF389" s="462">
        <f>IF(AND(AT389&lt;&gt;0,AM389="Y"),UICHG*Y389,0)</f>
        <v>0</v>
      </c>
      <c r="CG389" s="462">
        <f>IF(AND(AT389&lt;&gt;0,N389&lt;&gt;"NR"),DHRCHG*Y389,0)</f>
        <v>0</v>
      </c>
      <c r="CH389" s="462">
        <f>IF(AT389&lt;&gt;0,WCCHG*Y389,0)</f>
        <v>0</v>
      </c>
      <c r="CI389" s="462">
        <f>IF(OR(AND(AT389&lt;&gt;0,AJ389&lt;&gt;"PF",AN389&lt;&gt;"NE",AG389&lt;&gt;"A"),AND(AL389="E",OR(AT389=1,AT389=3))),SickCHG*Y389,0)</f>
        <v>0</v>
      </c>
      <c r="CJ389" s="462">
        <f t="shared" si="114"/>
        <v>0</v>
      </c>
      <c r="CK389" s="462" t="str">
        <f t="shared" si="115"/>
        <v/>
      </c>
      <c r="CL389" s="462">
        <f t="shared" si="116"/>
        <v>76073.02</v>
      </c>
      <c r="CM389" s="462">
        <f t="shared" si="117"/>
        <v>10747.8</v>
      </c>
      <c r="CN389" s="462" t="str">
        <f t="shared" si="118"/>
        <v>0410-01</v>
      </c>
    </row>
    <row r="390" spans="1:92" ht="15" thickBot="1" x14ac:dyDescent="0.35">
      <c r="A390" s="376" t="s">
        <v>161</v>
      </c>
      <c r="B390" s="376" t="s">
        <v>162</v>
      </c>
      <c r="C390" s="376" t="s">
        <v>895</v>
      </c>
      <c r="D390" s="376" t="s">
        <v>221</v>
      </c>
      <c r="E390" s="376" t="s">
        <v>1014</v>
      </c>
      <c r="F390" s="382" t="s">
        <v>936</v>
      </c>
      <c r="G390" s="376" t="s">
        <v>1015</v>
      </c>
      <c r="H390" s="378"/>
      <c r="I390" s="378"/>
      <c r="J390" s="376" t="s">
        <v>168</v>
      </c>
      <c r="K390" s="376" t="s">
        <v>222</v>
      </c>
      <c r="L390" s="376" t="s">
        <v>166</v>
      </c>
      <c r="M390" s="376" t="s">
        <v>171</v>
      </c>
      <c r="N390" s="376" t="s">
        <v>223</v>
      </c>
      <c r="O390" s="379">
        <v>0</v>
      </c>
      <c r="P390" s="460">
        <v>1</v>
      </c>
      <c r="Q390" s="460">
        <v>0</v>
      </c>
      <c r="R390" s="380">
        <v>0</v>
      </c>
      <c r="S390" s="460">
        <v>0</v>
      </c>
      <c r="T390" s="380">
        <v>0</v>
      </c>
      <c r="U390" s="380">
        <v>0</v>
      </c>
      <c r="V390" s="380">
        <v>0</v>
      </c>
      <c r="W390" s="380">
        <v>3520</v>
      </c>
      <c r="X390" s="380">
        <v>413.14</v>
      </c>
      <c r="Y390" s="380">
        <v>3520</v>
      </c>
      <c r="Z390" s="380">
        <v>413.14</v>
      </c>
      <c r="AA390" s="378"/>
      <c r="AB390" s="376" t="s">
        <v>45</v>
      </c>
      <c r="AC390" s="376" t="s">
        <v>45</v>
      </c>
      <c r="AD390" s="378"/>
      <c r="AE390" s="378"/>
      <c r="AF390" s="378"/>
      <c r="AG390" s="378"/>
      <c r="AH390" s="379">
        <v>0</v>
      </c>
      <c r="AI390" s="379">
        <v>0</v>
      </c>
      <c r="AJ390" s="378"/>
      <c r="AK390" s="378"/>
      <c r="AL390" s="376" t="s">
        <v>181</v>
      </c>
      <c r="AM390" s="378"/>
      <c r="AN390" s="378"/>
      <c r="AO390" s="379">
        <v>0</v>
      </c>
      <c r="AP390" s="460">
        <v>0</v>
      </c>
      <c r="AQ390" s="460">
        <v>0</v>
      </c>
      <c r="AR390" s="459"/>
      <c r="AS390" s="462">
        <f t="shared" si="102"/>
        <v>0</v>
      </c>
      <c r="AT390">
        <f t="shared" si="103"/>
        <v>0</v>
      </c>
      <c r="AU390" s="462" t="str">
        <f>IF(AT390=0,"",IF(AND(AT390=1,M390="F",SUMIF(C2:C391,C390,AS2:AS391)&lt;=1),SUMIF(C2:C391,C390,AS2:AS391),IF(AND(AT390=1,M390="F",SUMIF(C2:C391,C390,AS2:AS391)&gt;1),1,"")))</f>
        <v/>
      </c>
      <c r="AV390" s="462" t="str">
        <f>IF(AT390=0,"",IF(AND(AT390=3,M390="F",SUMIF(C2:C391,C390,AS2:AS391)&lt;=1),SUMIF(C2:C391,C390,AS2:AS391),IF(AND(AT390=3,M390="F",SUMIF(C2:C391,C390,AS2:AS391)&gt;1),1,"")))</f>
        <v/>
      </c>
      <c r="AW390" s="462">
        <f>SUMIF(C2:C391,C390,O2:O391)</f>
        <v>0</v>
      </c>
      <c r="AX390" s="462">
        <f>IF(AND(M390="F",AS390&lt;&gt;0),SUMIF(C2:C391,C390,W2:W391),0)</f>
        <v>0</v>
      </c>
      <c r="AY390" s="462" t="str">
        <f t="shared" si="104"/>
        <v/>
      </c>
      <c r="AZ390" s="462" t="str">
        <f t="shared" si="105"/>
        <v/>
      </c>
      <c r="BA390" s="462">
        <f t="shared" si="106"/>
        <v>0</v>
      </c>
      <c r="BB390" s="462">
        <f>IF(AND(AT390=1,AK390="E",AU390&gt;=0.75,AW390=1),Health,IF(AND(AT390=1,AK390="E",AU390&gt;=0.75),Health*P390,IF(AND(AT390=1,AK390="E",AU390&gt;=0.5,AW390=1),PTHealth,IF(AND(AT390=1,AK390="E",AU390&gt;=0.5),PTHealth*P390,0))))</f>
        <v>0</v>
      </c>
      <c r="BC390" s="462">
        <f>IF(AND(AT390=3,AK390="E",AV390&gt;=0.75,AW390=1),Health,IF(AND(AT390=3,AK390="E",AV390&gt;=0.75),Health*P390,IF(AND(AT390=3,AK390="E",AV390&gt;=0.5,AW390=1),PTHealth,IF(AND(AT390=3,AK390="E",AV390&gt;=0.5),PTHealth*P390,0))))</f>
        <v>0</v>
      </c>
      <c r="BD390" s="462">
        <f>IF(AND(AT390&lt;&gt;0,AX390&gt;=MAXSSDI),SSDI*MAXSSDI*P390,IF(AT390&lt;&gt;0,SSDI*W390,0))</f>
        <v>0</v>
      </c>
      <c r="BE390" s="462">
        <f>IF(AT390&lt;&gt;0,SSHI*W390,0)</f>
        <v>0</v>
      </c>
      <c r="BF390" s="462">
        <f>IF(AND(AT390&lt;&gt;0,AN390&lt;&gt;"NE"),VLOOKUP(AN390,Retirement_Rates,3,FALSE)*W390,0)</f>
        <v>0</v>
      </c>
      <c r="BG390" s="462">
        <f>IF(AND(AT390&lt;&gt;0,AJ390&lt;&gt;"PF"),Life*W390,0)</f>
        <v>0</v>
      </c>
      <c r="BH390" s="462">
        <f>IF(AND(AT390&lt;&gt;0,AM390="Y"),UI*W390,0)</f>
        <v>0</v>
      </c>
      <c r="BI390" s="462">
        <f>IF(AND(AT390&lt;&gt;0,N390&lt;&gt;"NR"),DHR*W390,0)</f>
        <v>0</v>
      </c>
      <c r="BJ390" s="462">
        <f>IF(AT390&lt;&gt;0,WC*W390,0)</f>
        <v>0</v>
      </c>
      <c r="BK390" s="462">
        <f>IF(OR(AND(AT390&lt;&gt;0,AJ390&lt;&gt;"PF",AN390&lt;&gt;"NE",AG390&lt;&gt;"A"),AND(AL390="E",OR(AT390=1,AT390=3))),Sick*W390,0)</f>
        <v>0</v>
      </c>
      <c r="BL390" s="462">
        <f t="shared" si="107"/>
        <v>0</v>
      </c>
      <c r="BM390" s="462">
        <f t="shared" si="108"/>
        <v>0</v>
      </c>
      <c r="BN390" s="462">
        <f>IF(AND(AT390=1,AK390="E",AU390&gt;=0.75,AW390=1),HealthBY,IF(AND(AT390=1,AK390="E",AU390&gt;=0.75),HealthBY*P390,IF(AND(AT390=1,AK390="E",AU390&gt;=0.5,AW390=1),PTHealthBY,IF(AND(AT390=1,AK390="E",AU390&gt;=0.5),PTHealthBY*P390,0))))</f>
        <v>0</v>
      </c>
      <c r="BO390" s="462">
        <f>IF(AND(AT390=3,AK390="E",AV390&gt;=0.75,AW390=1),HealthBY,IF(AND(AT390=3,AK390="E",AV390&gt;=0.75),HealthBY*P390,IF(AND(AT390=3,AK390="E",AV390&gt;=0.5,AW390=1),PTHealthBY,IF(AND(AT390=3,AK390="E",AV390&gt;=0.5),PTHealthBY*P390,0))))</f>
        <v>0</v>
      </c>
      <c r="BP390" s="462">
        <f>IF(AND(AT390&lt;&gt;0,(AX390+BA390)&gt;=MAXSSDIBY),SSDIBY*MAXSSDIBY*P390,IF(AT390&lt;&gt;0,SSDIBY*W390,0))</f>
        <v>0</v>
      </c>
      <c r="BQ390" s="462">
        <f>IF(AT390&lt;&gt;0,SSHIBY*W390,0)</f>
        <v>0</v>
      </c>
      <c r="BR390" s="462">
        <f>IF(AND(AT390&lt;&gt;0,AN390&lt;&gt;"NE"),VLOOKUP(AN390,Retirement_Rates,4,FALSE)*W390,0)</f>
        <v>0</v>
      </c>
      <c r="BS390" s="462">
        <f>IF(AND(AT390&lt;&gt;0,AJ390&lt;&gt;"PF"),LifeBY*W390,0)</f>
        <v>0</v>
      </c>
      <c r="BT390" s="462">
        <f>IF(AND(AT390&lt;&gt;0,AM390="Y"),UIBY*W390,0)</f>
        <v>0</v>
      </c>
      <c r="BU390" s="462">
        <f>IF(AND(AT390&lt;&gt;0,N390&lt;&gt;"NR"),DHRBY*W390,0)</f>
        <v>0</v>
      </c>
      <c r="BV390" s="462">
        <f>IF(AT390&lt;&gt;0,WCBY*W390,0)</f>
        <v>0</v>
      </c>
      <c r="BW390" s="462">
        <f>IF(OR(AND(AT390&lt;&gt;0,AJ390&lt;&gt;"PF",AN390&lt;&gt;"NE",AG390&lt;&gt;"A"),AND(AL390="E",OR(AT390=1,AT390=3))),SickBY*W390,0)</f>
        <v>0</v>
      </c>
      <c r="BX390" s="462">
        <f t="shared" si="109"/>
        <v>0</v>
      </c>
      <c r="BY390" s="462">
        <f t="shared" si="110"/>
        <v>0</v>
      </c>
      <c r="BZ390" s="462">
        <f t="shared" si="111"/>
        <v>0</v>
      </c>
      <c r="CA390" s="462">
        <f t="shared" si="112"/>
        <v>0</v>
      </c>
      <c r="CB390" s="462">
        <f t="shared" si="113"/>
        <v>0</v>
      </c>
      <c r="CC390" s="462">
        <f>IF(AT390&lt;&gt;0,SSHICHG*Y390,0)</f>
        <v>0</v>
      </c>
      <c r="CD390" s="462">
        <f>IF(AND(AT390&lt;&gt;0,AN390&lt;&gt;"NE"),VLOOKUP(AN390,Retirement_Rates,5,FALSE)*Y390,0)</f>
        <v>0</v>
      </c>
      <c r="CE390" s="462">
        <f>IF(AND(AT390&lt;&gt;0,AJ390&lt;&gt;"PF"),LifeCHG*Y390,0)</f>
        <v>0</v>
      </c>
      <c r="CF390" s="462">
        <f>IF(AND(AT390&lt;&gt;0,AM390="Y"),UICHG*Y390,0)</f>
        <v>0</v>
      </c>
      <c r="CG390" s="462">
        <f>IF(AND(AT390&lt;&gt;0,N390&lt;&gt;"NR"),DHRCHG*Y390,0)</f>
        <v>0</v>
      </c>
      <c r="CH390" s="462">
        <f>IF(AT390&lt;&gt;0,WCCHG*Y390,0)</f>
        <v>0</v>
      </c>
      <c r="CI390" s="462">
        <f>IF(OR(AND(AT390&lt;&gt;0,AJ390&lt;&gt;"PF",AN390&lt;&gt;"NE",AG390&lt;&gt;"A"),AND(AL390="E",OR(AT390=1,AT390=3))),SickCHG*Y390,0)</f>
        <v>0</v>
      </c>
      <c r="CJ390" s="462">
        <f t="shared" si="114"/>
        <v>0</v>
      </c>
      <c r="CK390" s="462" t="str">
        <f t="shared" si="115"/>
        <v/>
      </c>
      <c r="CL390" s="462">
        <f t="shared" si="116"/>
        <v>0</v>
      </c>
      <c r="CM390" s="462">
        <f t="shared" si="117"/>
        <v>0</v>
      </c>
      <c r="CN390" s="462" t="str">
        <f t="shared" si="118"/>
        <v>0410-01</v>
      </c>
    </row>
    <row r="391" spans="1:92" ht="15" thickBot="1" x14ac:dyDescent="0.35">
      <c r="A391" s="376" t="s">
        <v>161</v>
      </c>
      <c r="B391" s="376" t="s">
        <v>162</v>
      </c>
      <c r="C391" s="376" t="s">
        <v>1039</v>
      </c>
      <c r="D391" s="376" t="s">
        <v>221</v>
      </c>
      <c r="E391" s="376" t="s">
        <v>1040</v>
      </c>
      <c r="F391" s="382" t="s">
        <v>1041</v>
      </c>
      <c r="G391" s="376" t="s">
        <v>1040</v>
      </c>
      <c r="H391" s="378"/>
      <c r="I391" s="378"/>
      <c r="J391" s="376" t="s">
        <v>168</v>
      </c>
      <c r="K391" s="376" t="s">
        <v>222</v>
      </c>
      <c r="L391" s="376" t="s">
        <v>166</v>
      </c>
      <c r="M391" s="376" t="s">
        <v>225</v>
      </c>
      <c r="N391" s="376" t="s">
        <v>223</v>
      </c>
      <c r="O391" s="379">
        <v>0</v>
      </c>
      <c r="P391" s="460">
        <v>1</v>
      </c>
      <c r="Q391" s="460">
        <v>0</v>
      </c>
      <c r="R391" s="380">
        <v>0</v>
      </c>
      <c r="S391" s="460">
        <v>0</v>
      </c>
      <c r="T391" s="380">
        <v>0</v>
      </c>
      <c r="U391" s="380">
        <v>0</v>
      </c>
      <c r="V391" s="380">
        <v>0</v>
      </c>
      <c r="W391" s="380">
        <v>0</v>
      </c>
      <c r="X391" s="380">
        <v>0</v>
      </c>
      <c r="Y391" s="380">
        <v>0</v>
      </c>
      <c r="Z391" s="380">
        <v>0</v>
      </c>
      <c r="AA391" s="378"/>
      <c r="AB391" s="376" t="s">
        <v>45</v>
      </c>
      <c r="AC391" s="376" t="s">
        <v>45</v>
      </c>
      <c r="AD391" s="378"/>
      <c r="AE391" s="378"/>
      <c r="AF391" s="378"/>
      <c r="AG391" s="378"/>
      <c r="AH391" s="379">
        <v>0</v>
      </c>
      <c r="AI391" s="379">
        <v>0</v>
      </c>
      <c r="AJ391" s="378"/>
      <c r="AK391" s="378"/>
      <c r="AL391" s="376" t="s">
        <v>181</v>
      </c>
      <c r="AM391" s="378"/>
      <c r="AN391" s="378"/>
      <c r="AO391" s="379">
        <v>0</v>
      </c>
      <c r="AP391" s="460">
        <v>0</v>
      </c>
      <c r="AQ391" s="460">
        <v>0</v>
      </c>
      <c r="AR391" s="459"/>
      <c r="AS391" s="462">
        <f t="shared" si="102"/>
        <v>0</v>
      </c>
      <c r="AT391">
        <f t="shared" si="103"/>
        <v>0</v>
      </c>
      <c r="AU391" s="462" t="str">
        <f>IF(AT391=0,"",IF(AND(AT391=1,M391="F",SUMIF(C2:C391,C391,AS2:AS391)&lt;=1),SUMIF(C2:C391,C391,AS2:AS391),IF(AND(AT391=1,M391="F",SUMIF(C2:C391,C391,AS2:AS391)&gt;1),1,"")))</f>
        <v/>
      </c>
      <c r="AV391" s="462" t="str">
        <f>IF(AT391=0,"",IF(AND(AT391=3,M391="F",SUMIF(C2:C391,C391,AS2:AS391)&lt;=1),SUMIF(C2:C391,C391,AS2:AS391),IF(AND(AT391=3,M391="F",SUMIF(C2:C391,C391,AS2:AS391)&gt;1),1,"")))</f>
        <v/>
      </c>
      <c r="AW391" s="462">
        <f>SUMIF(C2:C391,C391,O2:O391)</f>
        <v>0</v>
      </c>
      <c r="AX391" s="462">
        <f>IF(AND(M391="F",AS391&lt;&gt;0),SUMIF(C2:C391,C391,W2:W391),0)</f>
        <v>0</v>
      </c>
      <c r="AY391" s="462" t="str">
        <f t="shared" si="104"/>
        <v/>
      </c>
      <c r="AZ391" s="462" t="str">
        <f t="shared" si="105"/>
        <v/>
      </c>
      <c r="BA391" s="462">
        <f t="shared" si="106"/>
        <v>0</v>
      </c>
      <c r="BB391" s="462">
        <f>IF(AND(AT391=1,AK391="E",AU391&gt;=0.75,AW391=1),Health,IF(AND(AT391=1,AK391="E",AU391&gt;=0.75),Health*P391,IF(AND(AT391=1,AK391="E",AU391&gt;=0.5,AW391=1),PTHealth,IF(AND(AT391=1,AK391="E",AU391&gt;=0.5),PTHealth*P391,0))))</f>
        <v>0</v>
      </c>
      <c r="BC391" s="462">
        <f>IF(AND(AT391=3,AK391="E",AV391&gt;=0.75,AW391=1),Health,IF(AND(AT391=3,AK391="E",AV391&gt;=0.75),Health*P391,IF(AND(AT391=3,AK391="E",AV391&gt;=0.5,AW391=1),PTHealth,IF(AND(AT391=3,AK391="E",AV391&gt;=0.5),PTHealth*P391,0))))</f>
        <v>0</v>
      </c>
      <c r="BD391" s="462">
        <f>IF(AND(AT391&lt;&gt;0,AX391&gt;=MAXSSDI),SSDI*MAXSSDI*P391,IF(AT391&lt;&gt;0,SSDI*W391,0))</f>
        <v>0</v>
      </c>
      <c r="BE391" s="462">
        <f>IF(AT391&lt;&gt;0,SSHI*W391,0)</f>
        <v>0</v>
      </c>
      <c r="BF391" s="462">
        <f>IF(AND(AT391&lt;&gt;0,AN391&lt;&gt;"NE"),VLOOKUP(AN391,Retirement_Rates,3,FALSE)*W391,0)</f>
        <v>0</v>
      </c>
      <c r="BG391" s="462">
        <f>IF(AND(AT391&lt;&gt;0,AJ391&lt;&gt;"PF"),Life*W391,0)</f>
        <v>0</v>
      </c>
      <c r="BH391" s="462">
        <f>IF(AND(AT391&lt;&gt;0,AM391="Y"),UI*W391,0)</f>
        <v>0</v>
      </c>
      <c r="BI391" s="462">
        <f>IF(AND(AT391&lt;&gt;0,N391&lt;&gt;"NR"),DHR*W391,0)</f>
        <v>0</v>
      </c>
      <c r="BJ391" s="462">
        <f>IF(AT391&lt;&gt;0,WC*W391,0)</f>
        <v>0</v>
      </c>
      <c r="BK391" s="462">
        <f>IF(OR(AND(AT391&lt;&gt;0,AJ391&lt;&gt;"PF",AN391&lt;&gt;"NE",AG391&lt;&gt;"A"),AND(AL391="E",OR(AT391=1,AT391=3))),Sick*W391,0)</f>
        <v>0</v>
      </c>
      <c r="BL391" s="462">
        <f t="shared" si="107"/>
        <v>0</v>
      </c>
      <c r="BM391" s="462">
        <f t="shared" si="108"/>
        <v>0</v>
      </c>
      <c r="BN391" s="462">
        <f>IF(AND(AT391=1,AK391="E",AU391&gt;=0.75,AW391=1),HealthBY,IF(AND(AT391=1,AK391="E",AU391&gt;=0.75),HealthBY*P391,IF(AND(AT391=1,AK391="E",AU391&gt;=0.5,AW391=1),PTHealthBY,IF(AND(AT391=1,AK391="E",AU391&gt;=0.5),PTHealthBY*P391,0))))</f>
        <v>0</v>
      </c>
      <c r="BO391" s="462">
        <f>IF(AND(AT391=3,AK391="E",AV391&gt;=0.75,AW391=1),HealthBY,IF(AND(AT391=3,AK391="E",AV391&gt;=0.75),HealthBY*P391,IF(AND(AT391=3,AK391="E",AV391&gt;=0.5,AW391=1),PTHealthBY,IF(AND(AT391=3,AK391="E",AV391&gt;=0.5),PTHealthBY*P391,0))))</f>
        <v>0</v>
      </c>
      <c r="BP391" s="462">
        <f>IF(AND(AT391&lt;&gt;0,(AX391+BA391)&gt;=MAXSSDIBY),SSDIBY*MAXSSDIBY*P391,IF(AT391&lt;&gt;0,SSDIBY*W391,0))</f>
        <v>0</v>
      </c>
      <c r="BQ391" s="462">
        <f>IF(AT391&lt;&gt;0,SSHIBY*W391,0)</f>
        <v>0</v>
      </c>
      <c r="BR391" s="462">
        <f>IF(AND(AT391&lt;&gt;0,AN391&lt;&gt;"NE"),VLOOKUP(AN391,Retirement_Rates,4,FALSE)*W391,0)</f>
        <v>0</v>
      </c>
      <c r="BS391" s="462">
        <f>IF(AND(AT391&lt;&gt;0,AJ391&lt;&gt;"PF"),LifeBY*W391,0)</f>
        <v>0</v>
      </c>
      <c r="BT391" s="462">
        <f>IF(AND(AT391&lt;&gt;0,AM391="Y"),UIBY*W391,0)</f>
        <v>0</v>
      </c>
      <c r="BU391" s="462">
        <f>IF(AND(AT391&lt;&gt;0,N391&lt;&gt;"NR"),DHRBY*W391,0)</f>
        <v>0</v>
      </c>
      <c r="BV391" s="462">
        <f>IF(AT391&lt;&gt;0,WCBY*W391,0)</f>
        <v>0</v>
      </c>
      <c r="BW391" s="462">
        <f>IF(OR(AND(AT391&lt;&gt;0,AJ391&lt;&gt;"PF",AN391&lt;&gt;"NE",AG391&lt;&gt;"A"),AND(AL391="E",OR(AT391=1,AT391=3))),SickBY*W391,0)</f>
        <v>0</v>
      </c>
      <c r="BX391" s="462">
        <f t="shared" si="109"/>
        <v>0</v>
      </c>
      <c r="BY391" s="462">
        <f t="shared" si="110"/>
        <v>0</v>
      </c>
      <c r="BZ391" s="462">
        <f t="shared" si="111"/>
        <v>0</v>
      </c>
      <c r="CA391" s="462">
        <f t="shared" si="112"/>
        <v>0</v>
      </c>
      <c r="CB391" s="462">
        <f t="shared" si="113"/>
        <v>0</v>
      </c>
      <c r="CC391" s="462">
        <f>IF(AT391&lt;&gt;0,SSHICHG*Y391,0)</f>
        <v>0</v>
      </c>
      <c r="CD391" s="462">
        <f>IF(AND(AT391&lt;&gt;0,AN391&lt;&gt;"NE"),VLOOKUP(AN391,Retirement_Rates,5,FALSE)*Y391,0)</f>
        <v>0</v>
      </c>
      <c r="CE391" s="462">
        <f>IF(AND(AT391&lt;&gt;0,AJ391&lt;&gt;"PF"),LifeCHG*Y391,0)</f>
        <v>0</v>
      </c>
      <c r="CF391" s="462">
        <f>IF(AND(AT391&lt;&gt;0,AM391="Y"),UICHG*Y391,0)</f>
        <v>0</v>
      </c>
      <c r="CG391" s="462">
        <f>IF(AND(AT391&lt;&gt;0,N391&lt;&gt;"NR"),DHRCHG*Y391,0)</f>
        <v>0</v>
      </c>
      <c r="CH391" s="462">
        <f>IF(AT391&lt;&gt;0,WCCHG*Y391,0)</f>
        <v>0</v>
      </c>
      <c r="CI391" s="462">
        <f>IF(OR(AND(AT391&lt;&gt;0,AJ391&lt;&gt;"PF",AN391&lt;&gt;"NE",AG391&lt;&gt;"A"),AND(AL391="E",OR(AT391=1,AT391=3))),SickCHG*Y391,0)</f>
        <v>0</v>
      </c>
      <c r="CJ391" s="462">
        <f t="shared" si="114"/>
        <v>0</v>
      </c>
      <c r="CK391" s="462" t="str">
        <f t="shared" si="115"/>
        <v/>
      </c>
      <c r="CL391" s="462">
        <f t="shared" si="116"/>
        <v>0</v>
      </c>
      <c r="CM391" s="462">
        <f t="shared" si="117"/>
        <v>0</v>
      </c>
      <c r="CN391" s="462" t="str">
        <f t="shared" si="118"/>
        <v>ÿÿÿÿ-ÿÿ</v>
      </c>
    </row>
    <row r="393" spans="1:92" ht="21" x14ac:dyDescent="0.4">
      <c r="AQ393" s="251" t="s">
        <v>1170</v>
      </c>
    </row>
    <row r="394" spans="1:92" ht="15" thickBot="1" x14ac:dyDescent="0.35">
      <c r="AR394" t="s">
        <v>1090</v>
      </c>
      <c r="AS394" s="462">
        <f>SUMIFS(AS2:AS391,G2:G391,"PRAA",E2:E391,"0001",F2:F391,"00",AT2:AT391,1)</f>
        <v>4.7</v>
      </c>
      <c r="AT394" s="462">
        <f>SUMIFS(AS2:AS391,G2:G391,"PRAA",E2:E391,"0001",F2:F391,"00",AT2:AT391,3)</f>
        <v>0</v>
      </c>
      <c r="AU394" s="462">
        <f>SUMIFS(AU2:AU391,G2:G391,"PRAA",E2:E391,"0001",F2:F391,"00")</f>
        <v>5</v>
      </c>
      <c r="AV394" s="462">
        <f>SUMIFS(AV2:AV391,G2:G391,"PRAA",E2:E391,"0001",F2:F391,"00")</f>
        <v>0</v>
      </c>
      <c r="AW394" s="462">
        <f>SUMIFS(AW2:AW391,G2:G391,"PRAA",E2:E391,"0001",F2:F391,"00")</f>
        <v>10</v>
      </c>
      <c r="AX394" s="462">
        <f>SUMIFS(AX2:AX391,G2:G391,"PRAA",E2:E391,"0001",F2:F391,"00")</f>
        <v>299873.59999999998</v>
      </c>
      <c r="AY394" s="462">
        <f>SUMIFS(AY2:AY391,G2:G391,"PRAA",E2:E391,"0001",F2:F391,"00")</f>
        <v>277671.67999999999</v>
      </c>
      <c r="AZ394" s="462">
        <f>SUMIFS(AZ2:AZ391,G2:G391,"PRAA",E2:E391,"0001",F2:F391,"00")</f>
        <v>0</v>
      </c>
      <c r="BA394" s="462">
        <f>SUMIFS(BA2:BA391,G2:G391,"PRAA",E2:E391,"0001",F2:F391,"00")</f>
        <v>0</v>
      </c>
      <c r="BB394" s="462">
        <f>SUMIFS(BB2:BB391,G2:G391,"PRAA",E2:E391,"0001",F2:F391,"00")</f>
        <v>54755</v>
      </c>
      <c r="BC394" s="462">
        <f>SUMIFS(BC2:BC391,G2:G391,"PRAA",E2:E391,"0001",F2:F391,"00")</f>
        <v>0</v>
      </c>
      <c r="BD394" s="462">
        <f>SUMIFS(BD2:BD391,G2:G391,"PRAA",E2:E391,"0001",F2:F391,"00")</f>
        <v>17215.64416</v>
      </c>
      <c r="BE394" s="462">
        <f>SUMIFS(BE2:BE391,G2:G391,"PRAA",E2:E391,"0001",F2:F391,"00")</f>
        <v>4026.23936</v>
      </c>
      <c r="BF394" s="462">
        <f>SUMIFS(BF2:BF391,G2:G391,"PRAA",E2:E391,"0001",F2:F391,"00")</f>
        <v>33153.998592000004</v>
      </c>
      <c r="BG394" s="462">
        <f>SUMIFS(BG2:BG391,G2:G391,"PRAA",E2:E391,"0001",F2:F391,"00")</f>
        <v>2002.0128128000001</v>
      </c>
      <c r="BH394" s="462">
        <f>SUMIFS(BH2:BH391,G2:G391,"PRAA",E2:E391,"0001",F2:F391,"00")</f>
        <v>1360.591232</v>
      </c>
      <c r="BI394" s="462">
        <f>SUMIFS(BI2:BI391,G2:G391,"PRAA",E2:E391,"0001",F2:F391,"00")</f>
        <v>849.67534079999996</v>
      </c>
      <c r="BJ394" s="462">
        <f>SUMIFS(BJ2:BJ391,G2:G391,"PRAA",E2:E391,"0001",F2:F391,"00")</f>
        <v>7469.3681919999999</v>
      </c>
      <c r="BK394" s="462">
        <f>SUMIFS(BK2:BK391,G2:G391,"PRAA",E2:E391,"0001",F2:F391,"00")</f>
        <v>0</v>
      </c>
      <c r="BL394" s="462">
        <f>SUMIFS(BL2:BL391,G2:G391,"PRAA",E2:E391,"0001",F2:F391,"00")</f>
        <v>66077.529689600007</v>
      </c>
      <c r="BM394" s="462">
        <f>SUMIFS(BM2:BM391,G2:G391,"PRAA",E2:E391,"0001",F2:F391,"00")</f>
        <v>0</v>
      </c>
      <c r="BN394" s="462">
        <f>SUMIFS(BN2:BN391,G2:G391,"PRAA",E2:E391,"0001",F2:F391,"00")</f>
        <v>54755</v>
      </c>
      <c r="BO394" s="462">
        <f>SUMIFS(BO2:BO391,G2:G391,"PRAA",E2:E391,"0001",F2:F391,"00")</f>
        <v>0</v>
      </c>
      <c r="BP394" s="462">
        <f>SUMIFS(BP2:BP391,G2:G391,"PRAA",E2:E391,"0001",F2:F391,"00")</f>
        <v>17215.64416</v>
      </c>
      <c r="BQ394" s="462">
        <f>SUMIFS(BQ2:BQ391,G2:G391,"PRAA",E2:E391,"0001",F2:F391,"00")</f>
        <v>4026.23936</v>
      </c>
      <c r="BR394" s="462">
        <f>SUMIFS(BR2:BR391,G2:G391,"PRAA",E2:E391,"0001",F2:F391,"00")</f>
        <v>33153.998592000004</v>
      </c>
      <c r="BS394" s="462">
        <f>SUMIFS(BS2:BS391,G2:G391,"PRAA",E2:E391,"0001",F2:F391,"00")</f>
        <v>2002.0128128000001</v>
      </c>
      <c r="BT394" s="462">
        <f>SUMIFS(BT2:BT391,G2:G391,"PRAA",E2:E391,"0001",F2:F391,"00")</f>
        <v>0</v>
      </c>
      <c r="BU394" s="462">
        <f>SUMIFS(BU2:BU391,G2:G391,"PRAA",E2:E391,"0001",F2:F391,"00")</f>
        <v>849.67534079999996</v>
      </c>
      <c r="BV394" s="462">
        <f>SUMIFS(BV2:BV391,G2:G391,"PRAA",E2:E391,"0001",F2:F391,"00")</f>
        <v>9635.2072960000005</v>
      </c>
      <c r="BW394" s="462">
        <f>SUMIFS(BW2:BW391,G2:G391,"PRAA",E2:E391,"0001",F2:F391,"00")</f>
        <v>0</v>
      </c>
      <c r="BX394" s="462">
        <f>SUMIFS(BX2:BX391,G2:G391,"PRAA",E2:E391,"0001",F2:F391,"00")</f>
        <v>66882.7775616</v>
      </c>
      <c r="BY394" s="462">
        <f>SUMIFS(BY2:BY391,G2:G391,"PRAA",E2:E391,"0001",F2:F391,"00")</f>
        <v>0</v>
      </c>
      <c r="BZ394" s="462">
        <f>SUMIFS(BZ2:BZ391,G2:G391,"PRAA",E2:E391,"0001",F2:F391,"00")</f>
        <v>0</v>
      </c>
      <c r="CA394" s="462">
        <f>SUMIFS(CA2:CA391,G2:G391,"PRAA",E2:E391,"0001",F2:F391,"00")</f>
        <v>0</v>
      </c>
      <c r="CB394" s="462">
        <f>SUMIFS(CB2:CB391,G2:G391,"PRAA",E2:E391,"0001",F2:F391,"00")</f>
        <v>0</v>
      </c>
      <c r="CC394" s="462">
        <f>SUMIFS(CC2:CC391,G2:G391,"PRAA",E2:E391,"0001",F2:F391,"00")</f>
        <v>0</v>
      </c>
      <c r="CD394" s="462">
        <f>SUMIFS(CD2:CD391,G2:G391,"PRAA",E2:E391,"0001",F2:F391,"00")</f>
        <v>0</v>
      </c>
      <c r="CE394" s="462">
        <f>SUMIFS(CE2:CE391,G2:G391,"PRAA",E2:E391,"0001",F2:F391,"00")</f>
        <v>0</v>
      </c>
      <c r="CF394" s="462">
        <f>SUMIFS(CF2:CF391,G2:G391,"PRAA",E2:E391,"0001",F2:F391,"00")</f>
        <v>-1360.591232</v>
      </c>
      <c r="CG394" s="462">
        <f>SUMIFS(CG2:CG391,G2:G391,"PRAA",E2:E391,"0001",F2:F391,"00")</f>
        <v>0</v>
      </c>
      <c r="CH394" s="462">
        <f>SUMIFS(CH2:CH391,G2:G391,"PRAA",E2:E391,"0001",F2:F391,"00")</f>
        <v>2165.8391040000001</v>
      </c>
      <c r="CI394" s="462">
        <f>SUMIFS(CI2:CI391,G2:G391,"PRAA",E2:E391,"0001",F2:F391,"00")</f>
        <v>0</v>
      </c>
      <c r="CJ394" s="462">
        <f>SUMIFS(CJ2:CJ391,G2:G391,"PRAA",E2:E391,"0001",F2:F391,"00")</f>
        <v>805.24787200000048</v>
      </c>
      <c r="CK394" s="462">
        <f>SUMIFS(CK2:CK391,G2:G391,"PRAA",E2:E391,"0001",F2:F391,"00")</f>
        <v>0</v>
      </c>
      <c r="CL394" s="462">
        <f>SUMIFS(CL2:CL391,G2:G391,"PRAA",E2:E391,"0001",F2:F391,"00")</f>
        <v>10095</v>
      </c>
      <c r="CM394" s="462">
        <f>SUMIFS(CM2:CM391,G2:G391,"PRAA",E2:E391,"0001",F2:F391,"00")</f>
        <v>2201.4499999999998</v>
      </c>
    </row>
    <row r="395" spans="1:92" ht="18" x14ac:dyDescent="0.35">
      <c r="AQ395" s="468" t="s">
        <v>1091</v>
      </c>
      <c r="AS395" s="469">
        <f>SUM(AS394:AS394)</f>
        <v>4.7</v>
      </c>
      <c r="AT395" s="469">
        <f>SUM(AT394:AT394)</f>
        <v>0</v>
      </c>
      <c r="AU395" s="469">
        <f>SUM(AU394:AU394)</f>
        <v>5</v>
      </c>
      <c r="AV395" s="469">
        <f>SUM(AV394:AV394)</f>
        <v>0</v>
      </c>
      <c r="AW395" s="469">
        <f>SUM(AW394:AW394)</f>
        <v>10</v>
      </c>
      <c r="AX395" s="469">
        <f>SUM(AX394:AX394)</f>
        <v>299873.59999999998</v>
      </c>
      <c r="AY395" s="469">
        <f>SUM(AY394:AY394)</f>
        <v>277671.67999999999</v>
      </c>
      <c r="AZ395" s="469">
        <f>SUM(AZ394:AZ394)</f>
        <v>0</v>
      </c>
      <c r="BA395" s="469">
        <f>SUM(BA394:BA394)</f>
        <v>0</v>
      </c>
      <c r="BB395" s="469">
        <f>SUM(BB394:BB394)</f>
        <v>54755</v>
      </c>
      <c r="BC395" s="469">
        <f>SUM(BC394:BC394)</f>
        <v>0</v>
      </c>
      <c r="BD395" s="469">
        <f>SUM(BD394:BD394)</f>
        <v>17215.64416</v>
      </c>
      <c r="BE395" s="469">
        <f>SUM(BE394:BE394)</f>
        <v>4026.23936</v>
      </c>
      <c r="BF395" s="469">
        <f>SUM(BF394:BF394)</f>
        <v>33153.998592000004</v>
      </c>
      <c r="BG395" s="469">
        <f>SUM(BG394:BG394)</f>
        <v>2002.0128128000001</v>
      </c>
      <c r="BH395" s="469">
        <f>SUM(BH394:BH394)</f>
        <v>1360.591232</v>
      </c>
      <c r="BI395" s="469">
        <f>SUM(BI394:BI394)</f>
        <v>849.67534079999996</v>
      </c>
      <c r="BJ395" s="469">
        <f>SUM(BJ394:BJ394)</f>
        <v>7469.3681919999999</v>
      </c>
      <c r="BK395" s="469">
        <f>SUM(BK394:BK394)</f>
        <v>0</v>
      </c>
      <c r="BL395" s="469">
        <f>SUM(BL394:BL394)</f>
        <v>66077.529689600007</v>
      </c>
      <c r="BM395" s="469">
        <f>SUM(BM394:BM394)</f>
        <v>0</v>
      </c>
      <c r="BN395" s="469">
        <f>SUM(BN394:BN394)</f>
        <v>54755</v>
      </c>
      <c r="BO395" s="469">
        <f>SUM(BO394:BO394)</f>
        <v>0</v>
      </c>
      <c r="BP395" s="469">
        <f>SUM(BP394:BP394)</f>
        <v>17215.64416</v>
      </c>
      <c r="BQ395" s="469">
        <f>SUM(BQ394:BQ394)</f>
        <v>4026.23936</v>
      </c>
      <c r="BR395" s="469">
        <f>SUM(BR394:BR394)</f>
        <v>33153.998592000004</v>
      </c>
      <c r="BS395" s="469">
        <f>SUM(BS394:BS394)</f>
        <v>2002.0128128000001</v>
      </c>
      <c r="BT395" s="469">
        <f>SUM(BT394:BT394)</f>
        <v>0</v>
      </c>
      <c r="BU395" s="469">
        <f>SUM(BU394:BU394)</f>
        <v>849.67534079999996</v>
      </c>
      <c r="BV395" s="469">
        <f>SUM(BV394:BV394)</f>
        <v>9635.2072960000005</v>
      </c>
      <c r="BW395" s="469">
        <f>SUM(BW394:BW394)</f>
        <v>0</v>
      </c>
      <c r="BX395" s="469">
        <f>SUM(BX394:BX394)</f>
        <v>66882.7775616</v>
      </c>
      <c r="BY395" s="469">
        <f>SUM(BY394:BY394)</f>
        <v>0</v>
      </c>
      <c r="BZ395" s="469">
        <f>SUM(BZ394:BZ394)</f>
        <v>0</v>
      </c>
      <c r="CA395" s="469">
        <f>SUM(CA394:CA394)</f>
        <v>0</v>
      </c>
      <c r="CB395" s="469">
        <f>SUM(CB394:CB394)</f>
        <v>0</v>
      </c>
      <c r="CC395" s="469">
        <f>SUM(CC394:CC394)</f>
        <v>0</v>
      </c>
      <c r="CD395" s="469">
        <f>SUM(CD394:CD394)</f>
        <v>0</v>
      </c>
      <c r="CE395" s="469">
        <f>SUM(CE394:CE394)</f>
        <v>0</v>
      </c>
      <c r="CF395" s="469">
        <f>SUM(CF394:CF394)</f>
        <v>-1360.591232</v>
      </c>
      <c r="CG395" s="469">
        <f>SUM(CG394:CG394)</f>
        <v>0</v>
      </c>
      <c r="CH395" s="469">
        <f>SUM(CH394:CH394)</f>
        <v>2165.8391040000001</v>
      </c>
      <c r="CI395" s="469">
        <f>SUM(CI394:CI394)</f>
        <v>0</v>
      </c>
      <c r="CJ395" s="469">
        <f>SUM(CJ394:CJ394)</f>
        <v>805.24787200000048</v>
      </c>
      <c r="CK395" s="469">
        <f>SUM(CK394:CK394)</f>
        <v>0</v>
      </c>
      <c r="CL395" s="469">
        <f>SUM(CL394:CL394)</f>
        <v>10095</v>
      </c>
      <c r="CM395" s="469">
        <f>SUM(CM394:CM394)</f>
        <v>2201.4499999999998</v>
      </c>
    </row>
    <row r="396" spans="1:92" ht="15" thickBot="1" x14ac:dyDescent="0.35">
      <c r="AR396" t="s">
        <v>1098</v>
      </c>
      <c r="AS396" s="462">
        <f>SUMIFS(AS2:AS391,G2:G391,"PRAA",E2:E391,"0125",F2:F391,"00",AT2:AT391,1)</f>
        <v>3.5475000000000003</v>
      </c>
      <c r="AT396" s="462">
        <f>SUMIFS(AS2:AS391,G2:G391,"PRAA",E2:E391,"0125",F2:F391,"00",AT2:AT391,3)</f>
        <v>0</v>
      </c>
      <c r="AU396" s="462">
        <f>SUMIFS(AU2:AU391,G2:G391,"PRAA",E2:E391,"0125",F2:F391,"00")</f>
        <v>6.75</v>
      </c>
      <c r="AV396" s="462">
        <f>SUMIFS(AV2:AV391,G2:G391,"PRAA",E2:E391,"0125",F2:F391,"00")</f>
        <v>0</v>
      </c>
      <c r="AW396" s="462">
        <f>SUMIFS(AW2:AW391,G2:G391,"PRAA",E2:E391,"0125",F2:F391,"00")</f>
        <v>17</v>
      </c>
      <c r="AX396" s="462">
        <f>SUMIFS(AX2:AX391,G2:G391,"PRAA",E2:E391,"0125",F2:F391,"00")</f>
        <v>311823.2</v>
      </c>
      <c r="AY396" s="462">
        <f>SUMIFS(AY2:AY391,G2:G391,"PRAA",E2:E391,"0125",F2:F391,"00")</f>
        <v>167438.44</v>
      </c>
      <c r="AZ396" s="462">
        <f>SUMIFS(AZ2:AZ391,G2:G391,"PRAA",E2:E391,"0125",F2:F391,"00")</f>
        <v>0</v>
      </c>
      <c r="BA396" s="462">
        <f>SUMIFS(BA2:BA391,G2:G391,"PRAA",E2:E391,"0125",F2:F391,"00")</f>
        <v>0</v>
      </c>
      <c r="BB396" s="462">
        <f>SUMIFS(BB2:BB391,G2:G391,"PRAA",E2:E391,"0125",F2:F391,"00")</f>
        <v>42289.5</v>
      </c>
      <c r="BC396" s="462">
        <f>SUMIFS(BC2:BC391,G2:G391,"PRAA",E2:E391,"0125",F2:F391,"00")</f>
        <v>0</v>
      </c>
      <c r="BD396" s="462">
        <f>SUMIFS(BD2:BD391,G2:G391,"PRAA",E2:E391,"0125",F2:F391,"00")</f>
        <v>10381.183280000001</v>
      </c>
      <c r="BE396" s="462">
        <f>SUMIFS(BE2:BE391,G2:G391,"PRAA",E2:E391,"0125",F2:F391,"00")</f>
        <v>2427.8573800000004</v>
      </c>
      <c r="BF396" s="462">
        <f>SUMIFS(BF2:BF391,G2:G391,"PRAA",E2:E391,"0125",F2:F391,"00")</f>
        <v>19992.149735999999</v>
      </c>
      <c r="BG396" s="462">
        <f>SUMIFS(BG2:BG391,G2:G391,"PRAA",E2:E391,"0125",F2:F391,"00")</f>
        <v>1207.2311524000002</v>
      </c>
      <c r="BH396" s="462">
        <f>SUMIFS(BH2:BH391,G2:G391,"PRAA",E2:E391,"0125",F2:F391,"00")</f>
        <v>820.44835599999988</v>
      </c>
      <c r="BI396" s="462">
        <f>SUMIFS(BI2:BI391,G2:G391,"PRAA",E2:E391,"0125",F2:F391,"00")</f>
        <v>512.36162639999998</v>
      </c>
      <c r="BJ396" s="462">
        <f>SUMIFS(BJ2:BJ391,G2:G391,"PRAA",E2:E391,"0125",F2:F391,"00")</f>
        <v>4504.0940360000004</v>
      </c>
      <c r="BK396" s="462">
        <f>SUMIFS(BK2:BK391,G2:G391,"PRAA",E2:E391,"0125",F2:F391,"00")</f>
        <v>0</v>
      </c>
      <c r="BL396" s="462">
        <f>SUMIFS(BL2:BL391,G2:G391,"PRAA",E2:E391,"0125",F2:F391,"00")</f>
        <v>39845.325566800006</v>
      </c>
      <c r="BM396" s="462">
        <f>SUMIFS(BM2:BM391,G2:G391,"PRAA",E2:E391,"0125",F2:F391,"00")</f>
        <v>0</v>
      </c>
      <c r="BN396" s="462">
        <f>SUMIFS(BN2:BN391,G2:G391,"PRAA",E2:E391,"0125",F2:F391,"00")</f>
        <v>42289.5</v>
      </c>
      <c r="BO396" s="462">
        <f>SUMIFS(BO2:BO391,G2:G391,"PRAA",E2:E391,"0125",F2:F391,"00")</f>
        <v>0</v>
      </c>
      <c r="BP396" s="462">
        <f>SUMIFS(BP2:BP391,G2:G391,"PRAA",E2:E391,"0125",F2:F391,"00")</f>
        <v>10381.183280000001</v>
      </c>
      <c r="BQ396" s="462">
        <f>SUMIFS(BQ2:BQ391,G2:G391,"PRAA",E2:E391,"0125",F2:F391,"00")</f>
        <v>2427.8573800000004</v>
      </c>
      <c r="BR396" s="462">
        <f>SUMIFS(BR2:BR391,G2:G391,"PRAA",E2:E391,"0125",F2:F391,"00")</f>
        <v>19992.149735999999</v>
      </c>
      <c r="BS396" s="462">
        <f>SUMIFS(BS2:BS391,G2:G391,"PRAA",E2:E391,"0125",F2:F391,"00")</f>
        <v>1207.2311524000002</v>
      </c>
      <c r="BT396" s="462">
        <f>SUMIFS(BT2:BT391,G2:G391,"PRAA",E2:E391,"0125",F2:F391,"00")</f>
        <v>0</v>
      </c>
      <c r="BU396" s="462">
        <f>SUMIFS(BU2:BU391,G2:G391,"PRAA",E2:E391,"0125",F2:F391,"00")</f>
        <v>512.36162639999998</v>
      </c>
      <c r="BV396" s="462">
        <f>SUMIFS(BV2:BV391,G2:G391,"PRAA",E2:E391,"0125",F2:F391,"00")</f>
        <v>5810.1138680000013</v>
      </c>
      <c r="BW396" s="462">
        <f>SUMIFS(BW2:BW391,G2:G391,"PRAA",E2:E391,"0125",F2:F391,"00")</f>
        <v>0</v>
      </c>
      <c r="BX396" s="462">
        <f>SUMIFS(BX2:BX391,G2:G391,"PRAA",E2:E391,"0125",F2:F391,"00")</f>
        <v>40330.897042800003</v>
      </c>
      <c r="BY396" s="462">
        <f>SUMIFS(BY2:BY391,G2:G391,"PRAA",E2:E391,"0125",F2:F391,"00")</f>
        <v>0</v>
      </c>
      <c r="BZ396" s="462">
        <f>SUMIFS(BZ2:BZ391,G2:G391,"PRAA",E2:E391,"0125",F2:F391,"00")</f>
        <v>0</v>
      </c>
      <c r="CA396" s="462">
        <f>SUMIFS(CA2:CA391,G2:G391,"PRAA",E2:E391,"0125",F2:F391,"00")</f>
        <v>0</v>
      </c>
      <c r="CB396" s="462">
        <f>SUMIFS(CB2:CB391,G2:G391,"PRAA",E2:E391,"0125",F2:F391,"00")</f>
        <v>0</v>
      </c>
      <c r="CC396" s="462">
        <f>SUMIFS(CC2:CC391,G2:G391,"PRAA",E2:E391,"0125",F2:F391,"00")</f>
        <v>0</v>
      </c>
      <c r="CD396" s="462">
        <f>SUMIFS(CD2:CD391,G2:G391,"PRAA",E2:E391,"0125",F2:F391,"00")</f>
        <v>0</v>
      </c>
      <c r="CE396" s="462">
        <f>SUMIFS(CE2:CE391,G2:G391,"PRAA",E2:E391,"0125",F2:F391,"00")</f>
        <v>0</v>
      </c>
      <c r="CF396" s="462">
        <f>SUMIFS(CF2:CF391,G2:G391,"PRAA",E2:E391,"0125",F2:F391,"00")</f>
        <v>-820.44835599999988</v>
      </c>
      <c r="CG396" s="462">
        <f>SUMIFS(CG2:CG391,G2:G391,"PRAA",E2:E391,"0125",F2:F391,"00")</f>
        <v>0</v>
      </c>
      <c r="CH396" s="462">
        <f>SUMIFS(CH2:CH391,G2:G391,"PRAA",E2:E391,"0125",F2:F391,"00")</f>
        <v>1306.0198320000004</v>
      </c>
      <c r="CI396" s="462">
        <f>SUMIFS(CI2:CI391,G2:G391,"PRAA",E2:E391,"0125",F2:F391,"00")</f>
        <v>0</v>
      </c>
      <c r="CJ396" s="462">
        <f>SUMIFS(CJ2:CJ391,G2:G391,"PRAA",E2:E391,"0125",F2:F391,"00")</f>
        <v>485.5714760000003</v>
      </c>
      <c r="CK396" s="462">
        <f>SUMIFS(CK2:CK391,G2:G391,"PRAA",E2:E391,"0125",F2:F391,"00")</f>
        <v>0</v>
      </c>
      <c r="CL396" s="462">
        <f>SUMIFS(CL2:CL391,G2:G391,"PRAA",E2:E391,"0125",F2:F391,"00")</f>
        <v>0</v>
      </c>
      <c r="CM396" s="462">
        <f>SUMIFS(CM2:CM391,G2:G391,"PRAA",E2:E391,"0125",F2:F391,"00")</f>
        <v>0</v>
      </c>
    </row>
    <row r="397" spans="1:92" ht="18" x14ac:dyDescent="0.35">
      <c r="AQ397" s="468" t="s">
        <v>1099</v>
      </c>
      <c r="AS397" s="469">
        <f>SUM(AS396:AS396)</f>
        <v>3.5475000000000003</v>
      </c>
      <c r="AT397" s="469">
        <f>SUM(AT396:AT396)</f>
        <v>0</v>
      </c>
      <c r="AU397" s="469">
        <f>SUM(AU396:AU396)</f>
        <v>6.75</v>
      </c>
      <c r="AV397" s="469">
        <f>SUM(AV396:AV396)</f>
        <v>0</v>
      </c>
      <c r="AW397" s="469">
        <f>SUM(AW396:AW396)</f>
        <v>17</v>
      </c>
      <c r="AX397" s="469">
        <f>SUM(AX396:AX396)</f>
        <v>311823.2</v>
      </c>
      <c r="AY397" s="469">
        <f>SUM(AY396:AY396)</f>
        <v>167438.44</v>
      </c>
      <c r="AZ397" s="469">
        <f>SUM(AZ396:AZ396)</f>
        <v>0</v>
      </c>
      <c r="BA397" s="469">
        <f>SUM(BA396:BA396)</f>
        <v>0</v>
      </c>
      <c r="BB397" s="469">
        <f>SUM(BB396:BB396)</f>
        <v>42289.5</v>
      </c>
      <c r="BC397" s="469">
        <f>SUM(BC396:BC396)</f>
        <v>0</v>
      </c>
      <c r="BD397" s="469">
        <f>SUM(BD396:BD396)</f>
        <v>10381.183280000001</v>
      </c>
      <c r="BE397" s="469">
        <f>SUM(BE396:BE396)</f>
        <v>2427.8573800000004</v>
      </c>
      <c r="BF397" s="469">
        <f>SUM(BF396:BF396)</f>
        <v>19992.149735999999</v>
      </c>
      <c r="BG397" s="469">
        <f>SUM(BG396:BG396)</f>
        <v>1207.2311524000002</v>
      </c>
      <c r="BH397" s="469">
        <f>SUM(BH396:BH396)</f>
        <v>820.44835599999988</v>
      </c>
      <c r="BI397" s="469">
        <f>SUM(BI396:BI396)</f>
        <v>512.36162639999998</v>
      </c>
      <c r="BJ397" s="469">
        <f>SUM(BJ396:BJ396)</f>
        <v>4504.0940360000004</v>
      </c>
      <c r="BK397" s="469">
        <f>SUM(BK396:BK396)</f>
        <v>0</v>
      </c>
      <c r="BL397" s="469">
        <f>SUM(BL396:BL396)</f>
        <v>39845.325566800006</v>
      </c>
      <c r="BM397" s="469">
        <f>SUM(BM396:BM396)</f>
        <v>0</v>
      </c>
      <c r="BN397" s="469">
        <f>SUM(BN396:BN396)</f>
        <v>42289.5</v>
      </c>
      <c r="BO397" s="469">
        <f>SUM(BO396:BO396)</f>
        <v>0</v>
      </c>
      <c r="BP397" s="469">
        <f>SUM(BP396:BP396)</f>
        <v>10381.183280000001</v>
      </c>
      <c r="BQ397" s="469">
        <f>SUM(BQ396:BQ396)</f>
        <v>2427.8573800000004</v>
      </c>
      <c r="BR397" s="469">
        <f>SUM(BR396:BR396)</f>
        <v>19992.149735999999</v>
      </c>
      <c r="BS397" s="469">
        <f>SUM(BS396:BS396)</f>
        <v>1207.2311524000002</v>
      </c>
      <c r="BT397" s="469">
        <f>SUM(BT396:BT396)</f>
        <v>0</v>
      </c>
      <c r="BU397" s="469">
        <f>SUM(BU396:BU396)</f>
        <v>512.36162639999998</v>
      </c>
      <c r="BV397" s="469">
        <f>SUM(BV396:BV396)</f>
        <v>5810.1138680000013</v>
      </c>
      <c r="BW397" s="469">
        <f>SUM(BW396:BW396)</f>
        <v>0</v>
      </c>
      <c r="BX397" s="469">
        <f>SUM(BX396:BX396)</f>
        <v>40330.897042800003</v>
      </c>
      <c r="BY397" s="469">
        <f>SUM(BY396:BY396)</f>
        <v>0</v>
      </c>
      <c r="BZ397" s="469">
        <f>SUM(BZ396:BZ396)</f>
        <v>0</v>
      </c>
      <c r="CA397" s="469">
        <f>SUM(CA396:CA396)</f>
        <v>0</v>
      </c>
      <c r="CB397" s="469">
        <f>SUM(CB396:CB396)</f>
        <v>0</v>
      </c>
      <c r="CC397" s="469">
        <f>SUM(CC396:CC396)</f>
        <v>0</v>
      </c>
      <c r="CD397" s="469">
        <f>SUM(CD396:CD396)</f>
        <v>0</v>
      </c>
      <c r="CE397" s="469">
        <f>SUM(CE396:CE396)</f>
        <v>0</v>
      </c>
      <c r="CF397" s="469">
        <f>SUM(CF396:CF396)</f>
        <v>-820.44835599999988</v>
      </c>
      <c r="CG397" s="469">
        <f>SUM(CG396:CG396)</f>
        <v>0</v>
      </c>
      <c r="CH397" s="469">
        <f>SUM(CH396:CH396)</f>
        <v>1306.0198320000004</v>
      </c>
      <c r="CI397" s="469">
        <f>SUM(CI396:CI396)</f>
        <v>0</v>
      </c>
      <c r="CJ397" s="469">
        <f>SUM(CJ396:CJ396)</f>
        <v>485.5714760000003</v>
      </c>
      <c r="CK397" s="469">
        <f>SUM(CK396:CK396)</f>
        <v>0</v>
      </c>
      <c r="CL397" s="469">
        <f>SUM(CL396:CL396)</f>
        <v>0</v>
      </c>
      <c r="CM397" s="469">
        <f>SUM(CM396:CM396)</f>
        <v>0</v>
      </c>
    </row>
    <row r="398" spans="1:92" x14ac:dyDescent="0.3">
      <c r="AR398" t="s">
        <v>1104</v>
      </c>
      <c r="AS398" s="462">
        <f>SUMIFS(AS2:AS391,G2:G391,"PRAA",E2:E391,"0243",F2:F391,"00",AT2:AT391,1)</f>
        <v>11.4</v>
      </c>
      <c r="AT398" s="462">
        <f>SUMIFS(AS2:AS391,G2:G391,"PRAA",E2:E391,"0243",F2:F391,"00",AT2:AT391,3)</f>
        <v>0</v>
      </c>
      <c r="AU398" s="462">
        <f>SUMIFS(AU2:AU391,G2:G391,"PRAA",E2:E391,"0243",F2:F391,"00")</f>
        <v>19</v>
      </c>
      <c r="AV398" s="462">
        <f>SUMIFS(AV2:AV391,G2:G391,"PRAA",E2:E391,"0243",F2:F391,"00")</f>
        <v>0</v>
      </c>
      <c r="AW398" s="462">
        <f>SUMIFS(AW2:AW391,G2:G391,"PRAA",E2:E391,"0243",F2:F391,"00")</f>
        <v>42</v>
      </c>
      <c r="AX398" s="462">
        <f>SUMIFS(AX2:AX391,G2:G391,"PRAA",E2:E391,"0243",F2:F391,"00")</f>
        <v>1085344</v>
      </c>
      <c r="AY398" s="462">
        <f>SUMIFS(AY2:AY391,G2:G391,"PRAA",E2:E391,"0243",F2:F391,"00")</f>
        <v>645815.04000000015</v>
      </c>
      <c r="AZ398" s="462">
        <f>SUMIFS(AZ2:AZ391,G2:G391,"PRAA",E2:E391,"0243",F2:F391,"00")</f>
        <v>0</v>
      </c>
      <c r="BA398" s="462">
        <f>SUMIFS(BA2:BA391,G2:G391,"PRAA",E2:E391,"0243",F2:F391,"00")</f>
        <v>0</v>
      </c>
      <c r="BB398" s="462">
        <f>SUMIFS(BB2:BB391,G2:G391,"PRAA",E2:E391,"0243",F2:F391,"00")</f>
        <v>132810</v>
      </c>
      <c r="BC398" s="462">
        <f>SUMIFS(BC2:BC391,G2:G391,"PRAA",E2:E391,"0243",F2:F391,"00")</f>
        <v>0</v>
      </c>
      <c r="BD398" s="462">
        <f>SUMIFS(BD2:BD391,G2:G391,"PRAA",E2:E391,"0243",F2:F391,"00")</f>
        <v>39850.336319999995</v>
      </c>
      <c r="BE398" s="462">
        <f>SUMIFS(BE2:BE391,G2:G391,"PRAA",E2:E391,"0243",F2:F391,"00")</f>
        <v>9364.3180799999991</v>
      </c>
      <c r="BF398" s="462">
        <f>SUMIFS(BF2:BF391,G2:G391,"PRAA",E2:E391,"0243",F2:F391,"00")</f>
        <v>77110.315776000018</v>
      </c>
      <c r="BG398" s="462">
        <f>SUMIFS(BG2:BG391,G2:G391,"PRAA",E2:E391,"0243",F2:F391,"00")</f>
        <v>4656.3264383999995</v>
      </c>
      <c r="BH398" s="462">
        <f>SUMIFS(BH2:BH391,G2:G391,"PRAA",E2:E391,"0243",F2:F391,"00")</f>
        <v>3164.493696</v>
      </c>
      <c r="BI398" s="462">
        <f>SUMIFS(BI2:BI391,G2:G391,"PRAA",E2:E391,"0243",F2:F391,"00")</f>
        <v>1374.9368255999998</v>
      </c>
      <c r="BJ398" s="462">
        <f>SUMIFS(BJ2:BJ391,G2:G391,"PRAA",E2:E391,"0243",F2:F391,"00")</f>
        <v>17372.424576000001</v>
      </c>
      <c r="BK398" s="462">
        <f>SUMIFS(BK2:BK391,G2:G391,"PRAA",E2:E391,"0243",F2:F391,"00")</f>
        <v>0</v>
      </c>
      <c r="BL398" s="462">
        <f>SUMIFS(BL2:BL391,G2:G391,"PRAA",E2:E391,"0243",F2:F391,"00")</f>
        <v>152893.15171199999</v>
      </c>
      <c r="BM398" s="462">
        <f>SUMIFS(BM2:BM391,G2:G391,"PRAA",E2:E391,"0243",F2:F391,"00")</f>
        <v>0</v>
      </c>
      <c r="BN398" s="462">
        <f>SUMIFS(BN2:BN391,G2:G391,"PRAA",E2:E391,"0243",F2:F391,"00")</f>
        <v>132810</v>
      </c>
      <c r="BO398" s="462">
        <f>SUMIFS(BO2:BO391,G2:G391,"PRAA",E2:E391,"0243",F2:F391,"00")</f>
        <v>0</v>
      </c>
      <c r="BP398" s="462">
        <f>SUMIFS(BP2:BP391,G2:G391,"PRAA",E2:E391,"0243",F2:F391,"00")</f>
        <v>40040.056319999996</v>
      </c>
      <c r="BQ398" s="462">
        <f>SUMIFS(BQ2:BQ391,G2:G391,"PRAA",E2:E391,"0243",F2:F391,"00")</f>
        <v>9364.3180799999991</v>
      </c>
      <c r="BR398" s="462">
        <f>SUMIFS(BR2:BR391,G2:G391,"PRAA",E2:E391,"0243",F2:F391,"00")</f>
        <v>77110.315776000018</v>
      </c>
      <c r="BS398" s="462">
        <f>SUMIFS(BS2:BS391,G2:G391,"PRAA",E2:E391,"0243",F2:F391,"00")</f>
        <v>4656.3264383999995</v>
      </c>
      <c r="BT398" s="462">
        <f>SUMIFS(BT2:BT391,G2:G391,"PRAA",E2:E391,"0243",F2:F391,"00")</f>
        <v>0</v>
      </c>
      <c r="BU398" s="462">
        <f>SUMIFS(BU2:BU391,G2:G391,"PRAA",E2:E391,"0243",F2:F391,"00")</f>
        <v>1374.9368255999998</v>
      </c>
      <c r="BV398" s="462">
        <f>SUMIFS(BV2:BV391,G2:G391,"PRAA",E2:E391,"0243",F2:F391,"00")</f>
        <v>22409.781887999998</v>
      </c>
      <c r="BW398" s="462">
        <f>SUMIFS(BW2:BW391,G2:G391,"PRAA",E2:E391,"0243",F2:F391,"00")</f>
        <v>0</v>
      </c>
      <c r="BX398" s="462">
        <f>SUMIFS(BX2:BX391,G2:G391,"PRAA",E2:E391,"0243",F2:F391,"00")</f>
        <v>154955.73532799998</v>
      </c>
      <c r="BY398" s="462">
        <f>SUMIFS(BY2:BY391,G2:G391,"PRAA",E2:E391,"0243",F2:F391,"00")</f>
        <v>0</v>
      </c>
      <c r="BZ398" s="462">
        <f>SUMIFS(BZ2:BZ391,G2:G391,"PRAA",E2:E391,"0243",F2:F391,"00")</f>
        <v>0</v>
      </c>
      <c r="CA398" s="462">
        <f>SUMIFS(CA2:CA391,G2:G391,"PRAA",E2:E391,"0243",F2:F391,"00")</f>
        <v>0</v>
      </c>
      <c r="CB398" s="462">
        <f>SUMIFS(CB2:CB391,G2:G391,"PRAA",E2:E391,"0243",F2:F391,"00")</f>
        <v>189.72000000000025</v>
      </c>
      <c r="CC398" s="462">
        <f>SUMIFS(CC2:CC391,G2:G391,"PRAA",E2:E391,"0243",F2:F391,"00")</f>
        <v>0</v>
      </c>
      <c r="CD398" s="462">
        <f>SUMIFS(CD2:CD391,G2:G391,"PRAA",E2:E391,"0243",F2:F391,"00")</f>
        <v>0</v>
      </c>
      <c r="CE398" s="462">
        <f>SUMIFS(CE2:CE391,G2:G391,"PRAA",E2:E391,"0243",F2:F391,"00")</f>
        <v>0</v>
      </c>
      <c r="CF398" s="462">
        <f>SUMIFS(CF2:CF391,G2:G391,"PRAA",E2:E391,"0243",F2:F391,"00")</f>
        <v>-3164.493696</v>
      </c>
      <c r="CG398" s="462">
        <f>SUMIFS(CG2:CG391,G2:G391,"PRAA",E2:E391,"0243",F2:F391,"00")</f>
        <v>0</v>
      </c>
      <c r="CH398" s="462">
        <f>SUMIFS(CH2:CH391,G2:G391,"PRAA",E2:E391,"0243",F2:F391,"00")</f>
        <v>5037.3573120000001</v>
      </c>
      <c r="CI398" s="462">
        <f>SUMIFS(CI2:CI391,G2:G391,"PRAA",E2:E391,"0243",F2:F391,"00")</f>
        <v>0</v>
      </c>
      <c r="CJ398" s="462">
        <f>SUMIFS(CJ2:CJ391,G2:G391,"PRAA",E2:E391,"0243",F2:F391,"00")</f>
        <v>2062.5836160000013</v>
      </c>
      <c r="CK398" s="462">
        <f>SUMIFS(CK2:CK391,G2:G391,"PRAA",E2:E391,"0243",F2:F391,"00")</f>
        <v>0</v>
      </c>
      <c r="CL398" s="462">
        <f>SUMIFS(CL2:CL391,G2:G391,"PRAA",E2:E391,"0243",F2:F391,"00")</f>
        <v>6950</v>
      </c>
      <c r="CM398" s="462">
        <f>SUMIFS(CM2:CM391,G2:G391,"PRAA",E2:E391,"0243",F2:F391,"00")</f>
        <v>1034.68</v>
      </c>
    </row>
    <row r="399" spans="1:92" ht="15" thickBot="1" x14ac:dyDescent="0.35">
      <c r="AR399" t="s">
        <v>1105</v>
      </c>
      <c r="AS399" s="462">
        <f>SUMIFS(AS2:AS391,G2:G391,"PRAA",E2:E391,"0243",F2:F391,"02",AT2:AT391,1)</f>
        <v>5.33</v>
      </c>
      <c r="AT399" s="462">
        <f>SUMIFS(AS2:AS391,G2:G391,"PRAA",E2:E391,"0243",F2:F391,"02",AT2:AT391,3)</f>
        <v>0</v>
      </c>
      <c r="AU399" s="462">
        <f>SUMIFS(AU2:AU391,G2:G391,"PRAA",E2:E391,"0243",F2:F391,"02")</f>
        <v>6</v>
      </c>
      <c r="AV399" s="462">
        <f>SUMIFS(AV2:AV391,G2:G391,"PRAA",E2:E391,"0243",F2:F391,"02")</f>
        <v>0</v>
      </c>
      <c r="AW399" s="462">
        <f>SUMIFS(AW2:AW391,G2:G391,"PRAA",E2:E391,"0243",F2:F391,"02")</f>
        <v>8</v>
      </c>
      <c r="AX399" s="462">
        <f>SUMIFS(AX2:AX391,G2:G391,"PRAA",E2:E391,"0243",F2:F391,"02")</f>
        <v>226990.4</v>
      </c>
      <c r="AY399" s="462">
        <f>SUMIFS(AY2:AY391,G2:G391,"PRAA",E2:E391,"0243",F2:F391,"02")</f>
        <v>183370.72</v>
      </c>
      <c r="AZ399" s="462">
        <f>SUMIFS(AZ2:AZ391,G2:G391,"PRAA",E2:E391,"0243",F2:F391,"02")</f>
        <v>0</v>
      </c>
      <c r="BA399" s="462">
        <f>SUMIFS(BA2:BA391,G2:G391,"PRAA",E2:E391,"0243",F2:F391,"02")</f>
        <v>0</v>
      </c>
      <c r="BB399" s="462">
        <f>SUMIFS(BB2:BB391,G2:G391,"PRAA",E2:E391,"0243",F2:F391,"02")</f>
        <v>62094.5</v>
      </c>
      <c r="BC399" s="462">
        <f>SUMIFS(BC2:BC391,G2:G391,"PRAA",E2:E391,"0243",F2:F391,"02")</f>
        <v>0</v>
      </c>
      <c r="BD399" s="462">
        <f>SUMIFS(BD2:BD391,G2:G391,"PRAA",E2:E391,"0243",F2:F391,"02")</f>
        <v>11368.984640000001</v>
      </c>
      <c r="BE399" s="462">
        <f>SUMIFS(BE2:BE391,G2:G391,"PRAA",E2:E391,"0243",F2:F391,"02")</f>
        <v>2658.8754400000003</v>
      </c>
      <c r="BF399" s="462">
        <f>SUMIFS(BF2:BF391,G2:G391,"PRAA",E2:E391,"0243",F2:F391,"02")</f>
        <v>21894.463968</v>
      </c>
      <c r="BG399" s="462">
        <f>SUMIFS(BG2:BG391,G2:G391,"PRAA",E2:E391,"0243",F2:F391,"02")</f>
        <v>1322.1028911999999</v>
      </c>
      <c r="BH399" s="462">
        <f>SUMIFS(BH2:BH391,G2:G391,"PRAA",E2:E391,"0243",F2:F391,"02")</f>
        <v>898.51652800000011</v>
      </c>
      <c r="BI399" s="462">
        <f>SUMIFS(BI2:BI391,G2:G391,"PRAA",E2:E391,"0243",F2:F391,"02")</f>
        <v>561.11440319999997</v>
      </c>
      <c r="BJ399" s="462">
        <f>SUMIFS(BJ2:BJ391,G2:G391,"PRAA",E2:E391,"0243",F2:F391,"02")</f>
        <v>4932.6723680000005</v>
      </c>
      <c r="BK399" s="462">
        <f>SUMIFS(BK2:BK391,G2:G391,"PRAA",E2:E391,"0243",F2:F391,"02")</f>
        <v>0</v>
      </c>
      <c r="BL399" s="462">
        <f>SUMIFS(BL2:BL391,G2:G391,"PRAA",E2:E391,"0243",F2:F391,"02")</f>
        <v>43636.7302384</v>
      </c>
      <c r="BM399" s="462">
        <f>SUMIFS(BM2:BM391,G2:G391,"PRAA",E2:E391,"0243",F2:F391,"02")</f>
        <v>0</v>
      </c>
      <c r="BN399" s="462">
        <f>SUMIFS(BN2:BN391,G2:G391,"PRAA",E2:E391,"0243",F2:F391,"02")</f>
        <v>62094.5</v>
      </c>
      <c r="BO399" s="462">
        <f>SUMIFS(BO2:BO391,G2:G391,"PRAA",E2:E391,"0243",F2:F391,"02")</f>
        <v>0</v>
      </c>
      <c r="BP399" s="462">
        <f>SUMIFS(BP2:BP391,G2:G391,"PRAA",E2:E391,"0243",F2:F391,"02")</f>
        <v>11368.984640000001</v>
      </c>
      <c r="BQ399" s="462">
        <f>SUMIFS(BQ2:BQ391,G2:G391,"PRAA",E2:E391,"0243",F2:F391,"02")</f>
        <v>2658.8754400000003</v>
      </c>
      <c r="BR399" s="462">
        <f>SUMIFS(BR2:BR391,G2:G391,"PRAA",E2:E391,"0243",F2:F391,"02")</f>
        <v>21894.463968</v>
      </c>
      <c r="BS399" s="462">
        <f>SUMIFS(BS2:BS391,G2:G391,"PRAA",E2:E391,"0243",F2:F391,"02")</f>
        <v>1322.1028911999999</v>
      </c>
      <c r="BT399" s="462">
        <f>SUMIFS(BT2:BT391,G2:G391,"PRAA",E2:E391,"0243",F2:F391,"02")</f>
        <v>0</v>
      </c>
      <c r="BU399" s="462">
        <f>SUMIFS(BU2:BU391,G2:G391,"PRAA",E2:E391,"0243",F2:F391,"02")</f>
        <v>561.11440319999997</v>
      </c>
      <c r="BV399" s="462">
        <f>SUMIFS(BV2:BV391,G2:G391,"PRAA",E2:E391,"0243",F2:F391,"02")</f>
        <v>6362.9639840000009</v>
      </c>
      <c r="BW399" s="462">
        <f>SUMIFS(BW2:BW391,G2:G391,"PRAA",E2:E391,"0243",F2:F391,"02")</f>
        <v>0</v>
      </c>
      <c r="BX399" s="462">
        <f>SUMIFS(BX2:BX391,G2:G391,"PRAA",E2:E391,"0243",F2:F391,"02")</f>
        <v>44168.505326400002</v>
      </c>
      <c r="BY399" s="462">
        <f>SUMIFS(BY2:BY391,G2:G391,"PRAA",E2:E391,"0243",F2:F391,"02")</f>
        <v>0</v>
      </c>
      <c r="BZ399" s="462">
        <f>SUMIFS(BZ2:BZ391,G2:G391,"PRAA",E2:E391,"0243",F2:F391,"02")</f>
        <v>0</v>
      </c>
      <c r="CA399" s="462">
        <f>SUMIFS(CA2:CA391,G2:G391,"PRAA",E2:E391,"0243",F2:F391,"02")</f>
        <v>0</v>
      </c>
      <c r="CB399" s="462">
        <f>SUMIFS(CB2:CB391,G2:G391,"PRAA",E2:E391,"0243",F2:F391,"02")</f>
        <v>0</v>
      </c>
      <c r="CC399" s="462">
        <f>SUMIFS(CC2:CC391,G2:G391,"PRAA",E2:E391,"0243",F2:F391,"02")</f>
        <v>0</v>
      </c>
      <c r="CD399" s="462">
        <f>SUMIFS(CD2:CD391,G2:G391,"PRAA",E2:E391,"0243",F2:F391,"02")</f>
        <v>0</v>
      </c>
      <c r="CE399" s="462">
        <f>SUMIFS(CE2:CE391,G2:G391,"PRAA",E2:E391,"0243",F2:F391,"02")</f>
        <v>0</v>
      </c>
      <c r="CF399" s="462">
        <f>SUMIFS(CF2:CF391,G2:G391,"PRAA",E2:E391,"0243",F2:F391,"02")</f>
        <v>-898.51652800000011</v>
      </c>
      <c r="CG399" s="462">
        <f>SUMIFS(CG2:CG391,G2:G391,"PRAA",E2:E391,"0243",F2:F391,"02")</f>
        <v>0</v>
      </c>
      <c r="CH399" s="462">
        <f>SUMIFS(CH2:CH391,G2:G391,"PRAA",E2:E391,"0243",F2:F391,"02")</f>
        <v>1430.2916160000004</v>
      </c>
      <c r="CI399" s="462">
        <f>SUMIFS(CI2:CI391,G2:G391,"PRAA",E2:E391,"0243",F2:F391,"02")</f>
        <v>0</v>
      </c>
      <c r="CJ399" s="462">
        <f>SUMIFS(CJ2:CJ391,G2:G391,"PRAA",E2:E391,"0243",F2:F391,"02")</f>
        <v>531.77508800000021</v>
      </c>
      <c r="CK399" s="462">
        <f>SUMIFS(CK2:CK391,G2:G391,"PRAA",E2:E391,"0243",F2:F391,"02")</f>
        <v>0</v>
      </c>
      <c r="CL399" s="462">
        <f>SUMIFS(CL2:CL391,G2:G391,"PRAA",E2:E391,"0243",F2:F391,"02")</f>
        <v>0</v>
      </c>
      <c r="CM399" s="462">
        <f>SUMIFS(CM2:CM391,G2:G391,"PRAA",E2:E391,"0243",F2:F391,"02")</f>
        <v>0</v>
      </c>
    </row>
    <row r="400" spans="1:92" ht="18" x14ac:dyDescent="0.35">
      <c r="AQ400" s="468" t="s">
        <v>1106</v>
      </c>
      <c r="AS400" s="469">
        <f>SUM(AS398:AS399)</f>
        <v>16.73</v>
      </c>
      <c r="AT400" s="469">
        <f>SUM(AT398:AT399)</f>
        <v>0</v>
      </c>
      <c r="AU400" s="469">
        <f>SUM(AU398:AU399)</f>
        <v>25</v>
      </c>
      <c r="AV400" s="469">
        <f>SUM(AV398:AV399)</f>
        <v>0</v>
      </c>
      <c r="AW400" s="469">
        <f>SUM(AW398:AW399)</f>
        <v>50</v>
      </c>
      <c r="AX400" s="469">
        <f>SUM(AX398:AX399)</f>
        <v>1312334.3999999999</v>
      </c>
      <c r="AY400" s="469">
        <f>SUM(AY398:AY399)</f>
        <v>829185.76000000013</v>
      </c>
      <c r="AZ400" s="469">
        <f>SUM(AZ398:AZ399)</f>
        <v>0</v>
      </c>
      <c r="BA400" s="469">
        <f>SUM(BA398:BA399)</f>
        <v>0</v>
      </c>
      <c r="BB400" s="469">
        <f>SUM(BB398:BB399)</f>
        <v>194904.5</v>
      </c>
      <c r="BC400" s="469">
        <f>SUM(BC398:BC399)</f>
        <v>0</v>
      </c>
      <c r="BD400" s="469">
        <f>SUM(BD398:BD399)</f>
        <v>51219.320959999997</v>
      </c>
      <c r="BE400" s="469">
        <f>SUM(BE398:BE399)</f>
        <v>12023.193519999999</v>
      </c>
      <c r="BF400" s="469">
        <f>SUM(BF398:BF399)</f>
        <v>99004.779744000014</v>
      </c>
      <c r="BG400" s="469">
        <f>SUM(BG398:BG399)</f>
        <v>5978.4293295999996</v>
      </c>
      <c r="BH400" s="469">
        <f>SUM(BH398:BH399)</f>
        <v>4063.0102240000001</v>
      </c>
      <c r="BI400" s="469">
        <f>SUM(BI398:BI399)</f>
        <v>1936.0512287999998</v>
      </c>
      <c r="BJ400" s="469">
        <f>SUM(BJ398:BJ399)</f>
        <v>22305.096944000001</v>
      </c>
      <c r="BK400" s="469">
        <f>SUM(BK398:BK399)</f>
        <v>0</v>
      </c>
      <c r="BL400" s="469">
        <f>SUM(BL398:BL399)</f>
        <v>196529.88195039998</v>
      </c>
      <c r="BM400" s="469">
        <f>SUM(BM398:BM399)</f>
        <v>0</v>
      </c>
      <c r="BN400" s="469">
        <f>SUM(BN398:BN399)</f>
        <v>194904.5</v>
      </c>
      <c r="BO400" s="469">
        <f>SUM(BO398:BO399)</f>
        <v>0</v>
      </c>
      <c r="BP400" s="469">
        <f>SUM(BP398:BP399)</f>
        <v>51409.040959999998</v>
      </c>
      <c r="BQ400" s="469">
        <f>SUM(BQ398:BQ399)</f>
        <v>12023.193519999999</v>
      </c>
      <c r="BR400" s="469">
        <f>SUM(BR398:BR399)</f>
        <v>99004.779744000014</v>
      </c>
      <c r="BS400" s="469">
        <f>SUM(BS398:BS399)</f>
        <v>5978.4293295999996</v>
      </c>
      <c r="BT400" s="469">
        <f>SUM(BT398:BT399)</f>
        <v>0</v>
      </c>
      <c r="BU400" s="469">
        <f>SUM(BU398:BU399)</f>
        <v>1936.0512287999998</v>
      </c>
      <c r="BV400" s="469">
        <f>SUM(BV398:BV399)</f>
        <v>28772.745872</v>
      </c>
      <c r="BW400" s="469">
        <f>SUM(BW398:BW399)</f>
        <v>0</v>
      </c>
      <c r="BX400" s="469">
        <f>SUM(BX398:BX399)</f>
        <v>199124.24065439997</v>
      </c>
      <c r="BY400" s="469">
        <f>SUM(BY398:BY399)</f>
        <v>0</v>
      </c>
      <c r="BZ400" s="469">
        <f>SUM(BZ398:BZ399)</f>
        <v>0</v>
      </c>
      <c r="CA400" s="469">
        <f>SUM(CA398:CA399)</f>
        <v>0</v>
      </c>
      <c r="CB400" s="469">
        <f>SUM(CB398:CB399)</f>
        <v>189.72000000000025</v>
      </c>
      <c r="CC400" s="469">
        <f>SUM(CC398:CC399)</f>
        <v>0</v>
      </c>
      <c r="CD400" s="469">
        <f>SUM(CD398:CD399)</f>
        <v>0</v>
      </c>
      <c r="CE400" s="469">
        <f>SUM(CE398:CE399)</f>
        <v>0</v>
      </c>
      <c r="CF400" s="469">
        <f>SUM(CF398:CF399)</f>
        <v>-4063.0102240000001</v>
      </c>
      <c r="CG400" s="469">
        <f>SUM(CG398:CG399)</f>
        <v>0</v>
      </c>
      <c r="CH400" s="469">
        <f>SUM(CH398:CH399)</f>
        <v>6467.6489280000005</v>
      </c>
      <c r="CI400" s="469">
        <f>SUM(CI398:CI399)</f>
        <v>0</v>
      </c>
      <c r="CJ400" s="469">
        <f>SUM(CJ398:CJ399)</f>
        <v>2594.3587040000016</v>
      </c>
      <c r="CK400" s="469">
        <f>SUM(CK398:CK399)</f>
        <v>0</v>
      </c>
      <c r="CL400" s="469">
        <f>SUM(CL398:CL399)</f>
        <v>6950</v>
      </c>
      <c r="CM400" s="469">
        <f>SUM(CM398:CM399)</f>
        <v>1034.68</v>
      </c>
    </row>
    <row r="401" spans="43:91" x14ac:dyDescent="0.3">
      <c r="AR401" t="s">
        <v>1111</v>
      </c>
      <c r="AS401" s="462">
        <f>SUMIFS(AS2:AS391,G2:G391,"PRAA",E2:E391,"0247",F2:F391,"00",AT2:AT391,1)</f>
        <v>0</v>
      </c>
      <c r="AT401" s="462">
        <f>SUMIFS(AS2:AS391,G2:G391,"PRAA",E2:E391,"0247",F2:F391,"00",AT2:AT391,3)</f>
        <v>0</v>
      </c>
      <c r="AU401" s="462">
        <f>SUMIFS(AU2:AU391,G2:G391,"PRAA",E2:E391,"0247",F2:F391,"00")</f>
        <v>0</v>
      </c>
      <c r="AV401" s="462">
        <f>SUMIFS(AV2:AV391,G2:G391,"PRAA",E2:E391,"0247",F2:F391,"00")</f>
        <v>0</v>
      </c>
      <c r="AW401" s="462">
        <f>SUMIFS(AW2:AW391,G2:G391,"PRAA",E2:E391,"0247",F2:F391,"00")</f>
        <v>0</v>
      </c>
      <c r="AX401" s="462">
        <f>SUMIFS(AX2:AX391,G2:G391,"PRAA",E2:E391,"0247",F2:F391,"00")</f>
        <v>0</v>
      </c>
      <c r="AY401" s="462">
        <f>SUMIFS(AY2:AY391,G2:G391,"PRAA",E2:E391,"0247",F2:F391,"00")</f>
        <v>0</v>
      </c>
      <c r="AZ401" s="462">
        <f>SUMIFS(AZ2:AZ391,G2:G391,"PRAA",E2:E391,"0247",F2:F391,"00")</f>
        <v>0</v>
      </c>
      <c r="BA401" s="462">
        <f>SUMIFS(BA2:BA391,G2:G391,"PRAA",E2:E391,"0247",F2:F391,"00")</f>
        <v>0</v>
      </c>
      <c r="BB401" s="462">
        <f>SUMIFS(BB2:BB391,G2:G391,"PRAA",E2:E391,"0247",F2:F391,"00")</f>
        <v>0</v>
      </c>
      <c r="BC401" s="462">
        <f>SUMIFS(BC2:BC391,G2:G391,"PRAA",E2:E391,"0247",F2:F391,"00")</f>
        <v>0</v>
      </c>
      <c r="BD401" s="462">
        <f>SUMIFS(BD2:BD391,G2:G391,"PRAA",E2:E391,"0247",F2:F391,"00")</f>
        <v>0</v>
      </c>
      <c r="BE401" s="462">
        <f>SUMIFS(BE2:BE391,G2:G391,"PRAA",E2:E391,"0247",F2:F391,"00")</f>
        <v>0</v>
      </c>
      <c r="BF401" s="462">
        <f>SUMIFS(BF2:BF391,G2:G391,"PRAA",E2:E391,"0247",F2:F391,"00")</f>
        <v>0</v>
      </c>
      <c r="BG401" s="462">
        <f>SUMIFS(BG2:BG391,G2:G391,"PRAA",E2:E391,"0247",F2:F391,"00")</f>
        <v>0</v>
      </c>
      <c r="BH401" s="462">
        <f>SUMIFS(BH2:BH391,G2:G391,"PRAA",E2:E391,"0247",F2:F391,"00")</f>
        <v>0</v>
      </c>
      <c r="BI401" s="462">
        <f>SUMIFS(BI2:BI391,G2:G391,"PRAA",E2:E391,"0247",F2:F391,"00")</f>
        <v>0</v>
      </c>
      <c r="BJ401" s="462">
        <f>SUMIFS(BJ2:BJ391,G2:G391,"PRAA",E2:E391,"0247",F2:F391,"00")</f>
        <v>0</v>
      </c>
      <c r="BK401" s="462">
        <f>SUMIFS(BK2:BK391,G2:G391,"PRAA",E2:E391,"0247",F2:F391,"00")</f>
        <v>0</v>
      </c>
      <c r="BL401" s="462">
        <f>SUMIFS(BL2:BL391,G2:G391,"PRAA",E2:E391,"0247",F2:F391,"00")</f>
        <v>0</v>
      </c>
      <c r="BM401" s="462">
        <f>SUMIFS(BM2:BM391,G2:G391,"PRAA",E2:E391,"0247",F2:F391,"00")</f>
        <v>0</v>
      </c>
      <c r="BN401" s="462">
        <f>SUMIFS(BN2:BN391,G2:G391,"PRAA",E2:E391,"0247",F2:F391,"00")</f>
        <v>0</v>
      </c>
      <c r="BO401" s="462">
        <f>SUMIFS(BO2:BO391,G2:G391,"PRAA",E2:E391,"0247",F2:F391,"00")</f>
        <v>0</v>
      </c>
      <c r="BP401" s="462">
        <f>SUMIFS(BP2:BP391,G2:G391,"PRAA",E2:E391,"0247",F2:F391,"00")</f>
        <v>0</v>
      </c>
      <c r="BQ401" s="462">
        <f>SUMIFS(BQ2:BQ391,G2:G391,"PRAA",E2:E391,"0247",F2:F391,"00")</f>
        <v>0</v>
      </c>
      <c r="BR401" s="462">
        <f>SUMIFS(BR2:BR391,G2:G391,"PRAA",E2:E391,"0247",F2:F391,"00")</f>
        <v>0</v>
      </c>
      <c r="BS401" s="462">
        <f>SUMIFS(BS2:BS391,G2:G391,"PRAA",E2:E391,"0247",F2:F391,"00")</f>
        <v>0</v>
      </c>
      <c r="BT401" s="462">
        <f>SUMIFS(BT2:BT391,G2:G391,"PRAA",E2:E391,"0247",F2:F391,"00")</f>
        <v>0</v>
      </c>
      <c r="BU401" s="462">
        <f>SUMIFS(BU2:BU391,G2:G391,"PRAA",E2:E391,"0247",F2:F391,"00")</f>
        <v>0</v>
      </c>
      <c r="BV401" s="462">
        <f>SUMIFS(BV2:BV391,G2:G391,"PRAA",E2:E391,"0247",F2:F391,"00")</f>
        <v>0</v>
      </c>
      <c r="BW401" s="462">
        <f>SUMIFS(BW2:BW391,G2:G391,"PRAA",E2:E391,"0247",F2:F391,"00")</f>
        <v>0</v>
      </c>
      <c r="BX401" s="462">
        <f>SUMIFS(BX2:BX391,G2:G391,"PRAA",E2:E391,"0247",F2:F391,"00")</f>
        <v>0</v>
      </c>
      <c r="BY401" s="462">
        <f>SUMIFS(BY2:BY391,G2:G391,"PRAA",E2:E391,"0247",F2:F391,"00")</f>
        <v>0</v>
      </c>
      <c r="BZ401" s="462">
        <f>SUMIFS(BZ2:BZ391,G2:G391,"PRAA",E2:E391,"0247",F2:F391,"00")</f>
        <v>0</v>
      </c>
      <c r="CA401" s="462">
        <f>SUMIFS(CA2:CA391,G2:G391,"PRAA",E2:E391,"0247",F2:F391,"00")</f>
        <v>0</v>
      </c>
      <c r="CB401" s="462">
        <f>SUMIFS(CB2:CB391,G2:G391,"PRAA",E2:E391,"0247",F2:F391,"00")</f>
        <v>0</v>
      </c>
      <c r="CC401" s="462">
        <f>SUMIFS(CC2:CC391,G2:G391,"PRAA",E2:E391,"0247",F2:F391,"00")</f>
        <v>0</v>
      </c>
      <c r="CD401" s="462">
        <f>SUMIFS(CD2:CD391,G2:G391,"PRAA",E2:E391,"0247",F2:F391,"00")</f>
        <v>0</v>
      </c>
      <c r="CE401" s="462">
        <f>SUMIFS(CE2:CE391,G2:G391,"PRAA",E2:E391,"0247",F2:F391,"00")</f>
        <v>0</v>
      </c>
      <c r="CF401" s="462">
        <f>SUMIFS(CF2:CF391,G2:G391,"PRAA",E2:E391,"0247",F2:F391,"00")</f>
        <v>0</v>
      </c>
      <c r="CG401" s="462">
        <f>SUMIFS(CG2:CG391,G2:G391,"PRAA",E2:E391,"0247",F2:F391,"00")</f>
        <v>0</v>
      </c>
      <c r="CH401" s="462">
        <f>SUMIFS(CH2:CH391,G2:G391,"PRAA",E2:E391,"0247",F2:F391,"00")</f>
        <v>0</v>
      </c>
      <c r="CI401" s="462">
        <f>SUMIFS(CI2:CI391,G2:G391,"PRAA",E2:E391,"0247",F2:F391,"00")</f>
        <v>0</v>
      </c>
      <c r="CJ401" s="462">
        <f>SUMIFS(CJ2:CJ391,G2:G391,"PRAA",E2:E391,"0247",F2:F391,"00")</f>
        <v>0</v>
      </c>
      <c r="CK401" s="462">
        <f>SUMIFS(CK2:CK391,G2:G391,"PRAA",E2:E391,"0247",F2:F391,"00")</f>
        <v>0</v>
      </c>
      <c r="CL401" s="462">
        <f>SUMIFS(CL2:CL391,G2:G391,"PRAA",E2:E391,"0247",F2:F391,"00")</f>
        <v>0</v>
      </c>
      <c r="CM401" s="462">
        <f>SUMIFS(CM2:CM391,G2:G391,"PRAA",E2:E391,"0247",F2:F391,"00")</f>
        <v>0</v>
      </c>
    </row>
    <row r="402" spans="43:91" ht="15" thickBot="1" x14ac:dyDescent="0.35">
      <c r="AR402" t="s">
        <v>1112</v>
      </c>
      <c r="AS402" s="462">
        <f>SUMIFS(AS2:AS391,G2:G391,"PRAA",E2:E391,"0247",F2:F391,"06",AT2:AT391,1)</f>
        <v>3.3474999999999993</v>
      </c>
      <c r="AT402" s="462">
        <f>SUMIFS(AS2:AS391,G2:G391,"PRAA",E2:E391,"0247",F2:F391,"06",AT2:AT391,3)</f>
        <v>0</v>
      </c>
      <c r="AU402" s="462">
        <f>SUMIFS(AU2:AU391,G2:G391,"PRAA",E2:E391,"0247",F2:F391,"06")</f>
        <v>9.75</v>
      </c>
      <c r="AV402" s="462">
        <f>SUMIFS(AV2:AV391,G2:G391,"PRAA",E2:E391,"0247",F2:F391,"06")</f>
        <v>0</v>
      </c>
      <c r="AW402" s="462">
        <f>SUMIFS(AW2:AW391,G2:G391,"PRAA",E2:E391,"0247",F2:F391,"06")</f>
        <v>29</v>
      </c>
      <c r="AX402" s="462">
        <f>SUMIFS(AX2:AX391,G2:G391,"PRAA",E2:E391,"0247",F2:F391,"06")</f>
        <v>563690.39999999991</v>
      </c>
      <c r="AY402" s="462">
        <f>SUMIFS(AY2:AY391,G2:G391,"PRAA",E2:E391,"0247",F2:F391,"06")</f>
        <v>194210.12</v>
      </c>
      <c r="AZ402" s="462">
        <f>SUMIFS(AZ2:AZ391,G2:G391,"PRAA",E2:E391,"0247",F2:F391,"06")</f>
        <v>0</v>
      </c>
      <c r="BA402" s="462">
        <f>SUMIFS(BA2:BA391,G2:G391,"PRAA",E2:E391,"0247",F2:F391,"06")</f>
        <v>0</v>
      </c>
      <c r="BB402" s="462">
        <f>SUMIFS(BB2:BB391,G2:G391,"PRAA",E2:E391,"0247",F2:F391,"06")</f>
        <v>39959.5</v>
      </c>
      <c r="BC402" s="462">
        <f>SUMIFS(BC2:BC391,G2:G391,"PRAA",E2:E391,"0247",F2:F391,"06")</f>
        <v>0</v>
      </c>
      <c r="BD402" s="462">
        <f>SUMIFS(BD2:BD391,G2:G391,"PRAA",E2:E391,"0247",F2:F391,"06")</f>
        <v>11945.92936</v>
      </c>
      <c r="BE402" s="462">
        <f>SUMIFS(BE2:BE391,G2:G391,"PRAA",E2:E391,"0247",F2:F391,"06")</f>
        <v>2816.0467399999998</v>
      </c>
      <c r="BF402" s="462">
        <f>SUMIFS(BF2:BF391,G2:G391,"PRAA",E2:E391,"0247",F2:F391,"06")</f>
        <v>23188.688328</v>
      </c>
      <c r="BG402" s="462">
        <f>SUMIFS(BG2:BG391,G2:G391,"PRAA",E2:E391,"0247",F2:F391,"06")</f>
        <v>1400.2549652</v>
      </c>
      <c r="BH402" s="462">
        <f>SUMIFS(BH2:BH391,G2:G391,"PRAA",E2:E391,"0247",F2:F391,"06")</f>
        <v>951.6295879999999</v>
      </c>
      <c r="BI402" s="462">
        <f>SUMIFS(BI2:BI391,G2:G391,"PRAA",E2:E391,"0247",F2:F391,"06")</f>
        <v>463.18081679999995</v>
      </c>
      <c r="BJ402" s="462">
        <f>SUMIFS(BJ2:BJ391,G2:G391,"PRAA",E2:E391,"0247",F2:F391,"06")</f>
        <v>5224.2522280000003</v>
      </c>
      <c r="BK402" s="462">
        <f>SUMIFS(BK2:BK391,G2:G391,"PRAA",E2:E391,"0247",F2:F391,"06")</f>
        <v>0</v>
      </c>
      <c r="BL402" s="462">
        <f>SUMIFS(BL2:BL391,G2:G391,"PRAA",E2:E391,"0247",F2:F391,"06")</f>
        <v>45989.982026000005</v>
      </c>
      <c r="BM402" s="462">
        <f>SUMIFS(BM2:BM391,G2:G391,"PRAA",E2:E391,"0247",F2:F391,"06")</f>
        <v>0</v>
      </c>
      <c r="BN402" s="462">
        <f>SUMIFS(BN2:BN391,G2:G391,"PRAA",E2:E391,"0247",F2:F391,"06")</f>
        <v>39959.5</v>
      </c>
      <c r="BO402" s="462">
        <f>SUMIFS(BO2:BO391,G2:G391,"PRAA",E2:E391,"0247",F2:F391,"06")</f>
        <v>0</v>
      </c>
      <c r="BP402" s="462">
        <f>SUMIFS(BP2:BP391,G2:G391,"PRAA",E2:E391,"0247",F2:F391,"06")</f>
        <v>12040.789360000001</v>
      </c>
      <c r="BQ402" s="462">
        <f>SUMIFS(BQ2:BQ391,G2:G391,"PRAA",E2:E391,"0247",F2:F391,"06")</f>
        <v>2816.0467399999998</v>
      </c>
      <c r="BR402" s="462">
        <f>SUMIFS(BR2:BR391,G2:G391,"PRAA",E2:E391,"0247",F2:F391,"06")</f>
        <v>23188.688328</v>
      </c>
      <c r="BS402" s="462">
        <f>SUMIFS(BS2:BS391,G2:G391,"PRAA",E2:E391,"0247",F2:F391,"06")</f>
        <v>1400.2549652</v>
      </c>
      <c r="BT402" s="462">
        <f>SUMIFS(BT2:BT391,G2:G391,"PRAA",E2:E391,"0247",F2:F391,"06")</f>
        <v>0</v>
      </c>
      <c r="BU402" s="462">
        <f>SUMIFS(BU2:BU391,G2:G391,"PRAA",E2:E391,"0247",F2:F391,"06")</f>
        <v>463.18081679999995</v>
      </c>
      <c r="BV402" s="462">
        <f>SUMIFS(BV2:BV391,G2:G391,"PRAA",E2:E391,"0247",F2:F391,"06")</f>
        <v>6739.0911640000004</v>
      </c>
      <c r="BW402" s="462">
        <f>SUMIFS(BW2:BW391,G2:G391,"PRAA",E2:E391,"0247",F2:F391,"06")</f>
        <v>0</v>
      </c>
      <c r="BX402" s="462">
        <f>SUMIFS(BX2:BX391,G2:G391,"PRAA",E2:E391,"0247",F2:F391,"06")</f>
        <v>46648.051374000002</v>
      </c>
      <c r="BY402" s="462">
        <f>SUMIFS(BY2:BY391,G2:G391,"PRAA",E2:E391,"0247",F2:F391,"06")</f>
        <v>0</v>
      </c>
      <c r="BZ402" s="462">
        <f>SUMIFS(BZ2:BZ391,G2:G391,"PRAA",E2:E391,"0247",F2:F391,"06")</f>
        <v>0</v>
      </c>
      <c r="CA402" s="462">
        <f>SUMIFS(CA2:CA391,G2:G391,"PRAA",E2:E391,"0247",F2:F391,"06")</f>
        <v>0</v>
      </c>
      <c r="CB402" s="462">
        <f>SUMIFS(CB2:CB391,G2:G391,"PRAA",E2:E391,"0247",F2:F391,"06")</f>
        <v>94.860000000000127</v>
      </c>
      <c r="CC402" s="462">
        <f>SUMIFS(CC2:CC391,G2:G391,"PRAA",E2:E391,"0247",F2:F391,"06")</f>
        <v>0</v>
      </c>
      <c r="CD402" s="462">
        <f>SUMIFS(CD2:CD391,G2:G391,"PRAA",E2:E391,"0247",F2:F391,"06")</f>
        <v>0</v>
      </c>
      <c r="CE402" s="462">
        <f>SUMIFS(CE2:CE391,G2:G391,"PRAA",E2:E391,"0247",F2:F391,"06")</f>
        <v>0</v>
      </c>
      <c r="CF402" s="462">
        <f>SUMIFS(CF2:CF391,G2:G391,"PRAA",E2:E391,"0247",F2:F391,"06")</f>
        <v>-951.6295879999999</v>
      </c>
      <c r="CG402" s="462">
        <f>SUMIFS(CG2:CG391,G2:G391,"PRAA",E2:E391,"0247",F2:F391,"06")</f>
        <v>0</v>
      </c>
      <c r="CH402" s="462">
        <f>SUMIFS(CH2:CH391,G2:G391,"PRAA",E2:E391,"0247",F2:F391,"06")</f>
        <v>1514.8389360000001</v>
      </c>
      <c r="CI402" s="462">
        <f>SUMIFS(CI2:CI391,G2:G391,"PRAA",E2:E391,"0247",F2:F391,"06")</f>
        <v>0</v>
      </c>
      <c r="CJ402" s="462">
        <f>SUMIFS(CJ2:CJ391,G2:G391,"PRAA",E2:E391,"0247",F2:F391,"06")</f>
        <v>658.06934800000045</v>
      </c>
      <c r="CK402" s="462">
        <f>SUMIFS(CK2:CK391,G2:G391,"PRAA",E2:E391,"0247",F2:F391,"06")</f>
        <v>0</v>
      </c>
      <c r="CL402" s="462">
        <f>SUMIFS(CL2:CL391,G2:G391,"PRAA",E2:E391,"0247",F2:F391,"06")</f>
        <v>0</v>
      </c>
      <c r="CM402" s="462">
        <f>SUMIFS(CM2:CM391,G2:G391,"PRAA",E2:E391,"0247",F2:F391,"06")</f>
        <v>0</v>
      </c>
    </row>
    <row r="403" spans="43:91" ht="18" x14ac:dyDescent="0.35">
      <c r="AQ403" s="468" t="s">
        <v>1113</v>
      </c>
      <c r="AS403" s="469">
        <f>SUM(AS401:AS402)</f>
        <v>3.3474999999999993</v>
      </c>
      <c r="AT403" s="469">
        <f>SUM(AT401:AT402)</f>
        <v>0</v>
      </c>
      <c r="AU403" s="469">
        <f>SUM(AU401:AU402)</f>
        <v>9.75</v>
      </c>
      <c r="AV403" s="469">
        <f>SUM(AV401:AV402)</f>
        <v>0</v>
      </c>
      <c r="AW403" s="469">
        <f>SUM(AW401:AW402)</f>
        <v>29</v>
      </c>
      <c r="AX403" s="469">
        <f>SUM(AX401:AX402)</f>
        <v>563690.39999999991</v>
      </c>
      <c r="AY403" s="469">
        <f>SUM(AY401:AY402)</f>
        <v>194210.12</v>
      </c>
      <c r="AZ403" s="469">
        <f>SUM(AZ401:AZ402)</f>
        <v>0</v>
      </c>
      <c r="BA403" s="469">
        <f>SUM(BA401:BA402)</f>
        <v>0</v>
      </c>
      <c r="BB403" s="469">
        <f>SUM(BB401:BB402)</f>
        <v>39959.5</v>
      </c>
      <c r="BC403" s="469">
        <f>SUM(BC401:BC402)</f>
        <v>0</v>
      </c>
      <c r="BD403" s="469">
        <f>SUM(BD401:BD402)</f>
        <v>11945.92936</v>
      </c>
      <c r="BE403" s="469">
        <f>SUM(BE401:BE402)</f>
        <v>2816.0467399999998</v>
      </c>
      <c r="BF403" s="469">
        <f>SUM(BF401:BF402)</f>
        <v>23188.688328</v>
      </c>
      <c r="BG403" s="469">
        <f>SUM(BG401:BG402)</f>
        <v>1400.2549652</v>
      </c>
      <c r="BH403" s="469">
        <f>SUM(BH401:BH402)</f>
        <v>951.6295879999999</v>
      </c>
      <c r="BI403" s="469">
        <f>SUM(BI401:BI402)</f>
        <v>463.18081679999995</v>
      </c>
      <c r="BJ403" s="469">
        <f>SUM(BJ401:BJ402)</f>
        <v>5224.2522280000003</v>
      </c>
      <c r="BK403" s="469">
        <f>SUM(BK401:BK402)</f>
        <v>0</v>
      </c>
      <c r="BL403" s="469">
        <f>SUM(BL401:BL402)</f>
        <v>45989.982026000005</v>
      </c>
      <c r="BM403" s="469">
        <f>SUM(BM401:BM402)</f>
        <v>0</v>
      </c>
      <c r="BN403" s="469">
        <f>SUM(BN401:BN402)</f>
        <v>39959.5</v>
      </c>
      <c r="BO403" s="469">
        <f>SUM(BO401:BO402)</f>
        <v>0</v>
      </c>
      <c r="BP403" s="469">
        <f>SUM(BP401:BP402)</f>
        <v>12040.789360000001</v>
      </c>
      <c r="BQ403" s="469">
        <f>SUM(BQ401:BQ402)</f>
        <v>2816.0467399999998</v>
      </c>
      <c r="BR403" s="469">
        <f>SUM(BR401:BR402)</f>
        <v>23188.688328</v>
      </c>
      <c r="BS403" s="469">
        <f>SUM(BS401:BS402)</f>
        <v>1400.2549652</v>
      </c>
      <c r="BT403" s="469">
        <f>SUM(BT401:BT402)</f>
        <v>0</v>
      </c>
      <c r="BU403" s="469">
        <f>SUM(BU401:BU402)</f>
        <v>463.18081679999995</v>
      </c>
      <c r="BV403" s="469">
        <f>SUM(BV401:BV402)</f>
        <v>6739.0911640000004</v>
      </c>
      <c r="BW403" s="469">
        <f>SUM(BW401:BW402)</f>
        <v>0</v>
      </c>
      <c r="BX403" s="469">
        <f>SUM(BX401:BX402)</f>
        <v>46648.051374000002</v>
      </c>
      <c r="BY403" s="469">
        <f>SUM(BY401:BY402)</f>
        <v>0</v>
      </c>
      <c r="BZ403" s="469">
        <f>SUM(BZ401:BZ402)</f>
        <v>0</v>
      </c>
      <c r="CA403" s="469">
        <f>SUM(CA401:CA402)</f>
        <v>0</v>
      </c>
      <c r="CB403" s="469">
        <f>SUM(CB401:CB402)</f>
        <v>94.860000000000127</v>
      </c>
      <c r="CC403" s="469">
        <f>SUM(CC401:CC402)</f>
        <v>0</v>
      </c>
      <c r="CD403" s="469">
        <f>SUM(CD401:CD402)</f>
        <v>0</v>
      </c>
      <c r="CE403" s="469">
        <f>SUM(CE401:CE402)</f>
        <v>0</v>
      </c>
      <c r="CF403" s="469">
        <f>SUM(CF401:CF402)</f>
        <v>-951.6295879999999</v>
      </c>
      <c r="CG403" s="469">
        <f>SUM(CG401:CG402)</f>
        <v>0</v>
      </c>
      <c r="CH403" s="469">
        <f>SUM(CH401:CH402)</f>
        <v>1514.8389360000001</v>
      </c>
      <c r="CI403" s="469">
        <f>SUM(CI401:CI402)</f>
        <v>0</v>
      </c>
      <c r="CJ403" s="469">
        <f>SUM(CJ401:CJ402)</f>
        <v>658.06934800000045</v>
      </c>
      <c r="CK403" s="469">
        <f>SUM(CK401:CK402)</f>
        <v>0</v>
      </c>
      <c r="CL403" s="469">
        <f>SUM(CL401:CL402)</f>
        <v>0</v>
      </c>
      <c r="CM403" s="469">
        <f>SUM(CM401:CM402)</f>
        <v>0</v>
      </c>
    </row>
    <row r="404" spans="43:91" x14ac:dyDescent="0.3">
      <c r="AR404" t="s">
        <v>1118</v>
      </c>
      <c r="AS404" s="462">
        <f>SUMIFS(AS2:AS391,G2:G391,"PRAB",E2:E391,"0250",F2:F391,"00",AT2:AT391,1)</f>
        <v>0</v>
      </c>
      <c r="AT404" s="462">
        <f>SUMIFS(AS2:AS391,G2:G391,"PRAB",E2:E391,"0250",F2:F391,"00",AT2:AT391,3)</f>
        <v>0</v>
      </c>
      <c r="AU404" s="462">
        <f>SUMIFS(AU2:AU391,G2:G391,"PRAB",E2:E391,"0250",F2:F391,"00")</f>
        <v>0</v>
      </c>
      <c r="AV404" s="462">
        <f>SUMIFS(AV2:AV391,G2:G391,"PRAB",E2:E391,"0250",F2:F391,"00")</f>
        <v>0</v>
      </c>
      <c r="AW404" s="462">
        <f>SUMIFS(AW2:AW391,G2:G391,"PRAB",E2:E391,"0250",F2:F391,"00")</f>
        <v>0</v>
      </c>
      <c r="AX404" s="462">
        <f>SUMIFS(AX2:AX391,G2:G391,"PRAB",E2:E391,"0250",F2:F391,"00")</f>
        <v>0</v>
      </c>
      <c r="AY404" s="462">
        <f>SUMIFS(AY2:AY391,G2:G391,"PRAB",E2:E391,"0250",F2:F391,"00")</f>
        <v>0</v>
      </c>
      <c r="AZ404" s="462">
        <f>SUMIFS(AZ2:AZ391,G2:G391,"PRAB",E2:E391,"0250",F2:F391,"00")</f>
        <v>0</v>
      </c>
      <c r="BA404" s="462">
        <f>SUMIFS(BA2:BA391,G2:G391,"PRAB",E2:E391,"0250",F2:F391,"00")</f>
        <v>0</v>
      </c>
      <c r="BB404" s="462">
        <f>SUMIFS(BB2:BB391,G2:G391,"PRAB",E2:E391,"0250",F2:F391,"00")</f>
        <v>0</v>
      </c>
      <c r="BC404" s="462">
        <f>SUMIFS(BC2:BC391,G2:G391,"PRAB",E2:E391,"0250",F2:F391,"00")</f>
        <v>0</v>
      </c>
      <c r="BD404" s="462">
        <f>SUMIFS(BD2:BD391,G2:G391,"PRAB",E2:E391,"0250",F2:F391,"00")</f>
        <v>0</v>
      </c>
      <c r="BE404" s="462">
        <f>SUMIFS(BE2:BE391,G2:G391,"PRAB",E2:E391,"0250",F2:F391,"00")</f>
        <v>0</v>
      </c>
      <c r="BF404" s="462">
        <f>SUMIFS(BF2:BF391,G2:G391,"PRAB",E2:E391,"0250",F2:F391,"00")</f>
        <v>0</v>
      </c>
      <c r="BG404" s="462">
        <f>SUMIFS(BG2:BG391,G2:G391,"PRAB",E2:E391,"0250",F2:F391,"00")</f>
        <v>0</v>
      </c>
      <c r="BH404" s="462">
        <f>SUMIFS(BH2:BH391,G2:G391,"PRAB",E2:E391,"0250",F2:F391,"00")</f>
        <v>0</v>
      </c>
      <c r="BI404" s="462">
        <f>SUMIFS(BI2:BI391,G2:G391,"PRAB",E2:E391,"0250",F2:F391,"00")</f>
        <v>0</v>
      </c>
      <c r="BJ404" s="462">
        <f>SUMIFS(BJ2:BJ391,G2:G391,"PRAB",E2:E391,"0250",F2:F391,"00")</f>
        <v>0</v>
      </c>
      <c r="BK404" s="462">
        <f>SUMIFS(BK2:BK391,G2:G391,"PRAB",E2:E391,"0250",F2:F391,"00")</f>
        <v>0</v>
      </c>
      <c r="BL404" s="462">
        <f>SUMIFS(BL2:BL391,G2:G391,"PRAB",E2:E391,"0250",F2:F391,"00")</f>
        <v>0</v>
      </c>
      <c r="BM404" s="462">
        <f>SUMIFS(BM2:BM391,G2:G391,"PRAB",E2:E391,"0250",F2:F391,"00")</f>
        <v>0</v>
      </c>
      <c r="BN404" s="462">
        <f>SUMIFS(BN2:BN391,G2:G391,"PRAB",E2:E391,"0250",F2:F391,"00")</f>
        <v>0</v>
      </c>
      <c r="BO404" s="462">
        <f>SUMIFS(BO2:BO391,G2:G391,"PRAB",E2:E391,"0250",F2:F391,"00")</f>
        <v>0</v>
      </c>
      <c r="BP404" s="462">
        <f>SUMIFS(BP2:BP391,G2:G391,"PRAB",E2:E391,"0250",F2:F391,"00")</f>
        <v>0</v>
      </c>
      <c r="BQ404" s="462">
        <f>SUMIFS(BQ2:BQ391,G2:G391,"PRAB",E2:E391,"0250",F2:F391,"00")</f>
        <v>0</v>
      </c>
      <c r="BR404" s="462">
        <f>SUMIFS(BR2:BR391,G2:G391,"PRAB",E2:E391,"0250",F2:F391,"00")</f>
        <v>0</v>
      </c>
      <c r="BS404" s="462">
        <f>SUMIFS(BS2:BS391,G2:G391,"PRAB",E2:E391,"0250",F2:F391,"00")</f>
        <v>0</v>
      </c>
      <c r="BT404" s="462">
        <f>SUMIFS(BT2:BT391,G2:G391,"PRAB",E2:E391,"0250",F2:F391,"00")</f>
        <v>0</v>
      </c>
      <c r="BU404" s="462">
        <f>SUMIFS(BU2:BU391,G2:G391,"PRAB",E2:E391,"0250",F2:F391,"00")</f>
        <v>0</v>
      </c>
      <c r="BV404" s="462">
        <f>SUMIFS(BV2:BV391,G2:G391,"PRAB",E2:E391,"0250",F2:F391,"00")</f>
        <v>0</v>
      </c>
      <c r="BW404" s="462">
        <f>SUMIFS(BW2:BW391,G2:G391,"PRAB",E2:E391,"0250",F2:F391,"00")</f>
        <v>0</v>
      </c>
      <c r="BX404" s="462">
        <f>SUMIFS(BX2:BX391,G2:G391,"PRAB",E2:E391,"0250",F2:F391,"00")</f>
        <v>0</v>
      </c>
      <c r="BY404" s="462">
        <f>SUMIFS(BY2:BY391,G2:G391,"PRAB",E2:E391,"0250",F2:F391,"00")</f>
        <v>0</v>
      </c>
      <c r="BZ404" s="462">
        <f>SUMIFS(BZ2:BZ391,G2:G391,"PRAB",E2:E391,"0250",F2:F391,"00")</f>
        <v>0</v>
      </c>
      <c r="CA404" s="462">
        <f>SUMIFS(CA2:CA391,G2:G391,"PRAB",E2:E391,"0250",F2:F391,"00")</f>
        <v>0</v>
      </c>
      <c r="CB404" s="462">
        <f>SUMIFS(CB2:CB391,G2:G391,"PRAB",E2:E391,"0250",F2:F391,"00")</f>
        <v>0</v>
      </c>
      <c r="CC404" s="462">
        <f>SUMIFS(CC2:CC391,G2:G391,"PRAB",E2:E391,"0250",F2:F391,"00")</f>
        <v>0</v>
      </c>
      <c r="CD404" s="462">
        <f>SUMIFS(CD2:CD391,G2:G391,"PRAB",E2:E391,"0250",F2:F391,"00")</f>
        <v>0</v>
      </c>
      <c r="CE404" s="462">
        <f>SUMIFS(CE2:CE391,G2:G391,"PRAB",E2:E391,"0250",F2:F391,"00")</f>
        <v>0</v>
      </c>
      <c r="CF404" s="462">
        <f>SUMIFS(CF2:CF391,G2:G391,"PRAB",E2:E391,"0250",F2:F391,"00")</f>
        <v>0</v>
      </c>
      <c r="CG404" s="462">
        <f>SUMIFS(CG2:CG391,G2:G391,"PRAB",E2:E391,"0250",F2:F391,"00")</f>
        <v>0</v>
      </c>
      <c r="CH404" s="462">
        <f>SUMIFS(CH2:CH391,G2:G391,"PRAB",E2:E391,"0250",F2:F391,"00")</f>
        <v>0</v>
      </c>
      <c r="CI404" s="462">
        <f>SUMIFS(CI2:CI391,G2:G391,"PRAB",E2:E391,"0250",F2:F391,"00")</f>
        <v>0</v>
      </c>
      <c r="CJ404" s="462">
        <f>SUMIFS(CJ2:CJ391,G2:G391,"PRAB",E2:E391,"0250",F2:F391,"00")</f>
        <v>0</v>
      </c>
      <c r="CK404" s="462">
        <f>SUMIFS(CK2:CK391,G2:G391,"PRAB",E2:E391,"0250",F2:F391,"00")</f>
        <v>0</v>
      </c>
      <c r="CL404" s="462">
        <f>SUMIFS(CL2:CL391,G2:G391,"PRAB",E2:E391,"0250",F2:F391,"00")</f>
        <v>0</v>
      </c>
      <c r="CM404" s="462">
        <f>SUMIFS(CM2:CM391,G2:G391,"PRAB",E2:E391,"0250",F2:F391,"00")</f>
        <v>0</v>
      </c>
    </row>
    <row r="405" spans="43:91" ht="15" thickBot="1" x14ac:dyDescent="0.35">
      <c r="AR405" t="s">
        <v>1119</v>
      </c>
      <c r="AS405" s="462">
        <f>SUMIFS(AS2:AS391,G2:G391,"PRAB",E2:E391,"0250",F2:F391,"05",AT2:AT391,1)</f>
        <v>3.7549999999999994</v>
      </c>
      <c r="AT405" s="462">
        <f>SUMIFS(AS2:AS391,G2:G391,"PRAB",E2:E391,"0250",F2:F391,"05",AT2:AT391,3)</f>
        <v>0</v>
      </c>
      <c r="AU405" s="462">
        <f>SUMIFS(AU2:AU391,G2:G391,"PRAB",E2:E391,"0250",F2:F391,"05")</f>
        <v>12.75</v>
      </c>
      <c r="AV405" s="462">
        <f>SUMIFS(AV2:AV391,G2:G391,"PRAB",E2:E391,"0250",F2:F391,"05")</f>
        <v>0</v>
      </c>
      <c r="AW405" s="462">
        <f>SUMIFS(AW2:AW391,G2:G391,"PRAB",E2:E391,"0250",F2:F391,"05")</f>
        <v>36</v>
      </c>
      <c r="AX405" s="462">
        <f>SUMIFS(AX2:AX391,G2:G391,"PRAB",E2:E391,"0250",F2:F391,"05")</f>
        <v>732815.20000000007</v>
      </c>
      <c r="AY405" s="462">
        <f>SUMIFS(AY2:AY391,G2:G391,"PRAB",E2:E391,"0250",F2:F391,"05")</f>
        <v>202470.31999999998</v>
      </c>
      <c r="AZ405" s="462">
        <f>SUMIFS(AZ2:AZ391,G2:G391,"PRAB",E2:E391,"0250",F2:F391,"05")</f>
        <v>0</v>
      </c>
      <c r="BA405" s="462">
        <f>SUMIFS(BA2:BA391,G2:G391,"PRAB",E2:E391,"0250",F2:F391,"05")</f>
        <v>0</v>
      </c>
      <c r="BB405" s="462">
        <f>SUMIFS(BB2:BB391,G2:G391,"PRAB",E2:E391,"0250",F2:F391,"05")</f>
        <v>44736</v>
      </c>
      <c r="BC405" s="462">
        <f>SUMIFS(BC2:BC391,G2:G391,"PRAB",E2:E391,"0250",F2:F391,"05")</f>
        <v>0</v>
      </c>
      <c r="BD405" s="462">
        <f>SUMIFS(BD2:BD391,G2:G391,"PRAB",E2:E391,"0250",F2:F391,"05")</f>
        <v>12521.460480000002</v>
      </c>
      <c r="BE405" s="462">
        <f>SUMIFS(BE2:BE391,G2:G391,"PRAB",E2:E391,"0250",F2:F391,"05")</f>
        <v>2935.8196400000002</v>
      </c>
      <c r="BF405" s="462">
        <f>SUMIFS(BF2:BF391,G2:G391,"PRAB",E2:E391,"0250",F2:F391,"05")</f>
        <v>24174.956208</v>
      </c>
      <c r="BG405" s="462">
        <f>SUMIFS(BG2:BG391,G2:G391,"PRAB",E2:E391,"0250",F2:F391,"05")</f>
        <v>1459.8110072000002</v>
      </c>
      <c r="BH405" s="462">
        <f>SUMIFS(BH2:BH391,G2:G391,"PRAB",E2:E391,"0250",F2:F391,"05")</f>
        <v>992.10456799999997</v>
      </c>
      <c r="BI405" s="462">
        <f>SUMIFS(BI2:BI391,G2:G391,"PRAB",E2:E391,"0250",F2:F391,"05")</f>
        <v>575.85846240000001</v>
      </c>
      <c r="BJ405" s="462">
        <f>SUMIFS(BJ2:BJ391,G2:G391,"PRAB",E2:E391,"0250",F2:F391,"05")</f>
        <v>5446.4516080000003</v>
      </c>
      <c r="BK405" s="462">
        <f>SUMIFS(BK2:BK391,G2:G391,"PRAB",E2:E391,"0250",F2:F391,"05")</f>
        <v>0</v>
      </c>
      <c r="BL405" s="462">
        <f>SUMIFS(BL2:BL391,G2:G391,"PRAB",E2:E391,"0250",F2:F391,"05")</f>
        <v>48106.461973599995</v>
      </c>
      <c r="BM405" s="462">
        <f>SUMIFS(BM2:BM391,G2:G391,"PRAB",E2:E391,"0250",F2:F391,"05")</f>
        <v>0</v>
      </c>
      <c r="BN405" s="462">
        <f>SUMIFS(BN2:BN391,G2:G391,"PRAB",E2:E391,"0250",F2:F391,"05")</f>
        <v>44736</v>
      </c>
      <c r="BO405" s="462">
        <f>SUMIFS(BO2:BO391,G2:G391,"PRAB",E2:E391,"0250",F2:F391,"05")</f>
        <v>0</v>
      </c>
      <c r="BP405" s="462">
        <f>SUMIFS(BP2:BP391,G2:G391,"PRAB",E2:E391,"0250",F2:F391,"05")</f>
        <v>12553.080480000001</v>
      </c>
      <c r="BQ405" s="462">
        <f>SUMIFS(BQ2:BQ391,G2:G391,"PRAB",E2:E391,"0250",F2:F391,"05")</f>
        <v>2935.8196400000002</v>
      </c>
      <c r="BR405" s="462">
        <f>SUMIFS(BR2:BR391,G2:G391,"PRAB",E2:E391,"0250",F2:F391,"05")</f>
        <v>24174.956208</v>
      </c>
      <c r="BS405" s="462">
        <f>SUMIFS(BS2:BS391,G2:G391,"PRAB",E2:E391,"0250",F2:F391,"05")</f>
        <v>1459.8110072000002</v>
      </c>
      <c r="BT405" s="462">
        <f>SUMIFS(BT2:BT391,G2:G391,"PRAB",E2:E391,"0250",F2:F391,"05")</f>
        <v>0</v>
      </c>
      <c r="BU405" s="462">
        <f>SUMIFS(BU2:BU391,G2:G391,"PRAB",E2:E391,"0250",F2:F391,"05")</f>
        <v>575.85846240000001</v>
      </c>
      <c r="BV405" s="462">
        <f>SUMIFS(BV2:BV391,G2:G391,"PRAB",E2:E391,"0250",F2:F391,"05")</f>
        <v>7025.720104</v>
      </c>
      <c r="BW405" s="462">
        <f>SUMIFS(BW2:BW391,G2:G391,"PRAB",E2:E391,"0250",F2:F391,"05")</f>
        <v>0</v>
      </c>
      <c r="BX405" s="462">
        <f>SUMIFS(BX2:BX391,G2:G391,"PRAB",E2:E391,"0250",F2:F391,"05")</f>
        <v>48725.245901599992</v>
      </c>
      <c r="BY405" s="462">
        <f>SUMIFS(BY2:BY391,G2:G391,"PRAB",E2:E391,"0250",F2:F391,"05")</f>
        <v>0</v>
      </c>
      <c r="BZ405" s="462">
        <f>SUMIFS(BZ2:BZ391,G2:G391,"PRAB",E2:E391,"0250",F2:F391,"05")</f>
        <v>0</v>
      </c>
      <c r="CA405" s="462">
        <f>SUMIFS(CA2:CA391,G2:G391,"PRAB",E2:E391,"0250",F2:F391,"05")</f>
        <v>0</v>
      </c>
      <c r="CB405" s="462">
        <f>SUMIFS(CB2:CB391,G2:G391,"PRAB",E2:E391,"0250",F2:F391,"05")</f>
        <v>31.620000000000118</v>
      </c>
      <c r="CC405" s="462">
        <f>SUMIFS(CC2:CC391,G2:G391,"PRAB",E2:E391,"0250",F2:F391,"05")</f>
        <v>0</v>
      </c>
      <c r="CD405" s="462">
        <f>SUMIFS(CD2:CD391,G2:G391,"PRAB",E2:E391,"0250",F2:F391,"05")</f>
        <v>0</v>
      </c>
      <c r="CE405" s="462">
        <f>SUMIFS(CE2:CE391,G2:G391,"PRAB",E2:E391,"0250",F2:F391,"05")</f>
        <v>0</v>
      </c>
      <c r="CF405" s="462">
        <f>SUMIFS(CF2:CF391,G2:G391,"PRAB",E2:E391,"0250",F2:F391,"05")</f>
        <v>-992.10456799999997</v>
      </c>
      <c r="CG405" s="462">
        <f>SUMIFS(CG2:CG391,G2:G391,"PRAB",E2:E391,"0250",F2:F391,"05")</f>
        <v>0</v>
      </c>
      <c r="CH405" s="462">
        <f>SUMIFS(CH2:CH391,G2:G391,"PRAB",E2:E391,"0250",F2:F391,"05")</f>
        <v>1579.2684960000001</v>
      </c>
      <c r="CI405" s="462">
        <f>SUMIFS(CI2:CI391,G2:G391,"PRAB",E2:E391,"0250",F2:F391,"05")</f>
        <v>0</v>
      </c>
      <c r="CJ405" s="462">
        <f>SUMIFS(CJ2:CJ391,G2:G391,"PRAB",E2:E391,"0250",F2:F391,"05")</f>
        <v>618.78392800000051</v>
      </c>
      <c r="CK405" s="462">
        <f>SUMIFS(CK2:CK391,G2:G391,"PRAB",E2:E391,"0250",F2:F391,"05")</f>
        <v>0</v>
      </c>
      <c r="CL405" s="462">
        <f>SUMIFS(CL2:CL391,G2:G391,"PRAB",E2:E391,"0250",F2:F391,"05")</f>
        <v>7421.93</v>
      </c>
      <c r="CM405" s="462">
        <f>SUMIFS(CM2:CM391,G2:G391,"PRAB",E2:E391,"0250",F2:F391,"05")</f>
        <v>1598.65</v>
      </c>
    </row>
    <row r="406" spans="43:91" ht="18" x14ac:dyDescent="0.35">
      <c r="AQ406" s="468" t="s">
        <v>1120</v>
      </c>
      <c r="AS406" s="469">
        <f>SUM(AS404:AS405)</f>
        <v>3.7549999999999994</v>
      </c>
      <c r="AT406" s="469">
        <f>SUM(AT404:AT405)</f>
        <v>0</v>
      </c>
      <c r="AU406" s="469">
        <f>SUM(AU404:AU405)</f>
        <v>12.75</v>
      </c>
      <c r="AV406" s="469">
        <f>SUM(AV404:AV405)</f>
        <v>0</v>
      </c>
      <c r="AW406" s="469">
        <f>SUM(AW404:AW405)</f>
        <v>36</v>
      </c>
      <c r="AX406" s="469">
        <f>SUM(AX404:AX405)</f>
        <v>732815.20000000007</v>
      </c>
      <c r="AY406" s="469">
        <f>SUM(AY404:AY405)</f>
        <v>202470.31999999998</v>
      </c>
      <c r="AZ406" s="469">
        <f>SUM(AZ404:AZ405)</f>
        <v>0</v>
      </c>
      <c r="BA406" s="469">
        <f>SUM(BA404:BA405)</f>
        <v>0</v>
      </c>
      <c r="BB406" s="469">
        <f>SUM(BB404:BB405)</f>
        <v>44736</v>
      </c>
      <c r="BC406" s="469">
        <f>SUM(BC404:BC405)</f>
        <v>0</v>
      </c>
      <c r="BD406" s="469">
        <f>SUM(BD404:BD405)</f>
        <v>12521.460480000002</v>
      </c>
      <c r="BE406" s="469">
        <f>SUM(BE404:BE405)</f>
        <v>2935.8196400000002</v>
      </c>
      <c r="BF406" s="469">
        <f>SUM(BF404:BF405)</f>
        <v>24174.956208</v>
      </c>
      <c r="BG406" s="469">
        <f>SUM(BG404:BG405)</f>
        <v>1459.8110072000002</v>
      </c>
      <c r="BH406" s="469">
        <f>SUM(BH404:BH405)</f>
        <v>992.10456799999997</v>
      </c>
      <c r="BI406" s="469">
        <f>SUM(BI404:BI405)</f>
        <v>575.85846240000001</v>
      </c>
      <c r="BJ406" s="469">
        <f>SUM(BJ404:BJ405)</f>
        <v>5446.4516080000003</v>
      </c>
      <c r="BK406" s="469">
        <f>SUM(BK404:BK405)</f>
        <v>0</v>
      </c>
      <c r="BL406" s="469">
        <f>SUM(BL404:BL405)</f>
        <v>48106.461973599995</v>
      </c>
      <c r="BM406" s="469">
        <f>SUM(BM404:BM405)</f>
        <v>0</v>
      </c>
      <c r="BN406" s="469">
        <f>SUM(BN404:BN405)</f>
        <v>44736</v>
      </c>
      <c r="BO406" s="469">
        <f>SUM(BO404:BO405)</f>
        <v>0</v>
      </c>
      <c r="BP406" s="469">
        <f>SUM(BP404:BP405)</f>
        <v>12553.080480000001</v>
      </c>
      <c r="BQ406" s="469">
        <f>SUM(BQ404:BQ405)</f>
        <v>2935.8196400000002</v>
      </c>
      <c r="BR406" s="469">
        <f>SUM(BR404:BR405)</f>
        <v>24174.956208</v>
      </c>
      <c r="BS406" s="469">
        <f>SUM(BS404:BS405)</f>
        <v>1459.8110072000002</v>
      </c>
      <c r="BT406" s="469">
        <f>SUM(BT404:BT405)</f>
        <v>0</v>
      </c>
      <c r="BU406" s="469">
        <f>SUM(BU404:BU405)</f>
        <v>575.85846240000001</v>
      </c>
      <c r="BV406" s="469">
        <f>SUM(BV404:BV405)</f>
        <v>7025.720104</v>
      </c>
      <c r="BW406" s="469">
        <f>SUM(BW404:BW405)</f>
        <v>0</v>
      </c>
      <c r="BX406" s="469">
        <f>SUM(BX404:BX405)</f>
        <v>48725.245901599992</v>
      </c>
      <c r="BY406" s="469">
        <f>SUM(BY404:BY405)</f>
        <v>0</v>
      </c>
      <c r="BZ406" s="469">
        <f>SUM(BZ404:BZ405)</f>
        <v>0</v>
      </c>
      <c r="CA406" s="469">
        <f>SUM(CA404:CA405)</f>
        <v>0</v>
      </c>
      <c r="CB406" s="469">
        <f>SUM(CB404:CB405)</f>
        <v>31.620000000000118</v>
      </c>
      <c r="CC406" s="469">
        <f>SUM(CC404:CC405)</f>
        <v>0</v>
      </c>
      <c r="CD406" s="469">
        <f>SUM(CD404:CD405)</f>
        <v>0</v>
      </c>
      <c r="CE406" s="469">
        <f>SUM(CE404:CE405)</f>
        <v>0</v>
      </c>
      <c r="CF406" s="469">
        <f>SUM(CF404:CF405)</f>
        <v>-992.10456799999997</v>
      </c>
      <c r="CG406" s="469">
        <f>SUM(CG404:CG405)</f>
        <v>0</v>
      </c>
      <c r="CH406" s="469">
        <f>SUM(CH404:CH405)</f>
        <v>1579.2684960000001</v>
      </c>
      <c r="CI406" s="469">
        <f>SUM(CI404:CI405)</f>
        <v>0</v>
      </c>
      <c r="CJ406" s="469">
        <f>SUM(CJ404:CJ405)</f>
        <v>618.78392800000051</v>
      </c>
      <c r="CK406" s="469">
        <f>SUM(CK404:CK405)</f>
        <v>0</v>
      </c>
      <c r="CL406" s="469">
        <f>SUM(CL404:CL405)</f>
        <v>7421.93</v>
      </c>
      <c r="CM406" s="469">
        <f>SUM(CM404:CM405)</f>
        <v>1598.65</v>
      </c>
    </row>
    <row r="407" spans="43:91" ht="15" thickBot="1" x14ac:dyDescent="0.35">
      <c r="AR407" t="s">
        <v>1125</v>
      </c>
      <c r="AS407" s="462">
        <f>SUMIFS(AS2:AS391,G2:G391,"PRBA",E2:E391,"0001",F2:F391,"00",AT2:AT391,1)</f>
        <v>28.3125</v>
      </c>
      <c r="AT407" s="462">
        <f>SUMIFS(AS2:AS391,G2:G391,"PRBA",E2:E391,"0001",F2:F391,"00",AT2:AT391,3)</f>
        <v>0</v>
      </c>
      <c r="AU407" s="462">
        <f>SUMIFS(AU2:AU391,G2:G391,"PRBA",E2:E391,"0001",F2:F391,"00")</f>
        <v>29.5625</v>
      </c>
      <c r="AV407" s="462">
        <f>SUMIFS(AV2:AV391,G2:G391,"PRBA",E2:E391,"0001",F2:F391,"00")</f>
        <v>0</v>
      </c>
      <c r="AW407" s="462">
        <f>SUMIFS(AW2:AW391,G2:G391,"PRBA",E2:E391,"0001",F2:F391,"00")</f>
        <v>44</v>
      </c>
      <c r="AX407" s="462">
        <f>SUMIFS(AX2:AX391,G2:G391,"PRBA",E2:E391,"0001",F2:F391,"00")</f>
        <v>1354147.6</v>
      </c>
      <c r="AY407" s="462">
        <f>SUMIFS(AY2:AY391,G2:G391,"PRBA",E2:E391,"0001",F2:F391,"00")</f>
        <v>1291529.2000000002</v>
      </c>
      <c r="AZ407" s="462">
        <f>SUMIFS(AZ2:AZ391,G2:G391,"PRBA",E2:E391,"0001",F2:F391,"00")</f>
        <v>0</v>
      </c>
      <c r="BA407" s="462">
        <f>SUMIFS(BA2:BA391,G2:G391,"PRBA",E2:E391,"0001",F2:F391,"00")</f>
        <v>0</v>
      </c>
      <c r="BB407" s="462">
        <f>SUMIFS(BB2:BB391,G2:G391,"PRBA",E2:E391,"0001",F2:F391,"00")</f>
        <v>344257.5</v>
      </c>
      <c r="BC407" s="462">
        <f>SUMIFS(BC2:BC391,G2:G391,"PRBA",E2:E391,"0001",F2:F391,"00")</f>
        <v>0</v>
      </c>
      <c r="BD407" s="462">
        <f>SUMIFS(BD2:BD391,G2:G391,"PRBA",E2:E391,"0001",F2:F391,"00")</f>
        <v>80074.810400000017</v>
      </c>
      <c r="BE407" s="462">
        <f>SUMIFS(BE2:BE391,G2:G391,"PRBA",E2:E391,"0001",F2:F391,"00")</f>
        <v>18727.1734</v>
      </c>
      <c r="BF407" s="462">
        <f>SUMIFS(BF2:BF391,G2:G391,"PRBA",E2:E391,"0001",F2:F391,"00")</f>
        <v>154208.58648000003</v>
      </c>
      <c r="BG407" s="462">
        <f>SUMIFS(BG2:BG391,G2:G391,"PRBA",E2:E391,"0001",F2:F391,"00")</f>
        <v>9311.9255319999993</v>
      </c>
      <c r="BH407" s="462">
        <f>SUMIFS(BH2:BH391,G2:G391,"PRBA",E2:E391,"0001",F2:F391,"00")</f>
        <v>6328.4930799999975</v>
      </c>
      <c r="BI407" s="462">
        <f>SUMIFS(BI2:BI391,G2:G391,"PRBA",E2:E391,"0001",F2:F391,"00")</f>
        <v>3952.0793520000002</v>
      </c>
      <c r="BJ407" s="462">
        <f>SUMIFS(BJ2:BJ391,G2:G391,"PRBA",E2:E391,"0001",F2:F391,"00")</f>
        <v>34742.135480000004</v>
      </c>
      <c r="BK407" s="462">
        <f>SUMIFS(BK2:BK391,G2:G391,"PRBA",E2:E391,"0001",F2:F391,"00")</f>
        <v>0</v>
      </c>
      <c r="BL407" s="462">
        <f>SUMIFS(BL2:BL391,G2:G391,"PRBA",E2:E391,"0001",F2:F391,"00")</f>
        <v>307345.20372400002</v>
      </c>
      <c r="BM407" s="462">
        <f>SUMIFS(BM2:BM391,G2:G391,"PRBA",E2:E391,"0001",F2:F391,"00")</f>
        <v>0</v>
      </c>
      <c r="BN407" s="462">
        <f>SUMIFS(BN2:BN391,G2:G391,"PRBA",E2:E391,"0001",F2:F391,"00")</f>
        <v>344257.5</v>
      </c>
      <c r="BO407" s="462">
        <f>SUMIFS(BO2:BO391,G2:G391,"PRBA",E2:E391,"0001",F2:F391,"00")</f>
        <v>0</v>
      </c>
      <c r="BP407" s="462">
        <f>SUMIFS(BP2:BP391,G2:G391,"PRBA",E2:E391,"0001",F2:F391,"00")</f>
        <v>80074.810400000017</v>
      </c>
      <c r="BQ407" s="462">
        <f>SUMIFS(BQ2:BQ391,G2:G391,"PRBA",E2:E391,"0001",F2:F391,"00")</f>
        <v>18727.1734</v>
      </c>
      <c r="BR407" s="462">
        <f>SUMIFS(BR2:BR391,G2:G391,"PRBA",E2:E391,"0001",F2:F391,"00")</f>
        <v>154208.58648000003</v>
      </c>
      <c r="BS407" s="462">
        <f>SUMIFS(BS2:BS391,G2:G391,"PRBA",E2:E391,"0001",F2:F391,"00")</f>
        <v>9311.9255319999993</v>
      </c>
      <c r="BT407" s="462">
        <f>SUMIFS(BT2:BT391,G2:G391,"PRBA",E2:E391,"0001",F2:F391,"00")</f>
        <v>0</v>
      </c>
      <c r="BU407" s="462">
        <f>SUMIFS(BU2:BU391,G2:G391,"PRBA",E2:E391,"0001",F2:F391,"00")</f>
        <v>3952.0793520000002</v>
      </c>
      <c r="BV407" s="462">
        <f>SUMIFS(BV2:BV391,G2:G391,"PRBA",E2:E391,"0001",F2:F391,"00")</f>
        <v>44816.063240000003</v>
      </c>
      <c r="BW407" s="462">
        <f>SUMIFS(BW2:BW391,G2:G391,"PRBA",E2:E391,"0001",F2:F391,"00")</f>
        <v>0</v>
      </c>
      <c r="BX407" s="462">
        <f>SUMIFS(BX2:BX391,G2:G391,"PRBA",E2:E391,"0001",F2:F391,"00")</f>
        <v>311090.63840400003</v>
      </c>
      <c r="BY407" s="462">
        <f>SUMIFS(BY2:BY391,G2:G391,"PRBA",E2:E391,"0001",F2:F391,"00")</f>
        <v>0</v>
      </c>
      <c r="BZ407" s="462">
        <f>SUMIFS(BZ2:BZ391,G2:G391,"PRBA",E2:E391,"0001",F2:F391,"00")</f>
        <v>0</v>
      </c>
      <c r="CA407" s="462">
        <f>SUMIFS(CA2:CA391,G2:G391,"PRBA",E2:E391,"0001",F2:F391,"00")</f>
        <v>0</v>
      </c>
      <c r="CB407" s="462">
        <f>SUMIFS(CB2:CB391,G2:G391,"PRBA",E2:E391,"0001",F2:F391,"00")</f>
        <v>0</v>
      </c>
      <c r="CC407" s="462">
        <f>SUMIFS(CC2:CC391,G2:G391,"PRBA",E2:E391,"0001",F2:F391,"00")</f>
        <v>0</v>
      </c>
      <c r="CD407" s="462">
        <f>SUMIFS(CD2:CD391,G2:G391,"PRBA",E2:E391,"0001",F2:F391,"00")</f>
        <v>0</v>
      </c>
      <c r="CE407" s="462">
        <f>SUMIFS(CE2:CE391,G2:G391,"PRBA",E2:E391,"0001",F2:F391,"00")</f>
        <v>0</v>
      </c>
      <c r="CF407" s="462">
        <f>SUMIFS(CF2:CF391,G2:G391,"PRBA",E2:E391,"0001",F2:F391,"00")</f>
        <v>-6328.4930799999975</v>
      </c>
      <c r="CG407" s="462">
        <f>SUMIFS(CG2:CG391,G2:G391,"PRBA",E2:E391,"0001",F2:F391,"00")</f>
        <v>0</v>
      </c>
      <c r="CH407" s="462">
        <f>SUMIFS(CH2:CH391,G2:G391,"PRBA",E2:E391,"0001",F2:F391,"00")</f>
        <v>10073.927760000002</v>
      </c>
      <c r="CI407" s="462">
        <f>SUMIFS(CI2:CI391,G2:G391,"PRBA",E2:E391,"0001",F2:F391,"00")</f>
        <v>0</v>
      </c>
      <c r="CJ407" s="462">
        <f>SUMIFS(CJ2:CJ391,G2:G391,"PRBA",E2:E391,"0001",F2:F391,"00")</f>
        <v>3745.4346800000017</v>
      </c>
      <c r="CK407" s="462">
        <f>SUMIFS(CK2:CK391,G2:G391,"PRBA",E2:E391,"0001",F2:F391,"00")</f>
        <v>0</v>
      </c>
      <c r="CL407" s="462">
        <f>SUMIFS(CL2:CL391,G2:G391,"PRBA",E2:E391,"0001",F2:F391,"00")</f>
        <v>75252.56</v>
      </c>
      <c r="CM407" s="462">
        <f>SUMIFS(CM2:CM391,G2:G391,"PRBA",E2:E391,"0001",F2:F391,"00")</f>
        <v>11635.62</v>
      </c>
    </row>
    <row r="408" spans="43:91" ht="18" x14ac:dyDescent="0.35">
      <c r="AQ408" s="468" t="s">
        <v>1126</v>
      </c>
      <c r="AS408" s="469">
        <f>SUM(AS407:AS407)</f>
        <v>28.3125</v>
      </c>
      <c r="AT408" s="469">
        <f>SUM(AT407:AT407)</f>
        <v>0</v>
      </c>
      <c r="AU408" s="469">
        <f>SUM(AU407:AU407)</f>
        <v>29.5625</v>
      </c>
      <c r="AV408" s="469">
        <f>SUM(AV407:AV407)</f>
        <v>0</v>
      </c>
      <c r="AW408" s="469">
        <f>SUM(AW407:AW407)</f>
        <v>44</v>
      </c>
      <c r="AX408" s="469">
        <f>SUM(AX407:AX407)</f>
        <v>1354147.6</v>
      </c>
      <c r="AY408" s="469">
        <f>SUM(AY407:AY407)</f>
        <v>1291529.2000000002</v>
      </c>
      <c r="AZ408" s="469">
        <f>SUM(AZ407:AZ407)</f>
        <v>0</v>
      </c>
      <c r="BA408" s="469">
        <f>SUM(BA407:BA407)</f>
        <v>0</v>
      </c>
      <c r="BB408" s="469">
        <f>SUM(BB407:BB407)</f>
        <v>344257.5</v>
      </c>
      <c r="BC408" s="469">
        <f>SUM(BC407:BC407)</f>
        <v>0</v>
      </c>
      <c r="BD408" s="469">
        <f>SUM(BD407:BD407)</f>
        <v>80074.810400000017</v>
      </c>
      <c r="BE408" s="469">
        <f>SUM(BE407:BE407)</f>
        <v>18727.1734</v>
      </c>
      <c r="BF408" s="469">
        <f>SUM(BF407:BF407)</f>
        <v>154208.58648000003</v>
      </c>
      <c r="BG408" s="469">
        <f>SUM(BG407:BG407)</f>
        <v>9311.9255319999993</v>
      </c>
      <c r="BH408" s="469">
        <f>SUM(BH407:BH407)</f>
        <v>6328.4930799999975</v>
      </c>
      <c r="BI408" s="469">
        <f>SUM(BI407:BI407)</f>
        <v>3952.0793520000002</v>
      </c>
      <c r="BJ408" s="469">
        <f>SUM(BJ407:BJ407)</f>
        <v>34742.135480000004</v>
      </c>
      <c r="BK408" s="469">
        <f>SUM(BK407:BK407)</f>
        <v>0</v>
      </c>
      <c r="BL408" s="469">
        <f>SUM(BL407:BL407)</f>
        <v>307345.20372400002</v>
      </c>
      <c r="BM408" s="469">
        <f>SUM(BM407:BM407)</f>
        <v>0</v>
      </c>
      <c r="BN408" s="469">
        <f>SUM(BN407:BN407)</f>
        <v>344257.5</v>
      </c>
      <c r="BO408" s="469">
        <f>SUM(BO407:BO407)</f>
        <v>0</v>
      </c>
      <c r="BP408" s="469">
        <f>SUM(BP407:BP407)</f>
        <v>80074.810400000017</v>
      </c>
      <c r="BQ408" s="469">
        <f>SUM(BQ407:BQ407)</f>
        <v>18727.1734</v>
      </c>
      <c r="BR408" s="469">
        <f>SUM(BR407:BR407)</f>
        <v>154208.58648000003</v>
      </c>
      <c r="BS408" s="469">
        <f>SUM(BS407:BS407)</f>
        <v>9311.9255319999993</v>
      </c>
      <c r="BT408" s="469">
        <f>SUM(BT407:BT407)</f>
        <v>0</v>
      </c>
      <c r="BU408" s="469">
        <f>SUM(BU407:BU407)</f>
        <v>3952.0793520000002</v>
      </c>
      <c r="BV408" s="469">
        <f>SUM(BV407:BV407)</f>
        <v>44816.063240000003</v>
      </c>
      <c r="BW408" s="469">
        <f>SUM(BW407:BW407)</f>
        <v>0</v>
      </c>
      <c r="BX408" s="469">
        <f>SUM(BX407:BX407)</f>
        <v>311090.63840400003</v>
      </c>
      <c r="BY408" s="469">
        <f>SUM(BY407:BY407)</f>
        <v>0</v>
      </c>
      <c r="BZ408" s="469">
        <f>SUM(BZ407:BZ407)</f>
        <v>0</v>
      </c>
      <c r="CA408" s="469">
        <f>SUM(CA407:CA407)</f>
        <v>0</v>
      </c>
      <c r="CB408" s="469">
        <f>SUM(CB407:CB407)</f>
        <v>0</v>
      </c>
      <c r="CC408" s="469">
        <f>SUM(CC407:CC407)</f>
        <v>0</v>
      </c>
      <c r="CD408" s="469">
        <f>SUM(CD407:CD407)</f>
        <v>0</v>
      </c>
      <c r="CE408" s="469">
        <f>SUM(CE407:CE407)</f>
        <v>0</v>
      </c>
      <c r="CF408" s="469">
        <f>SUM(CF407:CF407)</f>
        <v>-6328.4930799999975</v>
      </c>
      <c r="CG408" s="469">
        <f>SUM(CG407:CG407)</f>
        <v>0</v>
      </c>
      <c r="CH408" s="469">
        <f>SUM(CH407:CH407)</f>
        <v>10073.927760000002</v>
      </c>
      <c r="CI408" s="469">
        <f>SUM(CI407:CI407)</f>
        <v>0</v>
      </c>
      <c r="CJ408" s="469">
        <f>SUM(CJ407:CJ407)</f>
        <v>3745.4346800000017</v>
      </c>
      <c r="CK408" s="469">
        <f>SUM(CK407:CK407)</f>
        <v>0</v>
      </c>
      <c r="CL408" s="469">
        <f>SUM(CL407:CL407)</f>
        <v>75252.56</v>
      </c>
      <c r="CM408" s="469">
        <f>SUM(CM407:CM407)</f>
        <v>11635.62</v>
      </c>
    </row>
    <row r="409" spans="43:91" ht="15" thickBot="1" x14ac:dyDescent="0.35">
      <c r="AR409" t="s">
        <v>1129</v>
      </c>
      <c r="AS409" s="462">
        <f>SUMIFS(AS2:AS391,G2:G391,"PRBA",E2:E391,"0243",F2:F391,"00",AT2:AT391,1)</f>
        <v>56.95000000000001</v>
      </c>
      <c r="AT409" s="462">
        <f>SUMIFS(AS2:AS391,G2:G391,"PRBA",E2:E391,"0243",F2:F391,"00",AT2:AT391,3)</f>
        <v>0</v>
      </c>
      <c r="AU409" s="462">
        <f>SUMIFS(AU2:AU391,G2:G391,"PRBA",E2:E391,"0243",F2:F391,"00")</f>
        <v>64.05</v>
      </c>
      <c r="AV409" s="462">
        <f>SUMIFS(AV2:AV391,G2:G391,"PRBA",E2:E391,"0243",F2:F391,"00")</f>
        <v>0</v>
      </c>
      <c r="AW409" s="462">
        <f>SUMIFS(AW2:AW391,G2:G391,"PRBA",E2:E391,"0243",F2:F391,"00")</f>
        <v>95</v>
      </c>
      <c r="AX409" s="462">
        <f>SUMIFS(AX2:AX391,G2:G391,"PRBA",E2:E391,"0243",F2:F391,"00")</f>
        <v>2935465.52</v>
      </c>
      <c r="AY409" s="462">
        <f>SUMIFS(AY2:AY391,G2:G391,"PRBA",E2:E391,"0243",F2:F391,"00")</f>
        <v>2628013.44</v>
      </c>
      <c r="AZ409" s="462">
        <f>SUMIFS(AZ2:AZ391,G2:G391,"PRBA",E2:E391,"0243",F2:F391,"00")</f>
        <v>0</v>
      </c>
      <c r="BA409" s="462">
        <f>SUMIFS(BA2:BA391,G2:G391,"PRBA",E2:E391,"0243",F2:F391,"00")</f>
        <v>0</v>
      </c>
      <c r="BB409" s="462">
        <f>SUMIFS(BB2:BB391,G2:G391,"PRBA",E2:E391,"0243",F2:F391,"00")</f>
        <v>669875</v>
      </c>
      <c r="BC409" s="462">
        <f>SUMIFS(BC2:BC391,G2:G391,"PRBA",E2:E391,"0243",F2:F391,"00")</f>
        <v>0</v>
      </c>
      <c r="BD409" s="462">
        <f>SUMIFS(BD2:BD391,G2:G391,"PRBA",E2:E391,"0243",F2:F391,"00")</f>
        <v>162936.83327999999</v>
      </c>
      <c r="BE409" s="462">
        <f>SUMIFS(BE2:BE391,G2:G391,"PRBA",E2:E391,"0243",F2:F391,"00")</f>
        <v>38106.194880000017</v>
      </c>
      <c r="BF409" s="462">
        <f>SUMIFS(BF2:BF391,G2:G391,"PRBA",E2:E391,"0243",F2:F391,"00")</f>
        <v>313784.8047359999</v>
      </c>
      <c r="BG409" s="462">
        <f>SUMIFS(BG2:BG391,G2:G391,"PRBA",E2:E391,"0243",F2:F391,"00")</f>
        <v>18947.976902400002</v>
      </c>
      <c r="BH409" s="462">
        <f>SUMIFS(BH2:BH391,G2:G391,"PRBA",E2:E391,"0243",F2:F391,"00")</f>
        <v>12877.265855999995</v>
      </c>
      <c r="BI409" s="462">
        <f>SUMIFS(BI2:BI391,G2:G391,"PRBA",E2:E391,"0243",F2:F391,"00")</f>
        <v>7775.545190400001</v>
      </c>
      <c r="BJ409" s="462">
        <f>SUMIFS(BJ2:BJ391,G2:G391,"PRBA",E2:E391,"0243",F2:F391,"00")</f>
        <v>70693.561535999994</v>
      </c>
      <c r="BK409" s="462">
        <f>SUMIFS(BK2:BK391,G2:G391,"PRBA",E2:E391,"0243",F2:F391,"00")</f>
        <v>0</v>
      </c>
      <c r="BL409" s="462">
        <f>SUMIFS(BL2:BL391,G2:G391,"PRBA",E2:E391,"0243",F2:F391,"00")</f>
        <v>625122.18238080002</v>
      </c>
      <c r="BM409" s="462">
        <f>SUMIFS(BM2:BM391,G2:G391,"PRBA",E2:E391,"0243",F2:F391,"00")</f>
        <v>0</v>
      </c>
      <c r="BN409" s="462">
        <f>SUMIFS(BN2:BN391,G2:G391,"PRBA",E2:E391,"0243",F2:F391,"00")</f>
        <v>669875</v>
      </c>
      <c r="BO409" s="462">
        <f>SUMIFS(BO2:BO391,G2:G391,"PRBA",E2:E391,"0243",F2:F391,"00")</f>
        <v>0</v>
      </c>
      <c r="BP409" s="462">
        <f>SUMIFS(BP2:BP391,G2:G391,"PRBA",E2:E391,"0243",F2:F391,"00")</f>
        <v>162936.83327999999</v>
      </c>
      <c r="BQ409" s="462">
        <f>SUMIFS(BQ2:BQ391,G2:G391,"PRBA",E2:E391,"0243",F2:F391,"00")</f>
        <v>38106.194880000017</v>
      </c>
      <c r="BR409" s="462">
        <f>SUMIFS(BR2:BR391,G2:G391,"PRBA",E2:E391,"0243",F2:F391,"00")</f>
        <v>313784.8047359999</v>
      </c>
      <c r="BS409" s="462">
        <f>SUMIFS(BS2:BS391,G2:G391,"PRBA",E2:E391,"0243",F2:F391,"00")</f>
        <v>18947.976902400002</v>
      </c>
      <c r="BT409" s="462">
        <f>SUMIFS(BT2:BT391,G2:G391,"PRBA",E2:E391,"0243",F2:F391,"00")</f>
        <v>0</v>
      </c>
      <c r="BU409" s="462">
        <f>SUMIFS(BU2:BU391,G2:G391,"PRBA",E2:E391,"0243",F2:F391,"00")</f>
        <v>7775.545190400001</v>
      </c>
      <c r="BV409" s="462">
        <f>SUMIFS(BV2:BV391,G2:G391,"PRBA",E2:E391,"0243",F2:F391,"00")</f>
        <v>91192.066367999985</v>
      </c>
      <c r="BW409" s="462">
        <f>SUMIFS(BW2:BW391,G2:G391,"PRBA",E2:E391,"0243",F2:F391,"00")</f>
        <v>0</v>
      </c>
      <c r="BX409" s="462">
        <f>SUMIFS(BX2:BX391,G2:G391,"PRBA",E2:E391,"0243",F2:F391,"00")</f>
        <v>632743.42135679978</v>
      </c>
      <c r="BY409" s="462">
        <f>SUMIFS(BY2:BY391,G2:G391,"PRBA",E2:E391,"0243",F2:F391,"00")</f>
        <v>0</v>
      </c>
      <c r="BZ409" s="462">
        <f>SUMIFS(BZ2:BZ391,G2:G391,"PRBA",E2:E391,"0243",F2:F391,"00")</f>
        <v>0</v>
      </c>
      <c r="CA409" s="462">
        <f>SUMIFS(CA2:CA391,G2:G391,"PRBA",E2:E391,"0243",F2:F391,"00")</f>
        <v>0</v>
      </c>
      <c r="CB409" s="462">
        <f>SUMIFS(CB2:CB391,G2:G391,"PRBA",E2:E391,"0243",F2:F391,"00")</f>
        <v>0</v>
      </c>
      <c r="CC409" s="462">
        <f>SUMIFS(CC2:CC391,G2:G391,"PRBA",E2:E391,"0243",F2:F391,"00")</f>
        <v>0</v>
      </c>
      <c r="CD409" s="462">
        <f>SUMIFS(CD2:CD391,G2:G391,"PRBA",E2:E391,"0243",F2:F391,"00")</f>
        <v>0</v>
      </c>
      <c r="CE409" s="462">
        <f>SUMIFS(CE2:CE391,G2:G391,"PRBA",E2:E391,"0243",F2:F391,"00")</f>
        <v>0</v>
      </c>
      <c r="CF409" s="462">
        <f>SUMIFS(CF2:CF391,G2:G391,"PRBA",E2:E391,"0243",F2:F391,"00")</f>
        <v>-12877.265855999995</v>
      </c>
      <c r="CG409" s="462">
        <f>SUMIFS(CG2:CG391,G2:G391,"PRBA",E2:E391,"0243",F2:F391,"00")</f>
        <v>0</v>
      </c>
      <c r="CH409" s="462">
        <f>SUMIFS(CH2:CH391,G2:G391,"PRBA",E2:E391,"0243",F2:F391,"00")</f>
        <v>20498.504832000006</v>
      </c>
      <c r="CI409" s="462">
        <f>SUMIFS(CI2:CI391,G2:G391,"PRBA",E2:E391,"0243",F2:F391,"00")</f>
        <v>0</v>
      </c>
      <c r="CJ409" s="462">
        <f>SUMIFS(CJ2:CJ391,G2:G391,"PRBA",E2:E391,"0243",F2:F391,"00")</f>
        <v>7621.2389760000015</v>
      </c>
      <c r="CK409" s="462">
        <f>SUMIFS(CK2:CK391,G2:G391,"PRBA",E2:E391,"0243",F2:F391,"00")</f>
        <v>0</v>
      </c>
      <c r="CL409" s="462">
        <f>SUMIFS(CL2:CL391,G2:G391,"PRBA",E2:E391,"0243",F2:F391,"00")</f>
        <v>1029517.83</v>
      </c>
      <c r="CM409" s="462">
        <f>SUMIFS(CM2:CM391,G2:G391,"PRBA",E2:E391,"0243",F2:F391,"00")</f>
        <v>164707.76000000007</v>
      </c>
    </row>
    <row r="410" spans="43:91" ht="18" x14ac:dyDescent="0.35">
      <c r="AQ410" s="468" t="s">
        <v>1130</v>
      </c>
      <c r="AS410" s="469">
        <f>SUM(AS409:AS409)</f>
        <v>56.95000000000001</v>
      </c>
      <c r="AT410" s="469">
        <f>SUM(AT409:AT409)</f>
        <v>0</v>
      </c>
      <c r="AU410" s="469">
        <f>SUM(AU409:AU409)</f>
        <v>64.05</v>
      </c>
      <c r="AV410" s="469">
        <f>SUM(AV409:AV409)</f>
        <v>0</v>
      </c>
      <c r="AW410" s="469">
        <f>SUM(AW409:AW409)</f>
        <v>95</v>
      </c>
      <c r="AX410" s="469">
        <f>SUM(AX409:AX409)</f>
        <v>2935465.52</v>
      </c>
      <c r="AY410" s="469">
        <f>SUM(AY409:AY409)</f>
        <v>2628013.44</v>
      </c>
      <c r="AZ410" s="469">
        <f>SUM(AZ409:AZ409)</f>
        <v>0</v>
      </c>
      <c r="BA410" s="469">
        <f>SUM(BA409:BA409)</f>
        <v>0</v>
      </c>
      <c r="BB410" s="469">
        <f>SUM(BB409:BB409)</f>
        <v>669875</v>
      </c>
      <c r="BC410" s="469">
        <f>SUM(BC409:BC409)</f>
        <v>0</v>
      </c>
      <c r="BD410" s="469">
        <f>SUM(BD409:BD409)</f>
        <v>162936.83327999999</v>
      </c>
      <c r="BE410" s="469">
        <f>SUM(BE409:BE409)</f>
        <v>38106.194880000017</v>
      </c>
      <c r="BF410" s="469">
        <f>SUM(BF409:BF409)</f>
        <v>313784.8047359999</v>
      </c>
      <c r="BG410" s="469">
        <f>SUM(BG409:BG409)</f>
        <v>18947.976902400002</v>
      </c>
      <c r="BH410" s="469">
        <f>SUM(BH409:BH409)</f>
        <v>12877.265855999995</v>
      </c>
      <c r="BI410" s="469">
        <f>SUM(BI409:BI409)</f>
        <v>7775.545190400001</v>
      </c>
      <c r="BJ410" s="469">
        <f>SUM(BJ409:BJ409)</f>
        <v>70693.561535999994</v>
      </c>
      <c r="BK410" s="469">
        <f>SUM(BK409:BK409)</f>
        <v>0</v>
      </c>
      <c r="BL410" s="469">
        <f>SUM(BL409:BL409)</f>
        <v>625122.18238080002</v>
      </c>
      <c r="BM410" s="469">
        <f>SUM(BM409:BM409)</f>
        <v>0</v>
      </c>
      <c r="BN410" s="469">
        <f>SUM(BN409:BN409)</f>
        <v>669875</v>
      </c>
      <c r="BO410" s="469">
        <f>SUM(BO409:BO409)</f>
        <v>0</v>
      </c>
      <c r="BP410" s="469">
        <f>SUM(BP409:BP409)</f>
        <v>162936.83327999999</v>
      </c>
      <c r="BQ410" s="469">
        <f>SUM(BQ409:BQ409)</f>
        <v>38106.194880000017</v>
      </c>
      <c r="BR410" s="469">
        <f>SUM(BR409:BR409)</f>
        <v>313784.8047359999</v>
      </c>
      <c r="BS410" s="469">
        <f>SUM(BS409:BS409)</f>
        <v>18947.976902400002</v>
      </c>
      <c r="BT410" s="469">
        <f>SUM(BT409:BT409)</f>
        <v>0</v>
      </c>
      <c r="BU410" s="469">
        <f>SUM(BU409:BU409)</f>
        <v>7775.545190400001</v>
      </c>
      <c r="BV410" s="469">
        <f>SUM(BV409:BV409)</f>
        <v>91192.066367999985</v>
      </c>
      <c r="BW410" s="469">
        <f>SUM(BW409:BW409)</f>
        <v>0</v>
      </c>
      <c r="BX410" s="469">
        <f>SUM(BX409:BX409)</f>
        <v>632743.42135679978</v>
      </c>
      <c r="BY410" s="469">
        <f>SUM(BY409:BY409)</f>
        <v>0</v>
      </c>
      <c r="BZ410" s="469">
        <f>SUM(BZ409:BZ409)</f>
        <v>0</v>
      </c>
      <c r="CA410" s="469">
        <f>SUM(CA409:CA409)</f>
        <v>0</v>
      </c>
      <c r="CB410" s="469">
        <f>SUM(CB409:CB409)</f>
        <v>0</v>
      </c>
      <c r="CC410" s="469">
        <f>SUM(CC409:CC409)</f>
        <v>0</v>
      </c>
      <c r="CD410" s="469">
        <f>SUM(CD409:CD409)</f>
        <v>0</v>
      </c>
      <c r="CE410" s="469">
        <f>SUM(CE409:CE409)</f>
        <v>0</v>
      </c>
      <c r="CF410" s="469">
        <f>SUM(CF409:CF409)</f>
        <v>-12877.265855999995</v>
      </c>
      <c r="CG410" s="469">
        <f>SUM(CG409:CG409)</f>
        <v>0</v>
      </c>
      <c r="CH410" s="469">
        <f>SUM(CH409:CH409)</f>
        <v>20498.504832000006</v>
      </c>
      <c r="CI410" s="469">
        <f>SUM(CI409:CI409)</f>
        <v>0</v>
      </c>
      <c r="CJ410" s="469">
        <f>SUM(CJ409:CJ409)</f>
        <v>7621.2389760000015</v>
      </c>
      <c r="CK410" s="469">
        <f>SUM(CK409:CK409)</f>
        <v>0</v>
      </c>
      <c r="CL410" s="469">
        <f>SUM(CL409:CL409)</f>
        <v>1029517.83</v>
      </c>
      <c r="CM410" s="469">
        <f>SUM(CM409:CM409)</f>
        <v>164707.76000000007</v>
      </c>
    </row>
    <row r="411" spans="43:91" x14ac:dyDescent="0.3">
      <c r="AR411" t="s">
        <v>1132</v>
      </c>
      <c r="AS411" s="462">
        <f>SUMIFS(AS2:AS391,G2:G391,"PRBA",E2:E391,"0247",F2:F391,"00",AT2:AT391,1)</f>
        <v>0</v>
      </c>
      <c r="AT411" s="462">
        <f>SUMIFS(AS2:AS391,G2:G391,"PRBA",E2:E391,"0247",F2:F391,"00",AT2:AT391,3)</f>
        <v>0</v>
      </c>
      <c r="AU411" s="462">
        <f>SUMIFS(AU2:AU391,G2:G391,"PRBA",E2:E391,"0247",F2:F391,"00")</f>
        <v>0</v>
      </c>
      <c r="AV411" s="462">
        <f>SUMIFS(AV2:AV391,G2:G391,"PRBA",E2:E391,"0247",F2:F391,"00")</f>
        <v>0</v>
      </c>
      <c r="AW411" s="462">
        <f>SUMIFS(AW2:AW391,G2:G391,"PRBA",E2:E391,"0247",F2:F391,"00")</f>
        <v>0</v>
      </c>
      <c r="AX411" s="462">
        <f>SUMIFS(AX2:AX391,G2:G391,"PRBA",E2:E391,"0247",F2:F391,"00")</f>
        <v>0</v>
      </c>
      <c r="AY411" s="462">
        <f>SUMIFS(AY2:AY391,G2:G391,"PRBA",E2:E391,"0247",F2:F391,"00")</f>
        <v>0</v>
      </c>
      <c r="AZ411" s="462">
        <f>SUMIFS(AZ2:AZ391,G2:G391,"PRBA",E2:E391,"0247",F2:F391,"00")</f>
        <v>0</v>
      </c>
      <c r="BA411" s="462">
        <f>SUMIFS(BA2:BA391,G2:G391,"PRBA",E2:E391,"0247",F2:F391,"00")</f>
        <v>0</v>
      </c>
      <c r="BB411" s="462">
        <f>SUMIFS(BB2:BB391,G2:G391,"PRBA",E2:E391,"0247",F2:F391,"00")</f>
        <v>0</v>
      </c>
      <c r="BC411" s="462">
        <f>SUMIFS(BC2:BC391,G2:G391,"PRBA",E2:E391,"0247",F2:F391,"00")</f>
        <v>0</v>
      </c>
      <c r="BD411" s="462">
        <f>SUMIFS(BD2:BD391,G2:G391,"PRBA",E2:E391,"0247",F2:F391,"00")</f>
        <v>0</v>
      </c>
      <c r="BE411" s="462">
        <f>SUMIFS(BE2:BE391,G2:G391,"PRBA",E2:E391,"0247",F2:F391,"00")</f>
        <v>0</v>
      </c>
      <c r="BF411" s="462">
        <f>SUMIFS(BF2:BF391,G2:G391,"PRBA",E2:E391,"0247",F2:F391,"00")</f>
        <v>0</v>
      </c>
      <c r="BG411" s="462">
        <f>SUMIFS(BG2:BG391,G2:G391,"PRBA",E2:E391,"0247",F2:F391,"00")</f>
        <v>0</v>
      </c>
      <c r="BH411" s="462">
        <f>SUMIFS(BH2:BH391,G2:G391,"PRBA",E2:E391,"0247",F2:F391,"00")</f>
        <v>0</v>
      </c>
      <c r="BI411" s="462">
        <f>SUMIFS(BI2:BI391,G2:G391,"PRBA",E2:E391,"0247",F2:F391,"00")</f>
        <v>0</v>
      </c>
      <c r="BJ411" s="462">
        <f>SUMIFS(BJ2:BJ391,G2:G391,"PRBA",E2:E391,"0247",F2:F391,"00")</f>
        <v>0</v>
      </c>
      <c r="BK411" s="462">
        <f>SUMIFS(BK2:BK391,G2:G391,"PRBA",E2:E391,"0247",F2:F391,"00")</f>
        <v>0</v>
      </c>
      <c r="BL411" s="462">
        <f>SUMIFS(BL2:BL391,G2:G391,"PRBA",E2:E391,"0247",F2:F391,"00")</f>
        <v>0</v>
      </c>
      <c r="BM411" s="462">
        <f>SUMIFS(BM2:BM391,G2:G391,"PRBA",E2:E391,"0247",F2:F391,"00")</f>
        <v>0</v>
      </c>
      <c r="BN411" s="462">
        <f>SUMIFS(BN2:BN391,G2:G391,"PRBA",E2:E391,"0247",F2:F391,"00")</f>
        <v>0</v>
      </c>
      <c r="BO411" s="462">
        <f>SUMIFS(BO2:BO391,G2:G391,"PRBA",E2:E391,"0247",F2:F391,"00")</f>
        <v>0</v>
      </c>
      <c r="BP411" s="462">
        <f>SUMIFS(BP2:BP391,G2:G391,"PRBA",E2:E391,"0247",F2:F391,"00")</f>
        <v>0</v>
      </c>
      <c r="BQ411" s="462">
        <f>SUMIFS(BQ2:BQ391,G2:G391,"PRBA",E2:E391,"0247",F2:F391,"00")</f>
        <v>0</v>
      </c>
      <c r="BR411" s="462">
        <f>SUMIFS(BR2:BR391,G2:G391,"PRBA",E2:E391,"0247",F2:F391,"00")</f>
        <v>0</v>
      </c>
      <c r="BS411" s="462">
        <f>SUMIFS(BS2:BS391,G2:G391,"PRBA",E2:E391,"0247",F2:F391,"00")</f>
        <v>0</v>
      </c>
      <c r="BT411" s="462">
        <f>SUMIFS(BT2:BT391,G2:G391,"PRBA",E2:E391,"0247",F2:F391,"00")</f>
        <v>0</v>
      </c>
      <c r="BU411" s="462">
        <f>SUMIFS(BU2:BU391,G2:G391,"PRBA",E2:E391,"0247",F2:F391,"00")</f>
        <v>0</v>
      </c>
      <c r="BV411" s="462">
        <f>SUMIFS(BV2:BV391,G2:G391,"PRBA",E2:E391,"0247",F2:F391,"00")</f>
        <v>0</v>
      </c>
      <c r="BW411" s="462">
        <f>SUMIFS(BW2:BW391,G2:G391,"PRBA",E2:E391,"0247",F2:F391,"00")</f>
        <v>0</v>
      </c>
      <c r="BX411" s="462">
        <f>SUMIFS(BX2:BX391,G2:G391,"PRBA",E2:E391,"0247",F2:F391,"00")</f>
        <v>0</v>
      </c>
      <c r="BY411" s="462">
        <f>SUMIFS(BY2:BY391,G2:G391,"PRBA",E2:E391,"0247",F2:F391,"00")</f>
        <v>0</v>
      </c>
      <c r="BZ411" s="462">
        <f>SUMIFS(BZ2:BZ391,G2:G391,"PRBA",E2:E391,"0247",F2:F391,"00")</f>
        <v>0</v>
      </c>
      <c r="CA411" s="462">
        <f>SUMIFS(CA2:CA391,G2:G391,"PRBA",E2:E391,"0247",F2:F391,"00")</f>
        <v>0</v>
      </c>
      <c r="CB411" s="462">
        <f>SUMIFS(CB2:CB391,G2:G391,"PRBA",E2:E391,"0247",F2:F391,"00")</f>
        <v>0</v>
      </c>
      <c r="CC411" s="462">
        <f>SUMIFS(CC2:CC391,G2:G391,"PRBA",E2:E391,"0247",F2:F391,"00")</f>
        <v>0</v>
      </c>
      <c r="CD411" s="462">
        <f>SUMIFS(CD2:CD391,G2:G391,"PRBA",E2:E391,"0247",F2:F391,"00")</f>
        <v>0</v>
      </c>
      <c r="CE411" s="462">
        <f>SUMIFS(CE2:CE391,G2:G391,"PRBA",E2:E391,"0247",F2:F391,"00")</f>
        <v>0</v>
      </c>
      <c r="CF411" s="462">
        <f>SUMIFS(CF2:CF391,G2:G391,"PRBA",E2:E391,"0247",F2:F391,"00")</f>
        <v>0</v>
      </c>
      <c r="CG411" s="462">
        <f>SUMIFS(CG2:CG391,G2:G391,"PRBA",E2:E391,"0247",F2:F391,"00")</f>
        <v>0</v>
      </c>
      <c r="CH411" s="462">
        <f>SUMIFS(CH2:CH391,G2:G391,"PRBA",E2:E391,"0247",F2:F391,"00")</f>
        <v>0</v>
      </c>
      <c r="CI411" s="462">
        <f>SUMIFS(CI2:CI391,G2:G391,"PRBA",E2:E391,"0247",F2:F391,"00")</f>
        <v>0</v>
      </c>
      <c r="CJ411" s="462">
        <f>SUMIFS(CJ2:CJ391,G2:G391,"PRBA",E2:E391,"0247",F2:F391,"00")</f>
        <v>0</v>
      </c>
      <c r="CK411" s="462">
        <f>SUMIFS(CK2:CK391,G2:G391,"PRBA",E2:E391,"0247",F2:F391,"00")</f>
        <v>0</v>
      </c>
      <c r="CL411" s="462">
        <f>SUMIFS(CL2:CL391,G2:G391,"PRBA",E2:E391,"0247",F2:F391,"00")</f>
        <v>0</v>
      </c>
      <c r="CM411" s="462">
        <f>SUMIFS(CM2:CM391,G2:G391,"PRBA",E2:E391,"0247",F2:F391,"00")</f>
        <v>0</v>
      </c>
    </row>
    <row r="412" spans="43:91" ht="15" thickBot="1" x14ac:dyDescent="0.35">
      <c r="AR412" t="s">
        <v>1133</v>
      </c>
      <c r="AS412" s="462">
        <f>SUMIFS(AS2:AS391,G2:G391,"PRBA",E2:E391,"0247",F2:F391,"06",AT2:AT391,1)</f>
        <v>2.4300000000000002</v>
      </c>
      <c r="AT412" s="462">
        <f>SUMIFS(AS2:AS391,G2:G391,"PRBA",E2:E391,"0247",F2:F391,"06",AT2:AT391,3)</f>
        <v>0</v>
      </c>
      <c r="AU412" s="462">
        <f>SUMIFS(AU2:AU391,G2:G391,"PRBA",E2:E391,"0247",F2:F391,"06")</f>
        <v>6</v>
      </c>
      <c r="AV412" s="462">
        <f>SUMIFS(AV2:AV391,G2:G391,"PRBA",E2:E391,"0247",F2:F391,"06")</f>
        <v>0</v>
      </c>
      <c r="AW412" s="462">
        <f>SUMIFS(AW2:AW391,G2:G391,"PRBA",E2:E391,"0247",F2:F391,"06")</f>
        <v>16</v>
      </c>
      <c r="AX412" s="462">
        <f>SUMIFS(AX2:AX391,G2:G391,"PRBA",E2:E391,"0247",F2:F391,"06")</f>
        <v>363292.80000000005</v>
      </c>
      <c r="AY412" s="462">
        <f>SUMIFS(AY2:AY391,G2:G391,"PRBA",E2:E391,"0247",F2:F391,"06")</f>
        <v>146850.08000000002</v>
      </c>
      <c r="AZ412" s="462">
        <f>SUMIFS(AZ2:AZ391,G2:G391,"PRBA",E2:E391,"0247",F2:F391,"06")</f>
        <v>0</v>
      </c>
      <c r="BA412" s="462">
        <f>SUMIFS(BA2:BA391,G2:G391,"PRBA",E2:E391,"0247",F2:F391,"06")</f>
        <v>0</v>
      </c>
      <c r="BB412" s="462">
        <f>SUMIFS(BB2:BB391,G2:G391,"PRBA",E2:E391,"0247",F2:F391,"06")</f>
        <v>28309.5</v>
      </c>
      <c r="BC412" s="462">
        <f>SUMIFS(BC2:BC391,G2:G391,"PRBA",E2:E391,"0247",F2:F391,"06")</f>
        <v>0</v>
      </c>
      <c r="BD412" s="462">
        <f>SUMIFS(BD2:BD391,G2:G391,"PRBA",E2:E391,"0247",F2:F391,"06")</f>
        <v>9104.7049600000009</v>
      </c>
      <c r="BE412" s="462">
        <f>SUMIFS(BE2:BE391,G2:G391,"PRBA",E2:E391,"0247",F2:F391,"06")</f>
        <v>2129.3261600000001</v>
      </c>
      <c r="BF412" s="462">
        <f>SUMIFS(BF2:BF391,G2:G391,"PRBA",E2:E391,"0247",F2:F391,"06")</f>
        <v>17533.899552000003</v>
      </c>
      <c r="BG412" s="462">
        <f>SUMIFS(BG2:BG391,G2:G391,"PRBA",E2:E391,"0247",F2:F391,"06")</f>
        <v>1058.7890768</v>
      </c>
      <c r="BH412" s="462">
        <f>SUMIFS(BH2:BH391,G2:G391,"PRBA",E2:E391,"0247",F2:F391,"06")</f>
        <v>719.56539199999997</v>
      </c>
      <c r="BI412" s="462">
        <f>SUMIFS(BI2:BI391,G2:G391,"PRBA",E2:E391,"0247",F2:F391,"06")</f>
        <v>449.36124479999989</v>
      </c>
      <c r="BJ412" s="462">
        <f>SUMIFS(BJ2:BJ391,G2:G391,"PRBA",E2:E391,"0247",F2:F391,"06")</f>
        <v>3950.2671520000004</v>
      </c>
      <c r="BK412" s="462">
        <f>SUMIFS(BK2:BK391,G2:G391,"PRBA",E2:E391,"0247",F2:F391,"06")</f>
        <v>0</v>
      </c>
      <c r="BL412" s="462">
        <f>SUMIFS(BL2:BL391,G2:G391,"PRBA",E2:E391,"0247",F2:F391,"06")</f>
        <v>34945.913537599998</v>
      </c>
      <c r="BM412" s="462">
        <f>SUMIFS(BM2:BM391,G2:G391,"PRBA",E2:E391,"0247",F2:F391,"06")</f>
        <v>0</v>
      </c>
      <c r="BN412" s="462">
        <f>SUMIFS(BN2:BN391,G2:G391,"PRBA",E2:E391,"0247",F2:F391,"06")</f>
        <v>28309.5</v>
      </c>
      <c r="BO412" s="462">
        <f>SUMIFS(BO2:BO391,G2:G391,"PRBA",E2:E391,"0247",F2:F391,"06")</f>
        <v>0</v>
      </c>
      <c r="BP412" s="462">
        <f>SUMIFS(BP2:BP391,G2:G391,"PRBA",E2:E391,"0247",F2:F391,"06")</f>
        <v>9104.7049600000009</v>
      </c>
      <c r="BQ412" s="462">
        <f>SUMIFS(BQ2:BQ391,G2:G391,"PRBA",E2:E391,"0247",F2:F391,"06")</f>
        <v>2129.3261600000001</v>
      </c>
      <c r="BR412" s="462">
        <f>SUMIFS(BR2:BR391,G2:G391,"PRBA",E2:E391,"0247",F2:F391,"06")</f>
        <v>17533.899552000003</v>
      </c>
      <c r="BS412" s="462">
        <f>SUMIFS(BS2:BS391,G2:G391,"PRBA",E2:E391,"0247",F2:F391,"06")</f>
        <v>1058.7890768</v>
      </c>
      <c r="BT412" s="462">
        <f>SUMIFS(BT2:BT391,G2:G391,"PRBA",E2:E391,"0247",F2:F391,"06")</f>
        <v>0</v>
      </c>
      <c r="BU412" s="462">
        <f>SUMIFS(BU2:BU391,G2:G391,"PRBA",E2:E391,"0247",F2:F391,"06")</f>
        <v>449.36124479999989</v>
      </c>
      <c r="BV412" s="462">
        <f>SUMIFS(BV2:BV391,G2:G391,"PRBA",E2:E391,"0247",F2:F391,"06")</f>
        <v>5095.697776</v>
      </c>
      <c r="BW412" s="462">
        <f>SUMIFS(BW2:BW391,G2:G391,"PRBA",E2:E391,"0247",F2:F391,"06")</f>
        <v>0</v>
      </c>
      <c r="BX412" s="462">
        <f>SUMIFS(BX2:BX391,G2:G391,"PRBA",E2:E391,"0247",F2:F391,"06")</f>
        <v>35371.778769600001</v>
      </c>
      <c r="BY412" s="462">
        <f>SUMIFS(BY2:BY391,G2:G391,"PRBA",E2:E391,"0247",F2:F391,"06")</f>
        <v>0</v>
      </c>
      <c r="BZ412" s="462">
        <f>SUMIFS(BZ2:BZ391,G2:G391,"PRBA",E2:E391,"0247",F2:F391,"06")</f>
        <v>0</v>
      </c>
      <c r="CA412" s="462">
        <f>SUMIFS(CA2:CA391,G2:G391,"PRBA",E2:E391,"0247",F2:F391,"06")</f>
        <v>0</v>
      </c>
      <c r="CB412" s="462">
        <f>SUMIFS(CB2:CB391,G2:G391,"PRBA",E2:E391,"0247",F2:F391,"06")</f>
        <v>0</v>
      </c>
      <c r="CC412" s="462">
        <f>SUMIFS(CC2:CC391,G2:G391,"PRBA",E2:E391,"0247",F2:F391,"06")</f>
        <v>0</v>
      </c>
      <c r="CD412" s="462">
        <f>SUMIFS(CD2:CD391,G2:G391,"PRBA",E2:E391,"0247",F2:F391,"06")</f>
        <v>0</v>
      </c>
      <c r="CE412" s="462">
        <f>SUMIFS(CE2:CE391,G2:G391,"PRBA",E2:E391,"0247",F2:F391,"06")</f>
        <v>0</v>
      </c>
      <c r="CF412" s="462">
        <f>SUMIFS(CF2:CF391,G2:G391,"PRBA",E2:E391,"0247",F2:F391,"06")</f>
        <v>-719.56539199999997</v>
      </c>
      <c r="CG412" s="462">
        <f>SUMIFS(CG2:CG391,G2:G391,"PRBA",E2:E391,"0247",F2:F391,"06")</f>
        <v>0</v>
      </c>
      <c r="CH412" s="462">
        <f>SUMIFS(CH2:CH391,G2:G391,"PRBA",E2:E391,"0247",F2:F391,"06")</f>
        <v>1145.4306240000003</v>
      </c>
      <c r="CI412" s="462">
        <f>SUMIFS(CI2:CI391,G2:G391,"PRBA",E2:E391,"0247",F2:F391,"06")</f>
        <v>0</v>
      </c>
      <c r="CJ412" s="462">
        <f>SUMIFS(CJ2:CJ391,G2:G391,"PRBA",E2:E391,"0247",F2:F391,"06")</f>
        <v>425.86523200000022</v>
      </c>
      <c r="CK412" s="462">
        <f>SUMIFS(CK2:CK391,G2:G391,"PRBA",E2:E391,"0247",F2:F391,"06")</f>
        <v>0</v>
      </c>
      <c r="CL412" s="462">
        <f>SUMIFS(CL2:CL391,G2:G391,"PRBA",E2:E391,"0247",F2:F391,"06")</f>
        <v>0</v>
      </c>
      <c r="CM412" s="462">
        <f>SUMIFS(CM2:CM391,G2:G391,"PRBA",E2:E391,"0247",F2:F391,"06")</f>
        <v>0</v>
      </c>
    </row>
    <row r="413" spans="43:91" ht="18" x14ac:dyDescent="0.35">
      <c r="AQ413" s="468" t="s">
        <v>1134</v>
      </c>
      <c r="AS413" s="469">
        <f>SUM(AS411:AS412)</f>
        <v>2.4300000000000002</v>
      </c>
      <c r="AT413" s="469">
        <f>SUM(AT411:AT412)</f>
        <v>0</v>
      </c>
      <c r="AU413" s="469">
        <f>SUM(AU411:AU412)</f>
        <v>6</v>
      </c>
      <c r="AV413" s="469">
        <f>SUM(AV411:AV412)</f>
        <v>0</v>
      </c>
      <c r="AW413" s="469">
        <f>SUM(AW411:AW412)</f>
        <v>16</v>
      </c>
      <c r="AX413" s="469">
        <f>SUM(AX411:AX412)</f>
        <v>363292.80000000005</v>
      </c>
      <c r="AY413" s="469">
        <f>SUM(AY411:AY412)</f>
        <v>146850.08000000002</v>
      </c>
      <c r="AZ413" s="469">
        <f>SUM(AZ411:AZ412)</f>
        <v>0</v>
      </c>
      <c r="BA413" s="469">
        <f>SUM(BA411:BA412)</f>
        <v>0</v>
      </c>
      <c r="BB413" s="469">
        <f>SUM(BB411:BB412)</f>
        <v>28309.5</v>
      </c>
      <c r="BC413" s="469">
        <f>SUM(BC411:BC412)</f>
        <v>0</v>
      </c>
      <c r="BD413" s="469">
        <f>SUM(BD411:BD412)</f>
        <v>9104.7049600000009</v>
      </c>
      <c r="BE413" s="469">
        <f>SUM(BE411:BE412)</f>
        <v>2129.3261600000001</v>
      </c>
      <c r="BF413" s="469">
        <f>SUM(BF411:BF412)</f>
        <v>17533.899552000003</v>
      </c>
      <c r="BG413" s="469">
        <f>SUM(BG411:BG412)</f>
        <v>1058.7890768</v>
      </c>
      <c r="BH413" s="469">
        <f>SUM(BH411:BH412)</f>
        <v>719.56539199999997</v>
      </c>
      <c r="BI413" s="469">
        <f>SUM(BI411:BI412)</f>
        <v>449.36124479999989</v>
      </c>
      <c r="BJ413" s="469">
        <f>SUM(BJ411:BJ412)</f>
        <v>3950.2671520000004</v>
      </c>
      <c r="BK413" s="469">
        <f>SUM(BK411:BK412)</f>
        <v>0</v>
      </c>
      <c r="BL413" s="469">
        <f>SUM(BL411:BL412)</f>
        <v>34945.913537599998</v>
      </c>
      <c r="BM413" s="469">
        <f>SUM(BM411:BM412)</f>
        <v>0</v>
      </c>
      <c r="BN413" s="469">
        <f>SUM(BN411:BN412)</f>
        <v>28309.5</v>
      </c>
      <c r="BO413" s="469">
        <f>SUM(BO411:BO412)</f>
        <v>0</v>
      </c>
      <c r="BP413" s="469">
        <f>SUM(BP411:BP412)</f>
        <v>9104.7049600000009</v>
      </c>
      <c r="BQ413" s="469">
        <f>SUM(BQ411:BQ412)</f>
        <v>2129.3261600000001</v>
      </c>
      <c r="BR413" s="469">
        <f>SUM(BR411:BR412)</f>
        <v>17533.899552000003</v>
      </c>
      <c r="BS413" s="469">
        <f>SUM(BS411:BS412)</f>
        <v>1058.7890768</v>
      </c>
      <c r="BT413" s="469">
        <f>SUM(BT411:BT412)</f>
        <v>0</v>
      </c>
      <c r="BU413" s="469">
        <f>SUM(BU411:BU412)</f>
        <v>449.36124479999989</v>
      </c>
      <c r="BV413" s="469">
        <f>SUM(BV411:BV412)</f>
        <v>5095.697776</v>
      </c>
      <c r="BW413" s="469">
        <f>SUM(BW411:BW412)</f>
        <v>0</v>
      </c>
      <c r="BX413" s="469">
        <f>SUM(BX411:BX412)</f>
        <v>35371.778769600001</v>
      </c>
      <c r="BY413" s="469">
        <f>SUM(BY411:BY412)</f>
        <v>0</v>
      </c>
      <c r="BZ413" s="469">
        <f>SUM(BZ411:BZ412)</f>
        <v>0</v>
      </c>
      <c r="CA413" s="469">
        <f>SUM(CA411:CA412)</f>
        <v>0</v>
      </c>
      <c r="CB413" s="469">
        <f>SUM(CB411:CB412)</f>
        <v>0</v>
      </c>
      <c r="CC413" s="469">
        <f>SUM(CC411:CC412)</f>
        <v>0</v>
      </c>
      <c r="CD413" s="469">
        <f>SUM(CD411:CD412)</f>
        <v>0</v>
      </c>
      <c r="CE413" s="469">
        <f>SUM(CE411:CE412)</f>
        <v>0</v>
      </c>
      <c r="CF413" s="469">
        <f>SUM(CF411:CF412)</f>
        <v>-719.56539199999997</v>
      </c>
      <c r="CG413" s="469">
        <f>SUM(CG411:CG412)</f>
        <v>0</v>
      </c>
      <c r="CH413" s="469">
        <f>SUM(CH411:CH412)</f>
        <v>1145.4306240000003</v>
      </c>
      <c r="CI413" s="469">
        <f>SUM(CI411:CI412)</f>
        <v>0</v>
      </c>
      <c r="CJ413" s="469">
        <f>SUM(CJ411:CJ412)</f>
        <v>425.86523200000022</v>
      </c>
      <c r="CK413" s="469">
        <f>SUM(CK411:CK412)</f>
        <v>0</v>
      </c>
      <c r="CL413" s="469">
        <f>SUM(CL411:CL412)</f>
        <v>0</v>
      </c>
      <c r="CM413" s="469">
        <f>SUM(CM411:CM412)</f>
        <v>0</v>
      </c>
    </row>
    <row r="414" spans="43:91" ht="15" thickBot="1" x14ac:dyDescent="0.35">
      <c r="AR414" t="s">
        <v>1136</v>
      </c>
      <c r="AS414" s="462">
        <f>SUMIFS(AS2:AS391,G2:G391,"PRBA",E2:E391,"0349",F2:F391,"00",AT2:AT391,1)</f>
        <v>0</v>
      </c>
      <c r="AT414" s="462">
        <f>SUMIFS(AS2:AS391,G2:G391,"PRBA",E2:E391,"0349",F2:F391,"00",AT2:AT391,3)</f>
        <v>0</v>
      </c>
      <c r="AU414" s="462">
        <f>SUMIFS(AU2:AU391,G2:G391,"PRBA",E2:E391,"0349",F2:F391,"00")</f>
        <v>0</v>
      </c>
      <c r="AV414" s="462">
        <f>SUMIFS(AV2:AV391,G2:G391,"PRBA",E2:E391,"0349",F2:F391,"00")</f>
        <v>0</v>
      </c>
      <c r="AW414" s="462">
        <f>SUMIFS(AW2:AW391,G2:G391,"PRBA",E2:E391,"0349",F2:F391,"00")</f>
        <v>0</v>
      </c>
      <c r="AX414" s="462">
        <f>SUMIFS(AX2:AX391,G2:G391,"PRBA",E2:E391,"0349",F2:F391,"00")</f>
        <v>0</v>
      </c>
      <c r="AY414" s="462">
        <f>SUMIFS(AY2:AY391,G2:G391,"PRBA",E2:E391,"0349",F2:F391,"00")</f>
        <v>0</v>
      </c>
      <c r="AZ414" s="462">
        <f>SUMIFS(AZ2:AZ391,G2:G391,"PRBA",E2:E391,"0349",F2:F391,"00")</f>
        <v>0</v>
      </c>
      <c r="BA414" s="462">
        <f>SUMIFS(BA2:BA391,G2:G391,"PRBA",E2:E391,"0349",F2:F391,"00")</f>
        <v>0</v>
      </c>
      <c r="BB414" s="462">
        <f>SUMIFS(BB2:BB391,G2:G391,"PRBA",E2:E391,"0349",F2:F391,"00")</f>
        <v>0</v>
      </c>
      <c r="BC414" s="462">
        <f>SUMIFS(BC2:BC391,G2:G391,"PRBA",E2:E391,"0349",F2:F391,"00")</f>
        <v>0</v>
      </c>
      <c r="BD414" s="462">
        <f>SUMIFS(BD2:BD391,G2:G391,"PRBA",E2:E391,"0349",F2:F391,"00")</f>
        <v>0</v>
      </c>
      <c r="BE414" s="462">
        <f>SUMIFS(BE2:BE391,G2:G391,"PRBA",E2:E391,"0349",F2:F391,"00")</f>
        <v>0</v>
      </c>
      <c r="BF414" s="462">
        <f>SUMIFS(BF2:BF391,G2:G391,"PRBA",E2:E391,"0349",F2:F391,"00")</f>
        <v>0</v>
      </c>
      <c r="BG414" s="462">
        <f>SUMIFS(BG2:BG391,G2:G391,"PRBA",E2:E391,"0349",F2:F391,"00")</f>
        <v>0</v>
      </c>
      <c r="BH414" s="462">
        <f>SUMIFS(BH2:BH391,G2:G391,"PRBA",E2:E391,"0349",F2:F391,"00")</f>
        <v>0</v>
      </c>
      <c r="BI414" s="462">
        <f>SUMIFS(BI2:BI391,G2:G391,"PRBA",E2:E391,"0349",F2:F391,"00")</f>
        <v>0</v>
      </c>
      <c r="BJ414" s="462">
        <f>SUMIFS(BJ2:BJ391,G2:G391,"PRBA",E2:E391,"0349",F2:F391,"00")</f>
        <v>0</v>
      </c>
      <c r="BK414" s="462">
        <f>SUMIFS(BK2:BK391,G2:G391,"PRBA",E2:E391,"0349",F2:F391,"00")</f>
        <v>0</v>
      </c>
      <c r="BL414" s="462">
        <f>SUMIFS(BL2:BL391,G2:G391,"PRBA",E2:E391,"0349",F2:F391,"00")</f>
        <v>0</v>
      </c>
      <c r="BM414" s="462">
        <f>SUMIFS(BM2:BM391,G2:G391,"PRBA",E2:E391,"0349",F2:F391,"00")</f>
        <v>0</v>
      </c>
      <c r="BN414" s="462">
        <f>SUMIFS(BN2:BN391,G2:G391,"PRBA",E2:E391,"0349",F2:F391,"00")</f>
        <v>0</v>
      </c>
      <c r="BO414" s="462">
        <f>SUMIFS(BO2:BO391,G2:G391,"PRBA",E2:E391,"0349",F2:F391,"00")</f>
        <v>0</v>
      </c>
      <c r="BP414" s="462">
        <f>SUMIFS(BP2:BP391,G2:G391,"PRBA",E2:E391,"0349",F2:F391,"00")</f>
        <v>0</v>
      </c>
      <c r="BQ414" s="462">
        <f>SUMIFS(BQ2:BQ391,G2:G391,"PRBA",E2:E391,"0349",F2:F391,"00")</f>
        <v>0</v>
      </c>
      <c r="BR414" s="462">
        <f>SUMIFS(BR2:BR391,G2:G391,"PRBA",E2:E391,"0349",F2:F391,"00")</f>
        <v>0</v>
      </c>
      <c r="BS414" s="462">
        <f>SUMIFS(BS2:BS391,G2:G391,"PRBA",E2:E391,"0349",F2:F391,"00")</f>
        <v>0</v>
      </c>
      <c r="BT414" s="462">
        <f>SUMIFS(BT2:BT391,G2:G391,"PRBA",E2:E391,"0349",F2:F391,"00")</f>
        <v>0</v>
      </c>
      <c r="BU414" s="462">
        <f>SUMIFS(BU2:BU391,G2:G391,"PRBA",E2:E391,"0349",F2:F391,"00")</f>
        <v>0</v>
      </c>
      <c r="BV414" s="462">
        <f>SUMIFS(BV2:BV391,G2:G391,"PRBA",E2:E391,"0349",F2:F391,"00")</f>
        <v>0</v>
      </c>
      <c r="BW414" s="462">
        <f>SUMIFS(BW2:BW391,G2:G391,"PRBA",E2:E391,"0349",F2:F391,"00")</f>
        <v>0</v>
      </c>
      <c r="BX414" s="462">
        <f>SUMIFS(BX2:BX391,G2:G391,"PRBA",E2:E391,"0349",F2:F391,"00")</f>
        <v>0</v>
      </c>
      <c r="BY414" s="462">
        <f>SUMIFS(BY2:BY391,G2:G391,"PRBA",E2:E391,"0349",F2:F391,"00")</f>
        <v>0</v>
      </c>
      <c r="BZ414" s="462">
        <f>SUMIFS(BZ2:BZ391,G2:G391,"PRBA",E2:E391,"0349",F2:F391,"00")</f>
        <v>0</v>
      </c>
      <c r="CA414" s="462">
        <f>SUMIFS(CA2:CA391,G2:G391,"PRBA",E2:E391,"0349",F2:F391,"00")</f>
        <v>0</v>
      </c>
      <c r="CB414" s="462">
        <f>SUMIFS(CB2:CB391,G2:G391,"PRBA",E2:E391,"0349",F2:F391,"00")</f>
        <v>0</v>
      </c>
      <c r="CC414" s="462">
        <f>SUMIFS(CC2:CC391,G2:G391,"PRBA",E2:E391,"0349",F2:F391,"00")</f>
        <v>0</v>
      </c>
      <c r="CD414" s="462">
        <f>SUMIFS(CD2:CD391,G2:G391,"PRBA",E2:E391,"0349",F2:F391,"00")</f>
        <v>0</v>
      </c>
      <c r="CE414" s="462">
        <f>SUMIFS(CE2:CE391,G2:G391,"PRBA",E2:E391,"0349",F2:F391,"00")</f>
        <v>0</v>
      </c>
      <c r="CF414" s="462">
        <f>SUMIFS(CF2:CF391,G2:G391,"PRBA",E2:E391,"0349",F2:F391,"00")</f>
        <v>0</v>
      </c>
      <c r="CG414" s="462">
        <f>SUMIFS(CG2:CG391,G2:G391,"PRBA",E2:E391,"0349",F2:F391,"00")</f>
        <v>0</v>
      </c>
      <c r="CH414" s="462">
        <f>SUMIFS(CH2:CH391,G2:G391,"PRBA",E2:E391,"0349",F2:F391,"00")</f>
        <v>0</v>
      </c>
      <c r="CI414" s="462">
        <f>SUMIFS(CI2:CI391,G2:G391,"PRBA",E2:E391,"0349",F2:F391,"00")</f>
        <v>0</v>
      </c>
      <c r="CJ414" s="462">
        <f>SUMIFS(CJ2:CJ391,G2:G391,"PRBA",E2:E391,"0349",F2:F391,"00")</f>
        <v>0</v>
      </c>
      <c r="CK414" s="462">
        <f>SUMIFS(CK2:CK391,G2:G391,"PRBA",E2:E391,"0349",F2:F391,"00")</f>
        <v>0</v>
      </c>
      <c r="CL414" s="462">
        <f>SUMIFS(CL2:CL391,G2:G391,"PRBA",E2:E391,"0349",F2:F391,"00")</f>
        <v>0</v>
      </c>
      <c r="CM414" s="462">
        <f>SUMIFS(CM2:CM391,G2:G391,"PRBA",E2:E391,"0349",F2:F391,"00")</f>
        <v>0</v>
      </c>
    </row>
    <row r="415" spans="43:91" ht="18" x14ac:dyDescent="0.35">
      <c r="AQ415" s="468" t="s">
        <v>1137</v>
      </c>
      <c r="AS415" s="469">
        <f>SUM(AS414:AS414)</f>
        <v>0</v>
      </c>
      <c r="AT415" s="469">
        <f>SUM(AT414:AT414)</f>
        <v>0</v>
      </c>
      <c r="AU415" s="469">
        <f>SUM(AU414:AU414)</f>
        <v>0</v>
      </c>
      <c r="AV415" s="469">
        <f>SUM(AV414:AV414)</f>
        <v>0</v>
      </c>
      <c r="AW415" s="469">
        <f>SUM(AW414:AW414)</f>
        <v>0</v>
      </c>
      <c r="AX415" s="469">
        <f>SUM(AX414:AX414)</f>
        <v>0</v>
      </c>
      <c r="AY415" s="469">
        <f>SUM(AY414:AY414)</f>
        <v>0</v>
      </c>
      <c r="AZ415" s="469">
        <f>SUM(AZ414:AZ414)</f>
        <v>0</v>
      </c>
      <c r="BA415" s="469">
        <f>SUM(BA414:BA414)</f>
        <v>0</v>
      </c>
      <c r="BB415" s="469">
        <f>SUM(BB414:BB414)</f>
        <v>0</v>
      </c>
      <c r="BC415" s="469">
        <f>SUM(BC414:BC414)</f>
        <v>0</v>
      </c>
      <c r="BD415" s="469">
        <f>SUM(BD414:BD414)</f>
        <v>0</v>
      </c>
      <c r="BE415" s="469">
        <f>SUM(BE414:BE414)</f>
        <v>0</v>
      </c>
      <c r="BF415" s="469">
        <f>SUM(BF414:BF414)</f>
        <v>0</v>
      </c>
      <c r="BG415" s="469">
        <f>SUM(BG414:BG414)</f>
        <v>0</v>
      </c>
      <c r="BH415" s="469">
        <f>SUM(BH414:BH414)</f>
        <v>0</v>
      </c>
      <c r="BI415" s="469">
        <f>SUM(BI414:BI414)</f>
        <v>0</v>
      </c>
      <c r="BJ415" s="469">
        <f>SUM(BJ414:BJ414)</f>
        <v>0</v>
      </c>
      <c r="BK415" s="469">
        <f>SUM(BK414:BK414)</f>
        <v>0</v>
      </c>
      <c r="BL415" s="469">
        <f>SUM(BL414:BL414)</f>
        <v>0</v>
      </c>
      <c r="BM415" s="469">
        <f>SUM(BM414:BM414)</f>
        <v>0</v>
      </c>
      <c r="BN415" s="469">
        <f>SUM(BN414:BN414)</f>
        <v>0</v>
      </c>
      <c r="BO415" s="469">
        <f>SUM(BO414:BO414)</f>
        <v>0</v>
      </c>
      <c r="BP415" s="469">
        <f>SUM(BP414:BP414)</f>
        <v>0</v>
      </c>
      <c r="BQ415" s="469">
        <f>SUM(BQ414:BQ414)</f>
        <v>0</v>
      </c>
      <c r="BR415" s="469">
        <f>SUM(BR414:BR414)</f>
        <v>0</v>
      </c>
      <c r="BS415" s="469">
        <f>SUM(BS414:BS414)</f>
        <v>0</v>
      </c>
      <c r="BT415" s="469">
        <f>SUM(BT414:BT414)</f>
        <v>0</v>
      </c>
      <c r="BU415" s="469">
        <f>SUM(BU414:BU414)</f>
        <v>0</v>
      </c>
      <c r="BV415" s="469">
        <f>SUM(BV414:BV414)</f>
        <v>0</v>
      </c>
      <c r="BW415" s="469">
        <f>SUM(BW414:BW414)</f>
        <v>0</v>
      </c>
      <c r="BX415" s="469">
        <f>SUM(BX414:BX414)</f>
        <v>0</v>
      </c>
      <c r="BY415" s="469">
        <f>SUM(BY414:BY414)</f>
        <v>0</v>
      </c>
      <c r="BZ415" s="469">
        <f>SUM(BZ414:BZ414)</f>
        <v>0</v>
      </c>
      <c r="CA415" s="469">
        <f>SUM(CA414:CA414)</f>
        <v>0</v>
      </c>
      <c r="CB415" s="469">
        <f>SUM(CB414:CB414)</f>
        <v>0</v>
      </c>
      <c r="CC415" s="469">
        <f>SUM(CC414:CC414)</f>
        <v>0</v>
      </c>
      <c r="CD415" s="469">
        <f>SUM(CD414:CD414)</f>
        <v>0</v>
      </c>
      <c r="CE415" s="469">
        <f>SUM(CE414:CE414)</f>
        <v>0</v>
      </c>
      <c r="CF415" s="469">
        <f>SUM(CF414:CF414)</f>
        <v>0</v>
      </c>
      <c r="CG415" s="469">
        <f>SUM(CG414:CG414)</f>
        <v>0</v>
      </c>
      <c r="CH415" s="469">
        <f>SUM(CH414:CH414)</f>
        <v>0</v>
      </c>
      <c r="CI415" s="469">
        <f>SUM(CI414:CI414)</f>
        <v>0</v>
      </c>
      <c r="CJ415" s="469">
        <f>SUM(CJ414:CJ414)</f>
        <v>0</v>
      </c>
      <c r="CK415" s="469">
        <f>SUM(CK414:CK414)</f>
        <v>0</v>
      </c>
      <c r="CL415" s="469">
        <f>SUM(CL414:CL414)</f>
        <v>0</v>
      </c>
      <c r="CM415" s="469">
        <f>SUM(CM414:CM414)</f>
        <v>0</v>
      </c>
    </row>
    <row r="416" spans="43:91" x14ac:dyDescent="0.3">
      <c r="AR416" t="s">
        <v>1142</v>
      </c>
      <c r="AS416" s="462">
        <f>SUMIFS(AS2:AS391,G2:G391,"PRBA",E2:E391,"0496",F2:F391,"00",AT2:AT391,1)</f>
        <v>0</v>
      </c>
      <c r="AT416" s="462">
        <f>SUMIFS(AS2:AS391,G2:G391,"PRBA",E2:E391,"0496",F2:F391,"00",AT2:AT391,3)</f>
        <v>0</v>
      </c>
      <c r="AU416" s="462">
        <f>SUMIFS(AU2:AU391,G2:G391,"PRBA",E2:E391,"0496",F2:F391,"00")</f>
        <v>0</v>
      </c>
      <c r="AV416" s="462">
        <f>SUMIFS(AV2:AV391,G2:G391,"PRBA",E2:E391,"0496",F2:F391,"00")</f>
        <v>0</v>
      </c>
      <c r="AW416" s="462">
        <f>SUMIFS(AW2:AW391,G2:G391,"PRBA",E2:E391,"0496",F2:F391,"00")</f>
        <v>0</v>
      </c>
      <c r="AX416" s="462">
        <f>SUMIFS(AX2:AX391,G2:G391,"PRBA",E2:E391,"0496",F2:F391,"00")</f>
        <v>0</v>
      </c>
      <c r="AY416" s="462">
        <f>SUMIFS(AY2:AY391,G2:G391,"PRBA",E2:E391,"0496",F2:F391,"00")</f>
        <v>0</v>
      </c>
      <c r="AZ416" s="462">
        <f>SUMIFS(AZ2:AZ391,G2:G391,"PRBA",E2:E391,"0496",F2:F391,"00")</f>
        <v>0</v>
      </c>
      <c r="BA416" s="462">
        <f>SUMIFS(BA2:BA391,G2:G391,"PRBA",E2:E391,"0496",F2:F391,"00")</f>
        <v>0</v>
      </c>
      <c r="BB416" s="462">
        <f>SUMIFS(BB2:BB391,G2:G391,"PRBA",E2:E391,"0496",F2:F391,"00")</f>
        <v>0</v>
      </c>
      <c r="BC416" s="462">
        <f>SUMIFS(BC2:BC391,G2:G391,"PRBA",E2:E391,"0496",F2:F391,"00")</f>
        <v>0</v>
      </c>
      <c r="BD416" s="462">
        <f>SUMIFS(BD2:BD391,G2:G391,"PRBA",E2:E391,"0496",F2:F391,"00")</f>
        <v>0</v>
      </c>
      <c r="BE416" s="462">
        <f>SUMIFS(BE2:BE391,G2:G391,"PRBA",E2:E391,"0496",F2:F391,"00")</f>
        <v>0</v>
      </c>
      <c r="BF416" s="462">
        <f>SUMIFS(BF2:BF391,G2:G391,"PRBA",E2:E391,"0496",F2:F391,"00")</f>
        <v>0</v>
      </c>
      <c r="BG416" s="462">
        <f>SUMIFS(BG2:BG391,G2:G391,"PRBA",E2:E391,"0496",F2:F391,"00")</f>
        <v>0</v>
      </c>
      <c r="BH416" s="462">
        <f>SUMIFS(BH2:BH391,G2:G391,"PRBA",E2:E391,"0496",F2:F391,"00")</f>
        <v>0</v>
      </c>
      <c r="BI416" s="462">
        <f>SUMIFS(BI2:BI391,G2:G391,"PRBA",E2:E391,"0496",F2:F391,"00")</f>
        <v>0</v>
      </c>
      <c r="BJ416" s="462">
        <f>SUMIFS(BJ2:BJ391,G2:G391,"PRBA",E2:E391,"0496",F2:F391,"00")</f>
        <v>0</v>
      </c>
      <c r="BK416" s="462">
        <f>SUMIFS(BK2:BK391,G2:G391,"PRBA",E2:E391,"0496",F2:F391,"00")</f>
        <v>0</v>
      </c>
      <c r="BL416" s="462">
        <f>SUMIFS(BL2:BL391,G2:G391,"PRBA",E2:E391,"0496",F2:F391,"00")</f>
        <v>0</v>
      </c>
      <c r="BM416" s="462">
        <f>SUMIFS(BM2:BM391,G2:G391,"PRBA",E2:E391,"0496",F2:F391,"00")</f>
        <v>0</v>
      </c>
      <c r="BN416" s="462">
        <f>SUMIFS(BN2:BN391,G2:G391,"PRBA",E2:E391,"0496",F2:F391,"00")</f>
        <v>0</v>
      </c>
      <c r="BO416" s="462">
        <f>SUMIFS(BO2:BO391,G2:G391,"PRBA",E2:E391,"0496",F2:F391,"00")</f>
        <v>0</v>
      </c>
      <c r="BP416" s="462">
        <f>SUMIFS(BP2:BP391,G2:G391,"PRBA",E2:E391,"0496",F2:F391,"00")</f>
        <v>0</v>
      </c>
      <c r="BQ416" s="462">
        <f>SUMIFS(BQ2:BQ391,G2:G391,"PRBA",E2:E391,"0496",F2:F391,"00")</f>
        <v>0</v>
      </c>
      <c r="BR416" s="462">
        <f>SUMIFS(BR2:BR391,G2:G391,"PRBA",E2:E391,"0496",F2:F391,"00")</f>
        <v>0</v>
      </c>
      <c r="BS416" s="462">
        <f>SUMIFS(BS2:BS391,G2:G391,"PRBA",E2:E391,"0496",F2:F391,"00")</f>
        <v>0</v>
      </c>
      <c r="BT416" s="462">
        <f>SUMIFS(BT2:BT391,G2:G391,"PRBA",E2:E391,"0496",F2:F391,"00")</f>
        <v>0</v>
      </c>
      <c r="BU416" s="462">
        <f>SUMIFS(BU2:BU391,G2:G391,"PRBA",E2:E391,"0496",F2:F391,"00")</f>
        <v>0</v>
      </c>
      <c r="BV416" s="462">
        <f>SUMIFS(BV2:BV391,G2:G391,"PRBA",E2:E391,"0496",F2:F391,"00")</f>
        <v>0</v>
      </c>
      <c r="BW416" s="462">
        <f>SUMIFS(BW2:BW391,G2:G391,"PRBA",E2:E391,"0496",F2:F391,"00")</f>
        <v>0</v>
      </c>
      <c r="BX416" s="462">
        <f>SUMIFS(BX2:BX391,G2:G391,"PRBA",E2:E391,"0496",F2:F391,"00")</f>
        <v>0</v>
      </c>
      <c r="BY416" s="462">
        <f>SUMIFS(BY2:BY391,G2:G391,"PRBA",E2:E391,"0496",F2:F391,"00")</f>
        <v>0</v>
      </c>
      <c r="BZ416" s="462">
        <f>SUMIFS(BZ2:BZ391,G2:G391,"PRBA",E2:E391,"0496",F2:F391,"00")</f>
        <v>0</v>
      </c>
      <c r="CA416" s="462">
        <f>SUMIFS(CA2:CA391,G2:G391,"PRBA",E2:E391,"0496",F2:F391,"00")</f>
        <v>0</v>
      </c>
      <c r="CB416" s="462">
        <f>SUMIFS(CB2:CB391,G2:G391,"PRBA",E2:E391,"0496",F2:F391,"00")</f>
        <v>0</v>
      </c>
      <c r="CC416" s="462">
        <f>SUMIFS(CC2:CC391,G2:G391,"PRBA",E2:E391,"0496",F2:F391,"00")</f>
        <v>0</v>
      </c>
      <c r="CD416" s="462">
        <f>SUMIFS(CD2:CD391,G2:G391,"PRBA",E2:E391,"0496",F2:F391,"00")</f>
        <v>0</v>
      </c>
      <c r="CE416" s="462">
        <f>SUMIFS(CE2:CE391,G2:G391,"PRBA",E2:E391,"0496",F2:F391,"00")</f>
        <v>0</v>
      </c>
      <c r="CF416" s="462">
        <f>SUMIFS(CF2:CF391,G2:G391,"PRBA",E2:E391,"0496",F2:F391,"00")</f>
        <v>0</v>
      </c>
      <c r="CG416" s="462">
        <f>SUMIFS(CG2:CG391,G2:G391,"PRBA",E2:E391,"0496",F2:F391,"00")</f>
        <v>0</v>
      </c>
      <c r="CH416" s="462">
        <f>SUMIFS(CH2:CH391,G2:G391,"PRBA",E2:E391,"0496",F2:F391,"00")</f>
        <v>0</v>
      </c>
      <c r="CI416" s="462">
        <f>SUMIFS(CI2:CI391,G2:G391,"PRBA",E2:E391,"0496",F2:F391,"00")</f>
        <v>0</v>
      </c>
      <c r="CJ416" s="462">
        <f>SUMIFS(CJ2:CJ391,G2:G391,"PRBA",E2:E391,"0496",F2:F391,"00")</f>
        <v>0</v>
      </c>
      <c r="CK416" s="462">
        <f>SUMIFS(CK2:CK391,G2:G391,"PRBA",E2:E391,"0496",F2:F391,"00")</f>
        <v>0</v>
      </c>
      <c r="CL416" s="462">
        <f>SUMIFS(CL2:CL391,G2:G391,"PRBA",E2:E391,"0496",F2:F391,"00")</f>
        <v>0</v>
      </c>
      <c r="CM416" s="462">
        <f>SUMIFS(CM2:CM391,G2:G391,"PRBA",E2:E391,"0496",F2:F391,"00")</f>
        <v>0</v>
      </c>
    </row>
    <row r="417" spans="41:91" x14ac:dyDescent="0.3">
      <c r="AR417" t="s">
        <v>1143</v>
      </c>
      <c r="AS417" s="462">
        <f>SUMIFS(AS2:AS391,G2:G391,"PRBA",E2:E391,"0496",F2:F391,"02",AT2:AT391,1)</f>
        <v>3</v>
      </c>
      <c r="AT417" s="462">
        <f>SUMIFS(AS2:AS391,G2:G391,"PRBA",E2:E391,"0496",F2:F391,"02",AT2:AT391,3)</f>
        <v>0</v>
      </c>
      <c r="AU417" s="462">
        <f>SUMIFS(AU2:AU391,G2:G391,"PRBA",E2:E391,"0496",F2:F391,"02")</f>
        <v>3</v>
      </c>
      <c r="AV417" s="462">
        <f>SUMIFS(AV2:AV391,G2:G391,"PRBA",E2:E391,"0496",F2:F391,"02")</f>
        <v>0</v>
      </c>
      <c r="AW417" s="462">
        <f>SUMIFS(AW2:AW391,G2:G391,"PRBA",E2:E391,"0496",F2:F391,"02")</f>
        <v>4</v>
      </c>
      <c r="AX417" s="462">
        <f>SUMIFS(AX2:AX391,G2:G391,"PRBA",E2:E391,"0496",F2:F391,"02")</f>
        <v>133432</v>
      </c>
      <c r="AY417" s="462">
        <f>SUMIFS(AY2:AY391,G2:G391,"PRBA",E2:E391,"0496",F2:F391,"02")</f>
        <v>133432</v>
      </c>
      <c r="AZ417" s="462">
        <f>SUMIFS(AZ2:AZ391,G2:G391,"PRBA",E2:E391,"0496",F2:F391,"02")</f>
        <v>0</v>
      </c>
      <c r="BA417" s="462">
        <f>SUMIFS(BA2:BA391,G2:G391,"PRBA",E2:E391,"0496",F2:F391,"02")</f>
        <v>0</v>
      </c>
      <c r="BB417" s="462">
        <f>SUMIFS(BB2:BB391,G2:G391,"PRBA",E2:E391,"0496",F2:F391,"02")</f>
        <v>34950</v>
      </c>
      <c r="BC417" s="462">
        <f>SUMIFS(BC2:BC391,G2:G391,"PRBA",E2:E391,"0496",F2:F391,"02")</f>
        <v>0</v>
      </c>
      <c r="BD417" s="462">
        <f>SUMIFS(BD2:BD391,G2:G391,"PRBA",E2:E391,"0496",F2:F391,"02")</f>
        <v>8272.7839999999997</v>
      </c>
      <c r="BE417" s="462">
        <f>SUMIFS(BE2:BE391,G2:G391,"PRBA",E2:E391,"0496",F2:F391,"02")</f>
        <v>1934.7640000000001</v>
      </c>
      <c r="BF417" s="462">
        <f>SUMIFS(BF2:BF391,G2:G391,"PRBA",E2:E391,"0496",F2:F391,"02")</f>
        <v>15931.7808</v>
      </c>
      <c r="BG417" s="462">
        <f>SUMIFS(BG2:BG391,G2:G391,"PRBA",E2:E391,"0496",F2:F391,"02")</f>
        <v>962.0447200000001</v>
      </c>
      <c r="BH417" s="462">
        <f>SUMIFS(BH2:BH391,G2:G391,"PRBA",E2:E391,"0496",F2:F391,"02")</f>
        <v>653.81680000000006</v>
      </c>
      <c r="BI417" s="462">
        <f>SUMIFS(BI2:BI391,G2:G391,"PRBA",E2:E391,"0496",F2:F391,"02")</f>
        <v>408.30192</v>
      </c>
      <c r="BJ417" s="462">
        <f>SUMIFS(BJ2:BJ391,G2:G391,"PRBA",E2:E391,"0496",F2:F391,"02")</f>
        <v>3589.3208</v>
      </c>
      <c r="BK417" s="462">
        <f>SUMIFS(BK2:BK391,G2:G391,"PRBA",E2:E391,"0496",F2:F391,"02")</f>
        <v>0</v>
      </c>
      <c r="BL417" s="462">
        <f>SUMIFS(BL2:BL391,G2:G391,"PRBA",E2:E391,"0496",F2:F391,"02")</f>
        <v>31752.813039999997</v>
      </c>
      <c r="BM417" s="462">
        <f>SUMIFS(BM2:BM391,G2:G391,"PRBA",E2:E391,"0496",F2:F391,"02")</f>
        <v>0</v>
      </c>
      <c r="BN417" s="462">
        <f>SUMIFS(BN2:BN391,G2:G391,"PRBA",E2:E391,"0496",F2:F391,"02")</f>
        <v>34950</v>
      </c>
      <c r="BO417" s="462">
        <f>SUMIFS(BO2:BO391,G2:G391,"PRBA",E2:E391,"0496",F2:F391,"02")</f>
        <v>0</v>
      </c>
      <c r="BP417" s="462">
        <f>SUMIFS(BP2:BP391,G2:G391,"PRBA",E2:E391,"0496",F2:F391,"02")</f>
        <v>8272.7839999999997</v>
      </c>
      <c r="BQ417" s="462">
        <f>SUMIFS(BQ2:BQ391,G2:G391,"PRBA",E2:E391,"0496",F2:F391,"02")</f>
        <v>1934.7640000000001</v>
      </c>
      <c r="BR417" s="462">
        <f>SUMIFS(BR2:BR391,G2:G391,"PRBA",E2:E391,"0496",F2:F391,"02")</f>
        <v>15931.7808</v>
      </c>
      <c r="BS417" s="462">
        <f>SUMIFS(BS2:BS391,G2:G391,"PRBA",E2:E391,"0496",F2:F391,"02")</f>
        <v>962.0447200000001</v>
      </c>
      <c r="BT417" s="462">
        <f>SUMIFS(BT2:BT391,G2:G391,"PRBA",E2:E391,"0496",F2:F391,"02")</f>
        <v>0</v>
      </c>
      <c r="BU417" s="462">
        <f>SUMIFS(BU2:BU391,G2:G391,"PRBA",E2:E391,"0496",F2:F391,"02")</f>
        <v>408.30192</v>
      </c>
      <c r="BV417" s="462">
        <f>SUMIFS(BV2:BV391,G2:G391,"PRBA",E2:E391,"0496",F2:F391,"02")</f>
        <v>4630.090400000001</v>
      </c>
      <c r="BW417" s="462">
        <f>SUMIFS(BW2:BW391,G2:G391,"PRBA",E2:E391,"0496",F2:F391,"02")</f>
        <v>0</v>
      </c>
      <c r="BX417" s="462">
        <f>SUMIFS(BX2:BX391,G2:G391,"PRBA",E2:E391,"0496",F2:F391,"02")</f>
        <v>32139.76584</v>
      </c>
      <c r="BY417" s="462">
        <f>SUMIFS(BY2:BY391,G2:G391,"PRBA",E2:E391,"0496",F2:F391,"02")</f>
        <v>0</v>
      </c>
      <c r="BZ417" s="462">
        <f>SUMIFS(BZ2:BZ391,G2:G391,"PRBA",E2:E391,"0496",F2:F391,"02")</f>
        <v>0</v>
      </c>
      <c r="CA417" s="462">
        <f>SUMIFS(CA2:CA391,G2:G391,"PRBA",E2:E391,"0496",F2:F391,"02")</f>
        <v>0</v>
      </c>
      <c r="CB417" s="462">
        <f>SUMIFS(CB2:CB391,G2:G391,"PRBA",E2:E391,"0496",F2:F391,"02")</f>
        <v>0</v>
      </c>
      <c r="CC417" s="462">
        <f>SUMIFS(CC2:CC391,G2:G391,"PRBA",E2:E391,"0496",F2:F391,"02")</f>
        <v>0</v>
      </c>
      <c r="CD417" s="462">
        <f>SUMIFS(CD2:CD391,G2:G391,"PRBA",E2:E391,"0496",F2:F391,"02")</f>
        <v>0</v>
      </c>
      <c r="CE417" s="462">
        <f>SUMIFS(CE2:CE391,G2:G391,"PRBA",E2:E391,"0496",F2:F391,"02")</f>
        <v>0</v>
      </c>
      <c r="CF417" s="462">
        <f>SUMIFS(CF2:CF391,G2:G391,"PRBA",E2:E391,"0496",F2:F391,"02")</f>
        <v>-653.81680000000006</v>
      </c>
      <c r="CG417" s="462">
        <f>SUMIFS(CG2:CG391,G2:G391,"PRBA",E2:E391,"0496",F2:F391,"02")</f>
        <v>0</v>
      </c>
      <c r="CH417" s="462">
        <f>SUMIFS(CH2:CH391,G2:G391,"PRBA",E2:E391,"0496",F2:F391,"02")</f>
        <v>1040.7696000000001</v>
      </c>
      <c r="CI417" s="462">
        <f>SUMIFS(CI2:CI391,G2:G391,"PRBA",E2:E391,"0496",F2:F391,"02")</f>
        <v>0</v>
      </c>
      <c r="CJ417" s="462">
        <f>SUMIFS(CJ2:CJ391,G2:G391,"PRBA",E2:E391,"0496",F2:F391,"02")</f>
        <v>386.95280000000025</v>
      </c>
      <c r="CK417" s="462">
        <f>SUMIFS(CK2:CK391,G2:G391,"PRBA",E2:E391,"0496",F2:F391,"02")</f>
        <v>0</v>
      </c>
      <c r="CL417" s="462">
        <f>SUMIFS(CL2:CL391,G2:G391,"PRBA",E2:E391,"0496",F2:F391,"02")</f>
        <v>52931.49</v>
      </c>
      <c r="CM417" s="462">
        <f>SUMIFS(CM2:CM391,G2:G391,"PRBA",E2:E391,"0496",F2:F391,"02")</f>
        <v>7195.6900000000005</v>
      </c>
    </row>
    <row r="418" spans="41:91" x14ac:dyDescent="0.3">
      <c r="AR418" t="s">
        <v>1144</v>
      </c>
      <c r="AS418" s="462">
        <f>SUMIFS(AS2:AS391,G2:G391,"PRBA",E2:E391,"0496",F2:F391,"03",AT2:AT391,1)</f>
        <v>0.4</v>
      </c>
      <c r="AT418" s="462">
        <f>SUMIFS(AS2:AS391,G2:G391,"PRBA",E2:E391,"0496",F2:F391,"03",AT2:AT391,3)</f>
        <v>0</v>
      </c>
      <c r="AU418" s="462">
        <f>SUMIFS(AU2:AU391,G2:G391,"PRBA",E2:E391,"0496",F2:F391,"03")</f>
        <v>2</v>
      </c>
      <c r="AV418" s="462">
        <f>SUMIFS(AV2:AV391,G2:G391,"PRBA",E2:E391,"0496",F2:F391,"03")</f>
        <v>0</v>
      </c>
      <c r="AW418" s="462">
        <f>SUMIFS(AW2:AW391,G2:G391,"PRBA",E2:E391,"0496",F2:F391,"03")</f>
        <v>5</v>
      </c>
      <c r="AX418" s="462">
        <f>SUMIFS(AX2:AX391,G2:G391,"PRBA",E2:E391,"0496",F2:F391,"03")</f>
        <v>125881.60000000001</v>
      </c>
      <c r="AY418" s="462">
        <f>SUMIFS(AY2:AY391,G2:G391,"PRBA",E2:E391,"0496",F2:F391,"03")</f>
        <v>25908.48</v>
      </c>
      <c r="AZ418" s="462">
        <f>SUMIFS(AZ2:AZ391,G2:G391,"PRBA",E2:E391,"0496",F2:F391,"03")</f>
        <v>0</v>
      </c>
      <c r="BA418" s="462">
        <f>SUMIFS(BA2:BA391,G2:G391,"PRBA",E2:E391,"0496",F2:F391,"03")</f>
        <v>0</v>
      </c>
      <c r="BB418" s="462">
        <f>SUMIFS(BB2:BB391,G2:G391,"PRBA",E2:E391,"0496",F2:F391,"03")</f>
        <v>4660</v>
      </c>
      <c r="BC418" s="462">
        <f>SUMIFS(BC2:BC391,G2:G391,"PRBA",E2:E391,"0496",F2:F391,"03")</f>
        <v>0</v>
      </c>
      <c r="BD418" s="462">
        <f>SUMIFS(BD2:BD391,G2:G391,"PRBA",E2:E391,"0496",F2:F391,"03")</f>
        <v>1606.3257599999999</v>
      </c>
      <c r="BE418" s="462">
        <f>SUMIFS(BE2:BE391,G2:G391,"PRBA",E2:E391,"0496",F2:F391,"03")</f>
        <v>375.67296000000005</v>
      </c>
      <c r="BF418" s="462">
        <f>SUMIFS(BF2:BF391,G2:G391,"PRBA",E2:E391,"0496",F2:F391,"03")</f>
        <v>3093.4725120000003</v>
      </c>
      <c r="BG418" s="462">
        <f>SUMIFS(BG2:BG391,G2:G391,"PRBA",E2:E391,"0496",F2:F391,"03")</f>
        <v>186.80014080000001</v>
      </c>
      <c r="BH418" s="462">
        <f>SUMIFS(BH2:BH391,G2:G391,"PRBA",E2:E391,"0496",F2:F391,"03")</f>
        <v>126.95155199999999</v>
      </c>
      <c r="BI418" s="462">
        <f>SUMIFS(BI2:BI391,G2:G391,"PRBA",E2:E391,"0496",F2:F391,"03")</f>
        <v>79.2799488</v>
      </c>
      <c r="BJ418" s="462">
        <f>SUMIFS(BJ2:BJ391,G2:G391,"PRBA",E2:E391,"0496",F2:F391,"03")</f>
        <v>696.93811200000005</v>
      </c>
      <c r="BK418" s="462">
        <f>SUMIFS(BK2:BK391,G2:G391,"PRBA",E2:E391,"0496",F2:F391,"03")</f>
        <v>0</v>
      </c>
      <c r="BL418" s="462">
        <f>SUMIFS(BL2:BL391,G2:G391,"PRBA",E2:E391,"0496",F2:F391,"03")</f>
        <v>6165.4409855999993</v>
      </c>
      <c r="BM418" s="462">
        <f>SUMIFS(BM2:BM391,G2:G391,"PRBA",E2:E391,"0496",F2:F391,"03")</f>
        <v>0</v>
      </c>
      <c r="BN418" s="462">
        <f>SUMIFS(BN2:BN391,G2:G391,"PRBA",E2:E391,"0496",F2:F391,"03")</f>
        <v>4660</v>
      </c>
      <c r="BO418" s="462">
        <f>SUMIFS(BO2:BO391,G2:G391,"PRBA",E2:E391,"0496",F2:F391,"03")</f>
        <v>0</v>
      </c>
      <c r="BP418" s="462">
        <f>SUMIFS(BP2:BP391,G2:G391,"PRBA",E2:E391,"0496",F2:F391,"03")</f>
        <v>1606.3257599999999</v>
      </c>
      <c r="BQ418" s="462">
        <f>SUMIFS(BQ2:BQ391,G2:G391,"PRBA",E2:E391,"0496",F2:F391,"03")</f>
        <v>375.67296000000005</v>
      </c>
      <c r="BR418" s="462">
        <f>SUMIFS(BR2:BR391,G2:G391,"PRBA",E2:E391,"0496",F2:F391,"03")</f>
        <v>3093.4725120000003</v>
      </c>
      <c r="BS418" s="462">
        <f>SUMIFS(BS2:BS391,G2:G391,"PRBA",E2:E391,"0496",F2:F391,"03")</f>
        <v>186.80014080000001</v>
      </c>
      <c r="BT418" s="462">
        <f>SUMIFS(BT2:BT391,G2:G391,"PRBA",E2:E391,"0496",F2:F391,"03")</f>
        <v>0</v>
      </c>
      <c r="BU418" s="462">
        <f>SUMIFS(BU2:BU391,G2:G391,"PRBA",E2:E391,"0496",F2:F391,"03")</f>
        <v>79.2799488</v>
      </c>
      <c r="BV418" s="462">
        <f>SUMIFS(BV2:BV391,G2:G391,"PRBA",E2:E391,"0496",F2:F391,"03")</f>
        <v>899.02425600000004</v>
      </c>
      <c r="BW418" s="462">
        <f>SUMIFS(BW2:BW391,G2:G391,"PRBA",E2:E391,"0496",F2:F391,"03")</f>
        <v>0</v>
      </c>
      <c r="BX418" s="462">
        <f>SUMIFS(BX2:BX391,G2:G391,"PRBA",E2:E391,"0496",F2:F391,"03")</f>
        <v>6240.5755776000005</v>
      </c>
      <c r="BY418" s="462">
        <f>SUMIFS(BY2:BY391,G2:G391,"PRBA",E2:E391,"0496",F2:F391,"03")</f>
        <v>0</v>
      </c>
      <c r="BZ418" s="462">
        <f>SUMIFS(BZ2:BZ391,G2:G391,"PRBA",E2:E391,"0496",F2:F391,"03")</f>
        <v>0</v>
      </c>
      <c r="CA418" s="462">
        <f>SUMIFS(CA2:CA391,G2:G391,"PRBA",E2:E391,"0496",F2:F391,"03")</f>
        <v>0</v>
      </c>
      <c r="CB418" s="462">
        <f>SUMIFS(CB2:CB391,G2:G391,"PRBA",E2:E391,"0496",F2:F391,"03")</f>
        <v>0</v>
      </c>
      <c r="CC418" s="462">
        <f>SUMIFS(CC2:CC391,G2:G391,"PRBA",E2:E391,"0496",F2:F391,"03")</f>
        <v>0</v>
      </c>
      <c r="CD418" s="462">
        <f>SUMIFS(CD2:CD391,G2:G391,"PRBA",E2:E391,"0496",F2:F391,"03")</f>
        <v>0</v>
      </c>
      <c r="CE418" s="462">
        <f>SUMIFS(CE2:CE391,G2:G391,"PRBA",E2:E391,"0496",F2:F391,"03")</f>
        <v>0</v>
      </c>
      <c r="CF418" s="462">
        <f>SUMIFS(CF2:CF391,G2:G391,"PRBA",E2:E391,"0496",F2:F391,"03")</f>
        <v>-126.95155199999999</v>
      </c>
      <c r="CG418" s="462">
        <f>SUMIFS(CG2:CG391,G2:G391,"PRBA",E2:E391,"0496",F2:F391,"03")</f>
        <v>0</v>
      </c>
      <c r="CH418" s="462">
        <f>SUMIFS(CH2:CH391,G2:G391,"PRBA",E2:E391,"0496",F2:F391,"03")</f>
        <v>202.08614400000005</v>
      </c>
      <c r="CI418" s="462">
        <f>SUMIFS(CI2:CI391,G2:G391,"PRBA",E2:E391,"0496",F2:F391,"03")</f>
        <v>0</v>
      </c>
      <c r="CJ418" s="462">
        <f>SUMIFS(CJ2:CJ391,G2:G391,"PRBA",E2:E391,"0496",F2:F391,"03")</f>
        <v>75.134592000000055</v>
      </c>
      <c r="CK418" s="462">
        <f>SUMIFS(CK2:CK391,G2:G391,"PRBA",E2:E391,"0496",F2:F391,"03")</f>
        <v>0</v>
      </c>
      <c r="CL418" s="462">
        <f>SUMIFS(CL2:CL391,G2:G391,"PRBA",E2:E391,"0496",F2:F391,"03")</f>
        <v>6906.5</v>
      </c>
      <c r="CM418" s="462">
        <f>SUMIFS(CM2:CM391,G2:G391,"PRBA",E2:E391,"0496",F2:F391,"03")</f>
        <v>1087.93</v>
      </c>
    </row>
    <row r="419" spans="41:91" ht="15" thickBot="1" x14ac:dyDescent="0.35">
      <c r="AR419" t="s">
        <v>1145</v>
      </c>
      <c r="AS419" s="462">
        <f>SUMIFS(AS2:AS391,G2:G391,"PRBA",E2:E391,"0496",F2:F391,"05",AT2:AT391,1)</f>
        <v>1</v>
      </c>
      <c r="AT419" s="462">
        <f>SUMIFS(AS2:AS391,G2:G391,"PRBA",E2:E391,"0496",F2:F391,"05",AT2:AT391,3)</f>
        <v>0</v>
      </c>
      <c r="AU419" s="462">
        <f>SUMIFS(AU2:AU391,G2:G391,"PRBA",E2:E391,"0496",F2:F391,"05")</f>
        <v>2</v>
      </c>
      <c r="AV419" s="462">
        <f>SUMIFS(AV2:AV391,G2:G391,"PRBA",E2:E391,"0496",F2:F391,"05")</f>
        <v>0</v>
      </c>
      <c r="AW419" s="462">
        <f>SUMIFS(AW2:AW391,G2:G391,"PRBA",E2:E391,"0496",F2:F391,"05")</f>
        <v>4</v>
      </c>
      <c r="AX419" s="462">
        <f>SUMIFS(AX2:AX391,G2:G391,"PRBA",E2:E391,"0496",F2:F391,"05")</f>
        <v>96844.800000000003</v>
      </c>
      <c r="AY419" s="462">
        <f>SUMIFS(AY2:AY391,G2:G391,"PRBA",E2:E391,"0496",F2:F391,"05")</f>
        <v>48422.400000000001</v>
      </c>
      <c r="AZ419" s="462">
        <f>SUMIFS(AZ2:AZ391,G2:G391,"PRBA",E2:E391,"0496",F2:F391,"05")</f>
        <v>0</v>
      </c>
      <c r="BA419" s="462">
        <f>SUMIFS(BA2:BA391,G2:G391,"PRBA",E2:E391,"0496",F2:F391,"05")</f>
        <v>0</v>
      </c>
      <c r="BB419" s="462">
        <f>SUMIFS(BB2:BB391,G2:G391,"PRBA",E2:E391,"0496",F2:F391,"05")</f>
        <v>11650</v>
      </c>
      <c r="BC419" s="462">
        <f>SUMIFS(BC2:BC391,G2:G391,"PRBA",E2:E391,"0496",F2:F391,"05")</f>
        <v>0</v>
      </c>
      <c r="BD419" s="462">
        <f>SUMIFS(BD2:BD391,G2:G391,"PRBA",E2:E391,"0496",F2:F391,"05")</f>
        <v>3002.1887999999999</v>
      </c>
      <c r="BE419" s="462">
        <f>SUMIFS(BE2:BE391,G2:G391,"PRBA",E2:E391,"0496",F2:F391,"05")</f>
        <v>702.12480000000005</v>
      </c>
      <c r="BF419" s="462">
        <f>SUMIFS(BF2:BF391,G2:G391,"PRBA",E2:E391,"0496",F2:F391,"05")</f>
        <v>5781.6345600000004</v>
      </c>
      <c r="BG419" s="462">
        <f>SUMIFS(BG2:BG391,G2:G391,"PRBA",E2:E391,"0496",F2:F391,"05")</f>
        <v>349.12550399999998</v>
      </c>
      <c r="BH419" s="462">
        <f>SUMIFS(BH2:BH391,G2:G391,"PRBA",E2:E391,"0496",F2:F391,"05")</f>
        <v>237.26975999999999</v>
      </c>
      <c r="BI419" s="462">
        <f>SUMIFS(BI2:BI391,G2:G391,"PRBA",E2:E391,"0496",F2:F391,"05")</f>
        <v>148.17254399999999</v>
      </c>
      <c r="BJ419" s="462">
        <f>SUMIFS(BJ2:BJ391,G2:G391,"PRBA",E2:E391,"0496",F2:F391,"05")</f>
        <v>1302.5625599999998</v>
      </c>
      <c r="BK419" s="462">
        <f>SUMIFS(BK2:BK391,G2:G391,"PRBA",E2:E391,"0496",F2:F391,"05")</f>
        <v>0</v>
      </c>
      <c r="BL419" s="462">
        <f>SUMIFS(BL2:BL391,G2:G391,"PRBA",E2:E391,"0496",F2:F391,"05")</f>
        <v>11523.078528000002</v>
      </c>
      <c r="BM419" s="462">
        <f>SUMIFS(BM2:BM391,G2:G391,"PRBA",E2:E391,"0496",F2:F391,"05")</f>
        <v>0</v>
      </c>
      <c r="BN419" s="462">
        <f>SUMIFS(BN2:BN391,G2:G391,"PRBA",E2:E391,"0496",F2:F391,"05")</f>
        <v>11650</v>
      </c>
      <c r="BO419" s="462">
        <f>SUMIFS(BO2:BO391,G2:G391,"PRBA",E2:E391,"0496",F2:F391,"05")</f>
        <v>0</v>
      </c>
      <c r="BP419" s="462">
        <f>SUMIFS(BP2:BP391,G2:G391,"PRBA",E2:E391,"0496",F2:F391,"05")</f>
        <v>3002.1887999999999</v>
      </c>
      <c r="BQ419" s="462">
        <f>SUMIFS(BQ2:BQ391,G2:G391,"PRBA",E2:E391,"0496",F2:F391,"05")</f>
        <v>702.12480000000005</v>
      </c>
      <c r="BR419" s="462">
        <f>SUMIFS(BR2:BR391,G2:G391,"PRBA",E2:E391,"0496",F2:F391,"05")</f>
        <v>5781.6345600000004</v>
      </c>
      <c r="BS419" s="462">
        <f>SUMIFS(BS2:BS391,G2:G391,"PRBA",E2:E391,"0496",F2:F391,"05")</f>
        <v>349.12550399999998</v>
      </c>
      <c r="BT419" s="462">
        <f>SUMIFS(BT2:BT391,G2:G391,"PRBA",E2:E391,"0496",F2:F391,"05")</f>
        <v>0</v>
      </c>
      <c r="BU419" s="462">
        <f>SUMIFS(BU2:BU391,G2:G391,"PRBA",E2:E391,"0496",F2:F391,"05")</f>
        <v>148.17254399999999</v>
      </c>
      <c r="BV419" s="462">
        <f>SUMIFS(BV2:BV391,G2:G391,"PRBA",E2:E391,"0496",F2:F391,"05")</f>
        <v>1680.2572800000003</v>
      </c>
      <c r="BW419" s="462">
        <f>SUMIFS(BW2:BW391,G2:G391,"PRBA",E2:E391,"0496",F2:F391,"05")</f>
        <v>0</v>
      </c>
      <c r="BX419" s="462">
        <f>SUMIFS(BX2:BX391,G2:G391,"PRBA",E2:E391,"0496",F2:F391,"05")</f>
        <v>11663.503488000002</v>
      </c>
      <c r="BY419" s="462">
        <f>SUMIFS(BY2:BY391,G2:G391,"PRBA",E2:E391,"0496",F2:F391,"05")</f>
        <v>0</v>
      </c>
      <c r="BZ419" s="462">
        <f>SUMIFS(BZ2:BZ391,G2:G391,"PRBA",E2:E391,"0496",F2:F391,"05")</f>
        <v>0</v>
      </c>
      <c r="CA419" s="462">
        <f>SUMIFS(CA2:CA391,G2:G391,"PRBA",E2:E391,"0496",F2:F391,"05")</f>
        <v>0</v>
      </c>
      <c r="CB419" s="462">
        <f>SUMIFS(CB2:CB391,G2:G391,"PRBA",E2:E391,"0496",F2:F391,"05")</f>
        <v>0</v>
      </c>
      <c r="CC419" s="462">
        <f>SUMIFS(CC2:CC391,G2:G391,"PRBA",E2:E391,"0496",F2:F391,"05")</f>
        <v>0</v>
      </c>
      <c r="CD419" s="462">
        <f>SUMIFS(CD2:CD391,G2:G391,"PRBA",E2:E391,"0496",F2:F391,"05")</f>
        <v>0</v>
      </c>
      <c r="CE419" s="462">
        <f>SUMIFS(CE2:CE391,G2:G391,"PRBA",E2:E391,"0496",F2:F391,"05")</f>
        <v>0</v>
      </c>
      <c r="CF419" s="462">
        <f>SUMIFS(CF2:CF391,G2:G391,"PRBA",E2:E391,"0496",F2:F391,"05")</f>
        <v>-237.26975999999999</v>
      </c>
      <c r="CG419" s="462">
        <f>SUMIFS(CG2:CG391,G2:G391,"PRBA",E2:E391,"0496",F2:F391,"05")</f>
        <v>0</v>
      </c>
      <c r="CH419" s="462">
        <f>SUMIFS(CH2:CH391,G2:G391,"PRBA",E2:E391,"0496",F2:F391,"05")</f>
        <v>377.69472000000007</v>
      </c>
      <c r="CI419" s="462">
        <f>SUMIFS(CI2:CI391,G2:G391,"PRBA",E2:E391,"0496",F2:F391,"05")</f>
        <v>0</v>
      </c>
      <c r="CJ419" s="462">
        <f>SUMIFS(CJ2:CJ391,G2:G391,"PRBA",E2:E391,"0496",F2:F391,"05")</f>
        <v>140.42496000000008</v>
      </c>
      <c r="CK419" s="462">
        <f>SUMIFS(CK2:CK391,G2:G391,"PRBA",E2:E391,"0496",F2:F391,"05")</f>
        <v>0</v>
      </c>
      <c r="CL419" s="462">
        <f>SUMIFS(CL2:CL391,G2:G391,"PRBA",E2:E391,"0496",F2:F391,"05")</f>
        <v>20196</v>
      </c>
      <c r="CM419" s="462">
        <f>SUMIFS(CM2:CM391,G2:G391,"PRBA",E2:E391,"0496",F2:F391,"05")</f>
        <v>3459.71</v>
      </c>
    </row>
    <row r="420" spans="41:91" ht="18" x14ac:dyDescent="0.35">
      <c r="AQ420" s="468" t="s">
        <v>1146</v>
      </c>
      <c r="AS420" s="469">
        <f>SUM(AS416:AS419)</f>
        <v>4.4000000000000004</v>
      </c>
      <c r="AT420" s="469">
        <f>SUM(AT416:AT419)</f>
        <v>0</v>
      </c>
      <c r="AU420" s="469">
        <f>SUM(AU416:AU419)</f>
        <v>7</v>
      </c>
      <c r="AV420" s="469">
        <f>SUM(AV416:AV419)</f>
        <v>0</v>
      </c>
      <c r="AW420" s="469">
        <f>SUM(AW416:AW419)</f>
        <v>13</v>
      </c>
      <c r="AX420" s="469">
        <f>SUM(AX416:AX419)</f>
        <v>356158.4</v>
      </c>
      <c r="AY420" s="469">
        <f>SUM(AY416:AY419)</f>
        <v>207762.88</v>
      </c>
      <c r="AZ420" s="469">
        <f>SUM(AZ416:AZ419)</f>
        <v>0</v>
      </c>
      <c r="BA420" s="469">
        <f>SUM(BA416:BA419)</f>
        <v>0</v>
      </c>
      <c r="BB420" s="469">
        <f>SUM(BB416:BB419)</f>
        <v>51260</v>
      </c>
      <c r="BC420" s="469">
        <f>SUM(BC416:BC419)</f>
        <v>0</v>
      </c>
      <c r="BD420" s="469">
        <f>SUM(BD416:BD419)</f>
        <v>12881.298559999999</v>
      </c>
      <c r="BE420" s="469">
        <f>SUM(BE416:BE419)</f>
        <v>3012.56176</v>
      </c>
      <c r="BF420" s="469">
        <f>SUM(BF416:BF419)</f>
        <v>24806.887871999999</v>
      </c>
      <c r="BG420" s="469">
        <f>SUM(BG416:BG419)</f>
        <v>1497.9703648</v>
      </c>
      <c r="BH420" s="469">
        <f>SUM(BH416:BH419)</f>
        <v>1018.0381120000001</v>
      </c>
      <c r="BI420" s="469">
        <f>SUM(BI416:BI419)</f>
        <v>635.75441279999995</v>
      </c>
      <c r="BJ420" s="469">
        <f>SUM(BJ416:BJ419)</f>
        <v>5588.8214719999996</v>
      </c>
      <c r="BK420" s="469">
        <f>SUM(BK416:BK419)</f>
        <v>0</v>
      </c>
      <c r="BL420" s="469">
        <f>SUM(BL416:BL419)</f>
        <v>49441.332553600005</v>
      </c>
      <c r="BM420" s="469">
        <f>SUM(BM416:BM419)</f>
        <v>0</v>
      </c>
      <c r="BN420" s="469">
        <f>SUM(BN416:BN419)</f>
        <v>51260</v>
      </c>
      <c r="BO420" s="469">
        <f>SUM(BO416:BO419)</f>
        <v>0</v>
      </c>
      <c r="BP420" s="469">
        <f>SUM(BP416:BP419)</f>
        <v>12881.298559999999</v>
      </c>
      <c r="BQ420" s="469">
        <f>SUM(BQ416:BQ419)</f>
        <v>3012.56176</v>
      </c>
      <c r="BR420" s="469">
        <f>SUM(BR416:BR419)</f>
        <v>24806.887871999999</v>
      </c>
      <c r="BS420" s="469">
        <f>SUM(BS416:BS419)</f>
        <v>1497.9703648</v>
      </c>
      <c r="BT420" s="469">
        <f>SUM(BT416:BT419)</f>
        <v>0</v>
      </c>
      <c r="BU420" s="469">
        <f>SUM(BU416:BU419)</f>
        <v>635.75441279999995</v>
      </c>
      <c r="BV420" s="469">
        <f>SUM(BV416:BV419)</f>
        <v>7209.3719360000014</v>
      </c>
      <c r="BW420" s="469">
        <f>SUM(BW416:BW419)</f>
        <v>0</v>
      </c>
      <c r="BX420" s="469">
        <f>SUM(BX416:BX419)</f>
        <v>50043.844905600003</v>
      </c>
      <c r="BY420" s="469">
        <f>SUM(BY416:BY419)</f>
        <v>0</v>
      </c>
      <c r="BZ420" s="469">
        <f>SUM(BZ416:BZ419)</f>
        <v>0</v>
      </c>
      <c r="CA420" s="469">
        <f>SUM(CA416:CA419)</f>
        <v>0</v>
      </c>
      <c r="CB420" s="469">
        <f>SUM(CB416:CB419)</f>
        <v>0</v>
      </c>
      <c r="CC420" s="469">
        <f>SUM(CC416:CC419)</f>
        <v>0</v>
      </c>
      <c r="CD420" s="469">
        <f>SUM(CD416:CD419)</f>
        <v>0</v>
      </c>
      <c r="CE420" s="469">
        <f>SUM(CE416:CE419)</f>
        <v>0</v>
      </c>
      <c r="CF420" s="469">
        <f>SUM(CF416:CF419)</f>
        <v>-1018.0381120000001</v>
      </c>
      <c r="CG420" s="469">
        <f>SUM(CG416:CG419)</f>
        <v>0</v>
      </c>
      <c r="CH420" s="469">
        <f>SUM(CH416:CH419)</f>
        <v>1620.5504640000004</v>
      </c>
      <c r="CI420" s="469">
        <f>SUM(CI416:CI419)</f>
        <v>0</v>
      </c>
      <c r="CJ420" s="469">
        <f>SUM(CJ416:CJ419)</f>
        <v>602.51235200000042</v>
      </c>
      <c r="CK420" s="469">
        <f>SUM(CK416:CK419)</f>
        <v>0</v>
      </c>
      <c r="CL420" s="469">
        <f>SUM(CL416:CL419)</f>
        <v>80033.989999999991</v>
      </c>
      <c r="CM420" s="469">
        <f>SUM(CM416:CM419)</f>
        <v>11743.330000000002</v>
      </c>
    </row>
    <row r="421" spans="41:91" x14ac:dyDescent="0.3">
      <c r="AR421" t="s">
        <v>1151</v>
      </c>
      <c r="AS421" s="462">
        <f>SUMIFS(AS2:AS391,G2:G391,"PRBB",E2:E391,"0250",F2:F391,"00",AT2:AT391,1)</f>
        <v>0</v>
      </c>
      <c r="AT421" s="462">
        <f>SUMIFS(AS2:AS391,G2:G391,"PRBB",E2:E391,"0250",F2:F391,"00",AT2:AT391,3)</f>
        <v>0</v>
      </c>
      <c r="AU421" s="462">
        <f>SUMIFS(AU2:AU391,G2:G391,"PRBB",E2:E391,"0250",F2:F391,"00")</f>
        <v>0</v>
      </c>
      <c r="AV421" s="462">
        <f>SUMIFS(AV2:AV391,G2:G391,"PRBB",E2:E391,"0250",F2:F391,"00")</f>
        <v>0</v>
      </c>
      <c r="AW421" s="462">
        <f>SUMIFS(AW2:AW391,G2:G391,"PRBB",E2:E391,"0250",F2:F391,"00")</f>
        <v>0</v>
      </c>
      <c r="AX421" s="462">
        <f>SUMIFS(AX2:AX391,G2:G391,"PRBB",E2:E391,"0250",F2:F391,"00")</f>
        <v>0</v>
      </c>
      <c r="AY421" s="462">
        <f>SUMIFS(AY2:AY391,G2:G391,"PRBB",E2:E391,"0250",F2:F391,"00")</f>
        <v>0</v>
      </c>
      <c r="AZ421" s="462">
        <f>SUMIFS(AZ2:AZ391,G2:G391,"PRBB",E2:E391,"0250",F2:F391,"00")</f>
        <v>0</v>
      </c>
      <c r="BA421" s="462">
        <f>SUMIFS(BA2:BA391,G2:G391,"PRBB",E2:E391,"0250",F2:F391,"00")</f>
        <v>0</v>
      </c>
      <c r="BB421" s="462">
        <f>SUMIFS(BB2:BB391,G2:G391,"PRBB",E2:E391,"0250",F2:F391,"00")</f>
        <v>0</v>
      </c>
      <c r="BC421" s="462">
        <f>SUMIFS(BC2:BC391,G2:G391,"PRBB",E2:E391,"0250",F2:F391,"00")</f>
        <v>0</v>
      </c>
      <c r="BD421" s="462">
        <f>SUMIFS(BD2:BD391,G2:G391,"PRBB",E2:E391,"0250",F2:F391,"00")</f>
        <v>0</v>
      </c>
      <c r="BE421" s="462">
        <f>SUMIFS(BE2:BE391,G2:G391,"PRBB",E2:E391,"0250",F2:F391,"00")</f>
        <v>0</v>
      </c>
      <c r="BF421" s="462">
        <f>SUMIFS(BF2:BF391,G2:G391,"PRBB",E2:E391,"0250",F2:F391,"00")</f>
        <v>0</v>
      </c>
      <c r="BG421" s="462">
        <f>SUMIFS(BG2:BG391,G2:G391,"PRBB",E2:E391,"0250",F2:F391,"00")</f>
        <v>0</v>
      </c>
      <c r="BH421" s="462">
        <f>SUMIFS(BH2:BH391,G2:G391,"PRBB",E2:E391,"0250",F2:F391,"00")</f>
        <v>0</v>
      </c>
      <c r="BI421" s="462">
        <f>SUMIFS(BI2:BI391,G2:G391,"PRBB",E2:E391,"0250",F2:F391,"00")</f>
        <v>0</v>
      </c>
      <c r="BJ421" s="462">
        <f>SUMIFS(BJ2:BJ391,G2:G391,"PRBB",E2:E391,"0250",F2:F391,"00")</f>
        <v>0</v>
      </c>
      <c r="BK421" s="462">
        <f>SUMIFS(BK2:BK391,G2:G391,"PRBB",E2:E391,"0250",F2:F391,"00")</f>
        <v>0</v>
      </c>
      <c r="BL421" s="462">
        <f>SUMIFS(BL2:BL391,G2:G391,"PRBB",E2:E391,"0250",F2:F391,"00")</f>
        <v>0</v>
      </c>
      <c r="BM421" s="462">
        <f>SUMIFS(BM2:BM391,G2:G391,"PRBB",E2:E391,"0250",F2:F391,"00")</f>
        <v>0</v>
      </c>
      <c r="BN421" s="462">
        <f>SUMIFS(BN2:BN391,G2:G391,"PRBB",E2:E391,"0250",F2:F391,"00")</f>
        <v>0</v>
      </c>
      <c r="BO421" s="462">
        <f>SUMIFS(BO2:BO391,G2:G391,"PRBB",E2:E391,"0250",F2:F391,"00")</f>
        <v>0</v>
      </c>
      <c r="BP421" s="462">
        <f>SUMIFS(BP2:BP391,G2:G391,"PRBB",E2:E391,"0250",F2:F391,"00")</f>
        <v>0</v>
      </c>
      <c r="BQ421" s="462">
        <f>SUMIFS(BQ2:BQ391,G2:G391,"PRBB",E2:E391,"0250",F2:F391,"00")</f>
        <v>0</v>
      </c>
      <c r="BR421" s="462">
        <f>SUMIFS(BR2:BR391,G2:G391,"PRBB",E2:E391,"0250",F2:F391,"00")</f>
        <v>0</v>
      </c>
      <c r="BS421" s="462">
        <f>SUMIFS(BS2:BS391,G2:G391,"PRBB",E2:E391,"0250",F2:F391,"00")</f>
        <v>0</v>
      </c>
      <c r="BT421" s="462">
        <f>SUMIFS(BT2:BT391,G2:G391,"PRBB",E2:E391,"0250",F2:F391,"00")</f>
        <v>0</v>
      </c>
      <c r="BU421" s="462">
        <f>SUMIFS(BU2:BU391,G2:G391,"PRBB",E2:E391,"0250",F2:F391,"00")</f>
        <v>0</v>
      </c>
      <c r="BV421" s="462">
        <f>SUMIFS(BV2:BV391,G2:G391,"PRBB",E2:E391,"0250",F2:F391,"00")</f>
        <v>0</v>
      </c>
      <c r="BW421" s="462">
        <f>SUMIFS(BW2:BW391,G2:G391,"PRBB",E2:E391,"0250",F2:F391,"00")</f>
        <v>0</v>
      </c>
      <c r="BX421" s="462">
        <f>SUMIFS(BX2:BX391,G2:G391,"PRBB",E2:E391,"0250",F2:F391,"00")</f>
        <v>0</v>
      </c>
      <c r="BY421" s="462">
        <f>SUMIFS(BY2:BY391,G2:G391,"PRBB",E2:E391,"0250",F2:F391,"00")</f>
        <v>0</v>
      </c>
      <c r="BZ421" s="462">
        <f>SUMIFS(BZ2:BZ391,G2:G391,"PRBB",E2:E391,"0250",F2:F391,"00")</f>
        <v>0</v>
      </c>
      <c r="CA421" s="462">
        <f>SUMIFS(CA2:CA391,G2:G391,"PRBB",E2:E391,"0250",F2:F391,"00")</f>
        <v>0</v>
      </c>
      <c r="CB421" s="462">
        <f>SUMIFS(CB2:CB391,G2:G391,"PRBB",E2:E391,"0250",F2:F391,"00")</f>
        <v>0</v>
      </c>
      <c r="CC421" s="462">
        <f>SUMIFS(CC2:CC391,G2:G391,"PRBB",E2:E391,"0250",F2:F391,"00")</f>
        <v>0</v>
      </c>
      <c r="CD421" s="462">
        <f>SUMIFS(CD2:CD391,G2:G391,"PRBB",E2:E391,"0250",F2:F391,"00")</f>
        <v>0</v>
      </c>
      <c r="CE421" s="462">
        <f>SUMIFS(CE2:CE391,G2:G391,"PRBB",E2:E391,"0250",F2:F391,"00")</f>
        <v>0</v>
      </c>
      <c r="CF421" s="462">
        <f>SUMIFS(CF2:CF391,G2:G391,"PRBB",E2:E391,"0250",F2:F391,"00")</f>
        <v>0</v>
      </c>
      <c r="CG421" s="462">
        <f>SUMIFS(CG2:CG391,G2:G391,"PRBB",E2:E391,"0250",F2:F391,"00")</f>
        <v>0</v>
      </c>
      <c r="CH421" s="462">
        <f>SUMIFS(CH2:CH391,G2:G391,"PRBB",E2:E391,"0250",F2:F391,"00")</f>
        <v>0</v>
      </c>
      <c r="CI421" s="462">
        <f>SUMIFS(CI2:CI391,G2:G391,"PRBB",E2:E391,"0250",F2:F391,"00")</f>
        <v>0</v>
      </c>
      <c r="CJ421" s="462">
        <f>SUMIFS(CJ2:CJ391,G2:G391,"PRBB",E2:E391,"0250",F2:F391,"00")</f>
        <v>0</v>
      </c>
      <c r="CK421" s="462">
        <f>SUMIFS(CK2:CK391,G2:G391,"PRBB",E2:E391,"0250",F2:F391,"00")</f>
        <v>0</v>
      </c>
      <c r="CL421" s="462">
        <f>SUMIFS(CL2:CL391,G2:G391,"PRBB",E2:E391,"0250",F2:F391,"00")</f>
        <v>0</v>
      </c>
      <c r="CM421" s="462">
        <f>SUMIFS(CM2:CM391,G2:G391,"PRBB",E2:E391,"0250",F2:F391,"00")</f>
        <v>0</v>
      </c>
    </row>
    <row r="422" spans="41:91" x14ac:dyDescent="0.3">
      <c r="AR422" t="s">
        <v>1152</v>
      </c>
      <c r="AS422" s="462">
        <f>SUMIFS(AS2:AS391,G2:G391,"PRBB",E2:E391,"0250",F2:F391,"02",AT2:AT391,1)</f>
        <v>0</v>
      </c>
      <c r="AT422" s="462">
        <f>SUMIFS(AS2:AS391,G2:G391,"PRBB",E2:E391,"0250",F2:F391,"02",AT2:AT391,3)</f>
        <v>0</v>
      </c>
      <c r="AU422" s="462">
        <f>SUMIFS(AU2:AU391,G2:G391,"PRBB",E2:E391,"0250",F2:F391,"02")</f>
        <v>0</v>
      </c>
      <c r="AV422" s="462">
        <f>SUMIFS(AV2:AV391,G2:G391,"PRBB",E2:E391,"0250",F2:F391,"02")</f>
        <v>0</v>
      </c>
      <c r="AW422" s="462">
        <f>SUMIFS(AW2:AW391,G2:G391,"PRBB",E2:E391,"0250",F2:F391,"02")</f>
        <v>5</v>
      </c>
      <c r="AX422" s="462">
        <f>SUMIFS(AX2:AX391,G2:G391,"PRBB",E2:E391,"0250",F2:F391,"02")</f>
        <v>0</v>
      </c>
      <c r="AY422" s="462">
        <f>SUMIFS(AY2:AY391,G2:G391,"PRBB",E2:E391,"0250",F2:F391,"02")</f>
        <v>0</v>
      </c>
      <c r="AZ422" s="462">
        <f>SUMIFS(AZ2:AZ391,G2:G391,"PRBB",E2:E391,"0250",F2:F391,"02")</f>
        <v>0</v>
      </c>
      <c r="BA422" s="462">
        <f>SUMIFS(BA2:BA391,G2:G391,"PRBB",E2:E391,"0250",F2:F391,"02")</f>
        <v>0</v>
      </c>
      <c r="BB422" s="462">
        <f>SUMIFS(BB2:BB391,G2:G391,"PRBB",E2:E391,"0250",F2:F391,"02")</f>
        <v>0</v>
      </c>
      <c r="BC422" s="462">
        <f>SUMIFS(BC2:BC391,G2:G391,"PRBB",E2:E391,"0250",F2:F391,"02")</f>
        <v>0</v>
      </c>
      <c r="BD422" s="462">
        <f>SUMIFS(BD2:BD391,G2:G391,"PRBB",E2:E391,"0250",F2:F391,"02")</f>
        <v>0</v>
      </c>
      <c r="BE422" s="462">
        <f>SUMIFS(BE2:BE391,G2:G391,"PRBB",E2:E391,"0250",F2:F391,"02")</f>
        <v>0</v>
      </c>
      <c r="BF422" s="462">
        <f>SUMIFS(BF2:BF391,G2:G391,"PRBB",E2:E391,"0250",F2:F391,"02")</f>
        <v>0</v>
      </c>
      <c r="BG422" s="462">
        <f>SUMIFS(BG2:BG391,G2:G391,"PRBB",E2:E391,"0250",F2:F391,"02")</f>
        <v>0</v>
      </c>
      <c r="BH422" s="462">
        <f>SUMIFS(BH2:BH391,G2:G391,"PRBB",E2:E391,"0250",F2:F391,"02")</f>
        <v>0</v>
      </c>
      <c r="BI422" s="462">
        <f>SUMIFS(BI2:BI391,G2:G391,"PRBB",E2:E391,"0250",F2:F391,"02")</f>
        <v>0</v>
      </c>
      <c r="BJ422" s="462">
        <f>SUMIFS(BJ2:BJ391,G2:G391,"PRBB",E2:E391,"0250",F2:F391,"02")</f>
        <v>0</v>
      </c>
      <c r="BK422" s="462">
        <f>SUMIFS(BK2:BK391,G2:G391,"PRBB",E2:E391,"0250",F2:F391,"02")</f>
        <v>0</v>
      </c>
      <c r="BL422" s="462">
        <f>SUMIFS(BL2:BL391,G2:G391,"PRBB",E2:E391,"0250",F2:F391,"02")</f>
        <v>0</v>
      </c>
      <c r="BM422" s="462">
        <f>SUMIFS(BM2:BM391,G2:G391,"PRBB",E2:E391,"0250",F2:F391,"02")</f>
        <v>0</v>
      </c>
      <c r="BN422" s="462">
        <f>SUMIFS(BN2:BN391,G2:G391,"PRBB",E2:E391,"0250",F2:F391,"02")</f>
        <v>0</v>
      </c>
      <c r="BO422" s="462">
        <f>SUMIFS(BO2:BO391,G2:G391,"PRBB",E2:E391,"0250",F2:F391,"02")</f>
        <v>0</v>
      </c>
      <c r="BP422" s="462">
        <f>SUMIFS(BP2:BP391,G2:G391,"PRBB",E2:E391,"0250",F2:F391,"02")</f>
        <v>0</v>
      </c>
      <c r="BQ422" s="462">
        <f>SUMIFS(BQ2:BQ391,G2:G391,"PRBB",E2:E391,"0250",F2:F391,"02")</f>
        <v>0</v>
      </c>
      <c r="BR422" s="462">
        <f>SUMIFS(BR2:BR391,G2:G391,"PRBB",E2:E391,"0250",F2:F391,"02")</f>
        <v>0</v>
      </c>
      <c r="BS422" s="462">
        <f>SUMIFS(BS2:BS391,G2:G391,"PRBB",E2:E391,"0250",F2:F391,"02")</f>
        <v>0</v>
      </c>
      <c r="BT422" s="462">
        <f>SUMIFS(BT2:BT391,G2:G391,"PRBB",E2:E391,"0250",F2:F391,"02")</f>
        <v>0</v>
      </c>
      <c r="BU422" s="462">
        <f>SUMIFS(BU2:BU391,G2:G391,"PRBB",E2:E391,"0250",F2:F391,"02")</f>
        <v>0</v>
      </c>
      <c r="BV422" s="462">
        <f>SUMIFS(BV2:BV391,G2:G391,"PRBB",E2:E391,"0250",F2:F391,"02")</f>
        <v>0</v>
      </c>
      <c r="BW422" s="462">
        <f>SUMIFS(BW2:BW391,G2:G391,"PRBB",E2:E391,"0250",F2:F391,"02")</f>
        <v>0</v>
      </c>
      <c r="BX422" s="462">
        <f>SUMIFS(BX2:BX391,G2:G391,"PRBB",E2:E391,"0250",F2:F391,"02")</f>
        <v>0</v>
      </c>
      <c r="BY422" s="462">
        <f>SUMIFS(BY2:BY391,G2:G391,"PRBB",E2:E391,"0250",F2:F391,"02")</f>
        <v>0</v>
      </c>
      <c r="BZ422" s="462">
        <f>SUMIFS(BZ2:BZ391,G2:G391,"PRBB",E2:E391,"0250",F2:F391,"02")</f>
        <v>0</v>
      </c>
      <c r="CA422" s="462">
        <f>SUMIFS(CA2:CA391,G2:G391,"PRBB",E2:E391,"0250",F2:F391,"02")</f>
        <v>0</v>
      </c>
      <c r="CB422" s="462">
        <f>SUMIFS(CB2:CB391,G2:G391,"PRBB",E2:E391,"0250",F2:F391,"02")</f>
        <v>0</v>
      </c>
      <c r="CC422" s="462">
        <f>SUMIFS(CC2:CC391,G2:G391,"PRBB",E2:E391,"0250",F2:F391,"02")</f>
        <v>0</v>
      </c>
      <c r="CD422" s="462">
        <f>SUMIFS(CD2:CD391,G2:G391,"PRBB",E2:E391,"0250",F2:F391,"02")</f>
        <v>0</v>
      </c>
      <c r="CE422" s="462">
        <f>SUMIFS(CE2:CE391,G2:G391,"PRBB",E2:E391,"0250",F2:F391,"02")</f>
        <v>0</v>
      </c>
      <c r="CF422" s="462">
        <f>SUMIFS(CF2:CF391,G2:G391,"PRBB",E2:E391,"0250",F2:F391,"02")</f>
        <v>0</v>
      </c>
      <c r="CG422" s="462">
        <f>SUMIFS(CG2:CG391,G2:G391,"PRBB",E2:E391,"0250",F2:F391,"02")</f>
        <v>0</v>
      </c>
      <c r="CH422" s="462">
        <f>SUMIFS(CH2:CH391,G2:G391,"PRBB",E2:E391,"0250",F2:F391,"02")</f>
        <v>0</v>
      </c>
      <c r="CI422" s="462">
        <f>SUMIFS(CI2:CI391,G2:G391,"PRBB",E2:E391,"0250",F2:F391,"02")</f>
        <v>0</v>
      </c>
      <c r="CJ422" s="462">
        <f>SUMIFS(CJ2:CJ391,G2:G391,"PRBB",E2:E391,"0250",F2:F391,"02")</f>
        <v>0</v>
      </c>
      <c r="CK422" s="462">
        <f>SUMIFS(CK2:CK391,G2:G391,"PRBB",E2:E391,"0250",F2:F391,"02")</f>
        <v>0</v>
      </c>
      <c r="CL422" s="462">
        <f>SUMIFS(CL2:CL391,G2:G391,"PRBB",E2:E391,"0250",F2:F391,"02")</f>
        <v>12089.279999999999</v>
      </c>
      <c r="CM422" s="462">
        <f>SUMIFS(CM2:CM391,G2:G391,"PRBB",E2:E391,"0250",F2:F391,"02")</f>
        <v>1630.24</v>
      </c>
    </row>
    <row r="423" spans="41:91" x14ac:dyDescent="0.3">
      <c r="AR423" t="s">
        <v>1153</v>
      </c>
      <c r="AS423" s="462">
        <f>SUMIFS(AS2:AS391,G2:G391,"PRBB",E2:E391,"0250",F2:F391,"03",AT2:AT391,1)</f>
        <v>1.1000000000000001</v>
      </c>
      <c r="AT423" s="462">
        <f>SUMIFS(AS2:AS391,G2:G391,"PRBB",E2:E391,"0250",F2:F391,"03",AT2:AT391,3)</f>
        <v>0</v>
      </c>
      <c r="AU423" s="462">
        <f>SUMIFS(AU2:AU391,G2:G391,"PRBB",E2:E391,"0250",F2:F391,"03")</f>
        <v>4</v>
      </c>
      <c r="AV423" s="462">
        <f>SUMIFS(AV2:AV391,G2:G391,"PRBB",E2:E391,"0250",F2:F391,"03")</f>
        <v>0</v>
      </c>
      <c r="AW423" s="462">
        <f>SUMIFS(AW2:AW391,G2:G391,"PRBB",E2:E391,"0250",F2:F391,"03")</f>
        <v>10</v>
      </c>
      <c r="AX423" s="462">
        <f>SUMIFS(AX2:AX391,G2:G391,"PRBB",E2:E391,"0250",F2:F391,"03")</f>
        <v>218379.2</v>
      </c>
      <c r="AY423" s="462">
        <f>SUMIFS(AY2:AY391,G2:G391,"PRBB",E2:E391,"0250",F2:F391,"03")</f>
        <v>59311.199999999997</v>
      </c>
      <c r="AZ423" s="462">
        <f>SUMIFS(AZ2:AZ391,G2:G391,"PRBB",E2:E391,"0250",F2:F391,"03")</f>
        <v>0</v>
      </c>
      <c r="BA423" s="462">
        <f>SUMIFS(BA2:BA391,G2:G391,"PRBB",E2:E391,"0250",F2:F391,"03")</f>
        <v>0</v>
      </c>
      <c r="BB423" s="462">
        <f>SUMIFS(BB2:BB391,G2:G391,"PRBB",E2:E391,"0250",F2:F391,"03")</f>
        <v>12815</v>
      </c>
      <c r="BC423" s="462">
        <f>SUMIFS(BC2:BC391,G2:G391,"PRBB",E2:E391,"0250",F2:F391,"03")</f>
        <v>0</v>
      </c>
      <c r="BD423" s="462">
        <f>SUMIFS(BD2:BD391,G2:G391,"PRBB",E2:E391,"0250",F2:F391,"03")</f>
        <v>3677.2943999999998</v>
      </c>
      <c r="BE423" s="462">
        <f>SUMIFS(BE2:BE391,G2:G391,"PRBB",E2:E391,"0250",F2:F391,"03")</f>
        <v>860.01240000000007</v>
      </c>
      <c r="BF423" s="462">
        <f>SUMIFS(BF2:BF391,G2:G391,"PRBB",E2:E391,"0250",F2:F391,"03")</f>
        <v>7081.7572799999998</v>
      </c>
      <c r="BG423" s="462">
        <f>SUMIFS(BG2:BG391,G2:G391,"PRBB",E2:E391,"0250",F2:F391,"03")</f>
        <v>427.63375199999996</v>
      </c>
      <c r="BH423" s="462">
        <f>SUMIFS(BH2:BH391,G2:G391,"PRBB",E2:E391,"0250",F2:F391,"03")</f>
        <v>290.62487999999996</v>
      </c>
      <c r="BI423" s="462">
        <f>SUMIFS(BI2:BI391,G2:G391,"PRBB",E2:E391,"0250",F2:F391,"03")</f>
        <v>181.49227199999999</v>
      </c>
      <c r="BJ423" s="462">
        <f>SUMIFS(BJ2:BJ391,G2:G391,"PRBB",E2:E391,"0250",F2:F391,"03")</f>
        <v>1595.47128</v>
      </c>
      <c r="BK423" s="462">
        <f>SUMIFS(BK2:BK391,G2:G391,"PRBB",E2:E391,"0250",F2:F391,"03")</f>
        <v>0</v>
      </c>
      <c r="BL423" s="462">
        <f>SUMIFS(BL2:BL391,G2:G391,"PRBB",E2:E391,"0250",F2:F391,"03")</f>
        <v>14114.286264</v>
      </c>
      <c r="BM423" s="462">
        <f>SUMIFS(BM2:BM391,G2:G391,"PRBB",E2:E391,"0250",F2:F391,"03")</f>
        <v>0</v>
      </c>
      <c r="BN423" s="462">
        <f>SUMIFS(BN2:BN391,G2:G391,"PRBB",E2:E391,"0250",F2:F391,"03")</f>
        <v>12815</v>
      </c>
      <c r="BO423" s="462">
        <f>SUMIFS(BO2:BO391,G2:G391,"PRBB",E2:E391,"0250",F2:F391,"03")</f>
        <v>0</v>
      </c>
      <c r="BP423" s="462">
        <f>SUMIFS(BP2:BP391,G2:G391,"PRBB",E2:E391,"0250",F2:F391,"03")</f>
        <v>3677.2943999999998</v>
      </c>
      <c r="BQ423" s="462">
        <f>SUMIFS(BQ2:BQ391,G2:G391,"PRBB",E2:E391,"0250",F2:F391,"03")</f>
        <v>860.01240000000007</v>
      </c>
      <c r="BR423" s="462">
        <f>SUMIFS(BR2:BR391,G2:G391,"PRBB",E2:E391,"0250",F2:F391,"03")</f>
        <v>7081.7572799999998</v>
      </c>
      <c r="BS423" s="462">
        <f>SUMIFS(BS2:BS391,G2:G391,"PRBB",E2:E391,"0250",F2:F391,"03")</f>
        <v>427.63375199999996</v>
      </c>
      <c r="BT423" s="462">
        <f>SUMIFS(BT2:BT391,G2:G391,"PRBB",E2:E391,"0250",F2:F391,"03")</f>
        <v>0</v>
      </c>
      <c r="BU423" s="462">
        <f>SUMIFS(BU2:BU391,G2:G391,"PRBB",E2:E391,"0250",F2:F391,"03")</f>
        <v>181.49227199999999</v>
      </c>
      <c r="BV423" s="462">
        <f>SUMIFS(BV2:BV391,G2:G391,"PRBB",E2:E391,"0250",F2:F391,"03")</f>
        <v>2058.0986400000002</v>
      </c>
      <c r="BW423" s="462">
        <f>SUMIFS(BW2:BW391,G2:G391,"PRBB",E2:E391,"0250",F2:F391,"03")</f>
        <v>0</v>
      </c>
      <c r="BX423" s="462">
        <f>SUMIFS(BX2:BX391,G2:G391,"PRBB",E2:E391,"0250",F2:F391,"03")</f>
        <v>14286.288743999999</v>
      </c>
      <c r="BY423" s="462">
        <f>SUMIFS(BY2:BY391,G2:G391,"PRBB",E2:E391,"0250",F2:F391,"03")</f>
        <v>0</v>
      </c>
      <c r="BZ423" s="462">
        <f>SUMIFS(BZ2:BZ391,G2:G391,"PRBB",E2:E391,"0250",F2:F391,"03")</f>
        <v>0</v>
      </c>
      <c r="CA423" s="462">
        <f>SUMIFS(CA2:CA391,G2:G391,"PRBB",E2:E391,"0250",F2:F391,"03")</f>
        <v>0</v>
      </c>
      <c r="CB423" s="462">
        <f>SUMIFS(CB2:CB391,G2:G391,"PRBB",E2:E391,"0250",F2:F391,"03")</f>
        <v>0</v>
      </c>
      <c r="CC423" s="462">
        <f>SUMIFS(CC2:CC391,G2:G391,"PRBB",E2:E391,"0250",F2:F391,"03")</f>
        <v>0</v>
      </c>
      <c r="CD423" s="462">
        <f>SUMIFS(CD2:CD391,G2:G391,"PRBB",E2:E391,"0250",F2:F391,"03")</f>
        <v>0</v>
      </c>
      <c r="CE423" s="462">
        <f>SUMIFS(CE2:CE391,G2:G391,"PRBB",E2:E391,"0250",F2:F391,"03")</f>
        <v>0</v>
      </c>
      <c r="CF423" s="462">
        <f>SUMIFS(CF2:CF391,G2:G391,"PRBB",E2:E391,"0250",F2:F391,"03")</f>
        <v>-290.62487999999996</v>
      </c>
      <c r="CG423" s="462">
        <f>SUMIFS(CG2:CG391,G2:G391,"PRBB",E2:E391,"0250",F2:F391,"03")</f>
        <v>0</v>
      </c>
      <c r="CH423" s="462">
        <f>SUMIFS(CH2:CH391,G2:G391,"PRBB",E2:E391,"0250",F2:F391,"03")</f>
        <v>462.62736000000007</v>
      </c>
      <c r="CI423" s="462">
        <f>SUMIFS(CI2:CI391,G2:G391,"PRBB",E2:E391,"0250",F2:F391,"03")</f>
        <v>0</v>
      </c>
      <c r="CJ423" s="462">
        <f>SUMIFS(CJ2:CJ391,G2:G391,"PRBB",E2:E391,"0250",F2:F391,"03")</f>
        <v>172.00248000000011</v>
      </c>
      <c r="CK423" s="462">
        <f>SUMIFS(CK2:CK391,G2:G391,"PRBB",E2:E391,"0250",F2:F391,"03")</f>
        <v>0</v>
      </c>
      <c r="CL423" s="462">
        <f>SUMIFS(CL2:CL391,G2:G391,"PRBB",E2:E391,"0250",F2:F391,"03")</f>
        <v>0</v>
      </c>
      <c r="CM423" s="462">
        <f>SUMIFS(CM2:CM391,G2:G391,"PRBB",E2:E391,"0250",F2:F391,"03")</f>
        <v>0</v>
      </c>
    </row>
    <row r="424" spans="41:91" x14ac:dyDescent="0.3">
      <c r="AR424" t="s">
        <v>1154</v>
      </c>
      <c r="AS424" s="462">
        <f>SUMIFS(AS2:AS391,G2:G391,"PRBB",E2:E391,"0250",F2:F391,"04",AT2:AT391,1)</f>
        <v>4.6500000000000004</v>
      </c>
      <c r="AT424" s="462">
        <f>SUMIFS(AS2:AS391,G2:G391,"PRBB",E2:E391,"0250",F2:F391,"04",AT2:AT391,3)</f>
        <v>0</v>
      </c>
      <c r="AU424" s="462">
        <f>SUMIFS(AU2:AU391,G2:G391,"PRBB",E2:E391,"0250",F2:F391,"04")</f>
        <v>10</v>
      </c>
      <c r="AV424" s="462">
        <f>SUMIFS(AV2:AV391,G2:G391,"PRBB",E2:E391,"0250",F2:F391,"04")</f>
        <v>0</v>
      </c>
      <c r="AW424" s="462">
        <f>SUMIFS(AW2:AW391,G2:G391,"PRBB",E2:E391,"0250",F2:F391,"04")</f>
        <v>40</v>
      </c>
      <c r="AX424" s="462">
        <f>SUMIFS(AX2:AX391,G2:G391,"PRBB",E2:E391,"0250",F2:F391,"04")</f>
        <v>632008.00000000012</v>
      </c>
      <c r="AY424" s="462">
        <f>SUMIFS(AY2:AY391,G2:G391,"PRBB",E2:E391,"0250",F2:F391,"04")</f>
        <v>234452.40000000002</v>
      </c>
      <c r="AZ424" s="462">
        <f>SUMIFS(AZ2:AZ391,G2:G391,"PRBB",E2:E391,"0250",F2:F391,"04")</f>
        <v>0</v>
      </c>
      <c r="BA424" s="462">
        <f>SUMIFS(BA2:BA391,G2:G391,"PRBB",E2:E391,"0250",F2:F391,"04")</f>
        <v>0</v>
      </c>
      <c r="BB424" s="462">
        <f>SUMIFS(BB2:BB391,G2:G391,"PRBB",E2:E391,"0250",F2:F391,"04")</f>
        <v>54172.5</v>
      </c>
      <c r="BC424" s="462">
        <f>SUMIFS(BC2:BC391,G2:G391,"PRBB",E2:E391,"0250",F2:F391,"04")</f>
        <v>0</v>
      </c>
      <c r="BD424" s="462">
        <f>SUMIFS(BD2:BD391,G2:G391,"PRBB",E2:E391,"0250",F2:F391,"04")</f>
        <v>14536.048799999999</v>
      </c>
      <c r="BE424" s="462">
        <f>SUMIFS(BE2:BE391,G2:G391,"PRBB",E2:E391,"0250",F2:F391,"04")</f>
        <v>3399.5598</v>
      </c>
      <c r="BF424" s="462">
        <f>SUMIFS(BF2:BF391,G2:G391,"PRBB",E2:E391,"0250",F2:F391,"04")</f>
        <v>27993.616559999999</v>
      </c>
      <c r="BG424" s="462">
        <f>SUMIFS(BG2:BG391,G2:G391,"PRBB",E2:E391,"0250",F2:F391,"04")</f>
        <v>1690.4018040000003</v>
      </c>
      <c r="BH424" s="462">
        <f>SUMIFS(BH2:BH391,G2:G391,"PRBB",E2:E391,"0250",F2:F391,"04")</f>
        <v>1148.8167599999999</v>
      </c>
      <c r="BI424" s="462">
        <f>SUMIFS(BI2:BI391,G2:G391,"PRBB",E2:E391,"0250",F2:F391,"04")</f>
        <v>717.42434400000002</v>
      </c>
      <c r="BJ424" s="462">
        <f>SUMIFS(BJ2:BJ391,G2:G391,"PRBB",E2:E391,"0250",F2:F391,"04")</f>
        <v>6306.7695599999997</v>
      </c>
      <c r="BK424" s="462">
        <f>SUMIFS(BK2:BK391,G2:G391,"PRBB",E2:E391,"0250",F2:F391,"04")</f>
        <v>0</v>
      </c>
      <c r="BL424" s="462">
        <f>SUMIFS(BL2:BL391,G2:G391,"PRBB",E2:E391,"0250",F2:F391,"04")</f>
        <v>55792.637627999997</v>
      </c>
      <c r="BM424" s="462">
        <f>SUMIFS(BM2:BM391,G2:G391,"PRBB",E2:E391,"0250",F2:F391,"04")</f>
        <v>0</v>
      </c>
      <c r="BN424" s="462">
        <f>SUMIFS(BN2:BN391,G2:G391,"PRBB",E2:E391,"0250",F2:F391,"04")</f>
        <v>54172.5</v>
      </c>
      <c r="BO424" s="462">
        <f>SUMIFS(BO2:BO391,G2:G391,"PRBB",E2:E391,"0250",F2:F391,"04")</f>
        <v>0</v>
      </c>
      <c r="BP424" s="462">
        <f>SUMIFS(BP2:BP391,G2:G391,"PRBB",E2:E391,"0250",F2:F391,"04")</f>
        <v>14536.048799999999</v>
      </c>
      <c r="BQ424" s="462">
        <f>SUMIFS(BQ2:BQ391,G2:G391,"PRBB",E2:E391,"0250",F2:F391,"04")</f>
        <v>3399.5598</v>
      </c>
      <c r="BR424" s="462">
        <f>SUMIFS(BR2:BR391,G2:G391,"PRBB",E2:E391,"0250",F2:F391,"04")</f>
        <v>27993.616559999999</v>
      </c>
      <c r="BS424" s="462">
        <f>SUMIFS(BS2:BS391,G2:G391,"PRBB",E2:E391,"0250",F2:F391,"04")</f>
        <v>1690.4018040000003</v>
      </c>
      <c r="BT424" s="462">
        <f>SUMIFS(BT2:BT391,G2:G391,"PRBB",E2:E391,"0250",F2:F391,"04")</f>
        <v>0</v>
      </c>
      <c r="BU424" s="462">
        <f>SUMIFS(BU2:BU391,G2:G391,"PRBB",E2:E391,"0250",F2:F391,"04")</f>
        <v>717.42434400000002</v>
      </c>
      <c r="BV424" s="462">
        <f>SUMIFS(BV2:BV391,G2:G391,"PRBB",E2:E391,"0250",F2:F391,"04")</f>
        <v>8135.4982799999998</v>
      </c>
      <c r="BW424" s="462">
        <f>SUMIFS(BW2:BW391,G2:G391,"PRBB",E2:E391,"0250",F2:F391,"04")</f>
        <v>0</v>
      </c>
      <c r="BX424" s="462">
        <f>SUMIFS(BX2:BX391,G2:G391,"PRBB",E2:E391,"0250",F2:F391,"04")</f>
        <v>56472.549587999994</v>
      </c>
      <c r="BY424" s="462">
        <f>SUMIFS(BY2:BY391,G2:G391,"PRBB",E2:E391,"0250",F2:F391,"04")</f>
        <v>0</v>
      </c>
      <c r="BZ424" s="462">
        <f>SUMIFS(BZ2:BZ391,G2:G391,"PRBB",E2:E391,"0250",F2:F391,"04")</f>
        <v>0</v>
      </c>
      <c r="CA424" s="462">
        <f>SUMIFS(CA2:CA391,G2:G391,"PRBB",E2:E391,"0250",F2:F391,"04")</f>
        <v>0</v>
      </c>
      <c r="CB424" s="462">
        <f>SUMIFS(CB2:CB391,G2:G391,"PRBB",E2:E391,"0250",F2:F391,"04")</f>
        <v>0</v>
      </c>
      <c r="CC424" s="462">
        <f>SUMIFS(CC2:CC391,G2:G391,"PRBB",E2:E391,"0250",F2:F391,"04")</f>
        <v>0</v>
      </c>
      <c r="CD424" s="462">
        <f>SUMIFS(CD2:CD391,G2:G391,"PRBB",E2:E391,"0250",F2:F391,"04")</f>
        <v>0</v>
      </c>
      <c r="CE424" s="462">
        <f>SUMIFS(CE2:CE391,G2:G391,"PRBB",E2:E391,"0250",F2:F391,"04")</f>
        <v>0</v>
      </c>
      <c r="CF424" s="462">
        <f>SUMIFS(CF2:CF391,G2:G391,"PRBB",E2:E391,"0250",F2:F391,"04")</f>
        <v>-1148.8167599999999</v>
      </c>
      <c r="CG424" s="462">
        <f>SUMIFS(CG2:CG391,G2:G391,"PRBB",E2:E391,"0250",F2:F391,"04")</f>
        <v>0</v>
      </c>
      <c r="CH424" s="462">
        <f>SUMIFS(CH2:CH391,G2:G391,"PRBB",E2:E391,"0250",F2:F391,"04")</f>
        <v>1828.7287200000005</v>
      </c>
      <c r="CI424" s="462">
        <f>SUMIFS(CI2:CI391,G2:G391,"PRBB",E2:E391,"0250",F2:F391,"04")</f>
        <v>0</v>
      </c>
      <c r="CJ424" s="462">
        <f>SUMIFS(CJ2:CJ391,G2:G391,"PRBB",E2:E391,"0250",F2:F391,"04")</f>
        <v>679.91196000000048</v>
      </c>
      <c r="CK424" s="462">
        <f>SUMIFS(CK2:CK391,G2:G391,"PRBB",E2:E391,"0250",F2:F391,"04")</f>
        <v>0</v>
      </c>
      <c r="CL424" s="462">
        <f>SUMIFS(CL2:CL391,G2:G391,"PRBB",E2:E391,"0250",F2:F391,"04")</f>
        <v>129568.73999999999</v>
      </c>
      <c r="CM424" s="462">
        <f>SUMIFS(CM2:CM391,G2:G391,"PRBB",E2:E391,"0250",F2:F391,"04")</f>
        <v>40609.64</v>
      </c>
    </row>
    <row r="425" spans="41:91" ht="15" thickBot="1" x14ac:dyDescent="0.35">
      <c r="AR425" t="s">
        <v>1155</v>
      </c>
      <c r="AS425" s="462">
        <f>SUMIFS(AS2:AS391,G2:G391,"PRBB",E2:E391,"0250",F2:F391,"05",AT2:AT391,1)</f>
        <v>1.67</v>
      </c>
      <c r="AT425" s="462">
        <f>SUMIFS(AS2:AS391,G2:G391,"PRBB",E2:E391,"0250",F2:F391,"05",AT2:AT391,3)</f>
        <v>0</v>
      </c>
      <c r="AU425" s="462">
        <f>SUMIFS(AU2:AU391,G2:G391,"PRBB",E2:E391,"0250",F2:F391,"05")</f>
        <v>3</v>
      </c>
      <c r="AV425" s="462">
        <f>SUMIFS(AV2:AV391,G2:G391,"PRBB",E2:E391,"0250",F2:F391,"05")</f>
        <v>0</v>
      </c>
      <c r="AW425" s="462">
        <f>SUMIFS(AW2:AW391,G2:G391,"PRBB",E2:E391,"0250",F2:F391,"05")</f>
        <v>10</v>
      </c>
      <c r="AX425" s="462">
        <f>SUMIFS(AX2:AX391,G2:G391,"PRBB",E2:E391,"0250",F2:F391,"05")</f>
        <v>143832</v>
      </c>
      <c r="AY425" s="462">
        <f>SUMIFS(AY2:AY391,G2:G391,"PRBB",E2:E391,"0250",F2:F391,"05")</f>
        <v>82983.679999999993</v>
      </c>
      <c r="AZ425" s="462">
        <f>SUMIFS(AZ2:AZ391,G2:G391,"PRBB",E2:E391,"0250",F2:F391,"05")</f>
        <v>0</v>
      </c>
      <c r="BA425" s="462">
        <f>SUMIFS(BA2:BA391,G2:G391,"PRBB",E2:E391,"0250",F2:F391,"05")</f>
        <v>0</v>
      </c>
      <c r="BB425" s="462">
        <f>SUMIFS(BB2:BB391,G2:G391,"PRBB",E2:E391,"0250",F2:F391,"05")</f>
        <v>19455.5</v>
      </c>
      <c r="BC425" s="462">
        <f>SUMIFS(BC2:BC391,G2:G391,"PRBB",E2:E391,"0250",F2:F391,"05")</f>
        <v>0</v>
      </c>
      <c r="BD425" s="462">
        <f>SUMIFS(BD2:BD391,G2:G391,"PRBB",E2:E391,"0250",F2:F391,"05")</f>
        <v>5144.9881599999999</v>
      </c>
      <c r="BE425" s="462">
        <f>SUMIFS(BE2:BE391,G2:G391,"PRBB",E2:E391,"0250",F2:F391,"05")</f>
        <v>1203.2633599999999</v>
      </c>
      <c r="BF425" s="462">
        <f>SUMIFS(BF2:BF391,G2:G391,"PRBB",E2:E391,"0250",F2:F391,"05")</f>
        <v>9908.2513920000001</v>
      </c>
      <c r="BG425" s="462">
        <f>SUMIFS(BG2:BG391,G2:G391,"PRBB",E2:E391,"0250",F2:F391,"05")</f>
        <v>598.31233279999992</v>
      </c>
      <c r="BH425" s="462">
        <f>SUMIFS(BH2:BH391,G2:G391,"PRBB",E2:E391,"0250",F2:F391,"05")</f>
        <v>406.62003200000004</v>
      </c>
      <c r="BI425" s="462">
        <f>SUMIFS(BI2:BI391,G2:G391,"PRBB",E2:E391,"0250",F2:F391,"05")</f>
        <v>253.93006079999998</v>
      </c>
      <c r="BJ425" s="462">
        <f>SUMIFS(BJ2:BJ391,G2:G391,"PRBB",E2:E391,"0250",F2:F391,"05")</f>
        <v>2232.260992</v>
      </c>
      <c r="BK425" s="462">
        <f>SUMIFS(BK2:BK391,G2:G391,"PRBB",E2:E391,"0250",F2:F391,"05")</f>
        <v>0</v>
      </c>
      <c r="BL425" s="462">
        <f>SUMIFS(BL2:BL391,G2:G391,"PRBB",E2:E391,"0250",F2:F391,"05")</f>
        <v>19747.6263296</v>
      </c>
      <c r="BM425" s="462">
        <f>SUMIFS(BM2:BM391,G2:G391,"PRBB",E2:E391,"0250",F2:F391,"05")</f>
        <v>0</v>
      </c>
      <c r="BN425" s="462">
        <f>SUMIFS(BN2:BN391,G2:G391,"PRBB",E2:E391,"0250",F2:F391,"05")</f>
        <v>19455.5</v>
      </c>
      <c r="BO425" s="462">
        <f>SUMIFS(BO2:BO391,G2:G391,"PRBB",E2:E391,"0250",F2:F391,"05")</f>
        <v>0</v>
      </c>
      <c r="BP425" s="462">
        <f>SUMIFS(BP2:BP391,G2:G391,"PRBB",E2:E391,"0250",F2:F391,"05")</f>
        <v>5144.9881599999999</v>
      </c>
      <c r="BQ425" s="462">
        <f>SUMIFS(BQ2:BQ391,G2:G391,"PRBB",E2:E391,"0250",F2:F391,"05")</f>
        <v>1203.2633599999999</v>
      </c>
      <c r="BR425" s="462">
        <f>SUMIFS(BR2:BR391,G2:G391,"PRBB",E2:E391,"0250",F2:F391,"05")</f>
        <v>9908.2513920000001</v>
      </c>
      <c r="BS425" s="462">
        <f>SUMIFS(BS2:BS391,G2:G391,"PRBB",E2:E391,"0250",F2:F391,"05")</f>
        <v>598.31233279999992</v>
      </c>
      <c r="BT425" s="462">
        <f>SUMIFS(BT2:BT391,G2:G391,"PRBB",E2:E391,"0250",F2:F391,"05")</f>
        <v>0</v>
      </c>
      <c r="BU425" s="462">
        <f>SUMIFS(BU2:BU391,G2:G391,"PRBB",E2:E391,"0250",F2:F391,"05")</f>
        <v>253.93006079999998</v>
      </c>
      <c r="BV425" s="462">
        <f>SUMIFS(BV2:BV391,G2:G391,"PRBB",E2:E391,"0250",F2:F391,"05")</f>
        <v>2879.5336960000004</v>
      </c>
      <c r="BW425" s="462">
        <f>SUMIFS(BW2:BW391,G2:G391,"PRBB",E2:E391,"0250",F2:F391,"05")</f>
        <v>0</v>
      </c>
      <c r="BX425" s="462">
        <f>SUMIFS(BX2:BX391,G2:G391,"PRBB",E2:E391,"0250",F2:F391,"05")</f>
        <v>19988.2790016</v>
      </c>
      <c r="BY425" s="462">
        <f>SUMIFS(BY2:BY391,G2:G391,"PRBB",E2:E391,"0250",F2:F391,"05")</f>
        <v>0</v>
      </c>
      <c r="BZ425" s="462">
        <f>SUMIFS(BZ2:BZ391,G2:G391,"PRBB",E2:E391,"0250",F2:F391,"05")</f>
        <v>0</v>
      </c>
      <c r="CA425" s="462">
        <f>SUMIFS(CA2:CA391,G2:G391,"PRBB",E2:E391,"0250",F2:F391,"05")</f>
        <v>0</v>
      </c>
      <c r="CB425" s="462">
        <f>SUMIFS(CB2:CB391,G2:G391,"PRBB",E2:E391,"0250",F2:F391,"05")</f>
        <v>0</v>
      </c>
      <c r="CC425" s="462">
        <f>SUMIFS(CC2:CC391,G2:G391,"PRBB",E2:E391,"0250",F2:F391,"05")</f>
        <v>0</v>
      </c>
      <c r="CD425" s="462">
        <f>SUMIFS(CD2:CD391,G2:G391,"PRBB",E2:E391,"0250",F2:F391,"05")</f>
        <v>0</v>
      </c>
      <c r="CE425" s="462">
        <f>SUMIFS(CE2:CE391,G2:G391,"PRBB",E2:E391,"0250",F2:F391,"05")</f>
        <v>0</v>
      </c>
      <c r="CF425" s="462">
        <f>SUMIFS(CF2:CF391,G2:G391,"PRBB",E2:E391,"0250",F2:F391,"05")</f>
        <v>-406.62003200000004</v>
      </c>
      <c r="CG425" s="462">
        <f>SUMIFS(CG2:CG391,G2:G391,"PRBB",E2:E391,"0250",F2:F391,"05")</f>
        <v>0</v>
      </c>
      <c r="CH425" s="462">
        <f>SUMIFS(CH2:CH391,G2:G391,"PRBB",E2:E391,"0250",F2:F391,"05")</f>
        <v>647.27270400000009</v>
      </c>
      <c r="CI425" s="462">
        <f>SUMIFS(CI2:CI391,G2:G391,"PRBB",E2:E391,"0250",F2:F391,"05")</f>
        <v>0</v>
      </c>
      <c r="CJ425" s="462">
        <f>SUMIFS(CJ2:CJ391,G2:G391,"PRBB",E2:E391,"0250",F2:F391,"05")</f>
        <v>240.65267200000011</v>
      </c>
      <c r="CK425" s="462">
        <f>SUMIFS(CK2:CK391,G2:G391,"PRBB",E2:E391,"0250",F2:F391,"05")</f>
        <v>0</v>
      </c>
      <c r="CL425" s="462">
        <f>SUMIFS(CL2:CL391,G2:G391,"PRBB",E2:E391,"0250",F2:F391,"05")</f>
        <v>0</v>
      </c>
      <c r="CM425" s="462">
        <f>SUMIFS(CM2:CM391,G2:G391,"PRBB",E2:E391,"0250",F2:F391,"05")</f>
        <v>0</v>
      </c>
    </row>
    <row r="426" spans="41:91" ht="18" x14ac:dyDescent="0.35">
      <c r="AQ426" s="468" t="s">
        <v>1156</v>
      </c>
      <c r="AS426" s="469">
        <f>SUM(AS421:AS425)</f>
        <v>7.42</v>
      </c>
      <c r="AT426" s="469">
        <f>SUM(AT421:AT425)</f>
        <v>0</v>
      </c>
      <c r="AU426" s="469">
        <f>SUM(AU421:AU425)</f>
        <v>17</v>
      </c>
      <c r="AV426" s="469">
        <f>SUM(AV421:AV425)</f>
        <v>0</v>
      </c>
      <c r="AW426" s="469">
        <f>SUM(AW421:AW425)</f>
        <v>65</v>
      </c>
      <c r="AX426" s="469">
        <f>SUM(AX421:AX425)</f>
        <v>994219.20000000019</v>
      </c>
      <c r="AY426" s="469">
        <f>SUM(AY421:AY425)</f>
        <v>376747.28</v>
      </c>
      <c r="AZ426" s="469">
        <f>SUM(AZ421:AZ425)</f>
        <v>0</v>
      </c>
      <c r="BA426" s="469">
        <f>SUM(BA421:BA425)</f>
        <v>0</v>
      </c>
      <c r="BB426" s="469">
        <f>SUM(BB421:BB425)</f>
        <v>86443</v>
      </c>
      <c r="BC426" s="469">
        <f>SUM(BC421:BC425)</f>
        <v>0</v>
      </c>
      <c r="BD426" s="469">
        <f>SUM(BD421:BD425)</f>
        <v>23358.33136</v>
      </c>
      <c r="BE426" s="469">
        <f>SUM(BE421:BE425)</f>
        <v>5462.8355600000004</v>
      </c>
      <c r="BF426" s="469">
        <f>SUM(BF421:BF425)</f>
        <v>44983.625231999999</v>
      </c>
      <c r="BG426" s="469">
        <f>SUM(BG421:BG425)</f>
        <v>2716.3478888</v>
      </c>
      <c r="BH426" s="469">
        <f>SUM(BH421:BH425)</f>
        <v>1846.061672</v>
      </c>
      <c r="BI426" s="469">
        <f>SUM(BI421:BI425)</f>
        <v>1152.8466767999998</v>
      </c>
      <c r="BJ426" s="469">
        <f>SUM(BJ421:BJ425)</f>
        <v>10134.501832</v>
      </c>
      <c r="BK426" s="469">
        <f>SUM(BK421:BK425)</f>
        <v>0</v>
      </c>
      <c r="BL426" s="469">
        <f>SUM(BL421:BL425)</f>
        <v>89654.550221599988</v>
      </c>
      <c r="BM426" s="469">
        <f>SUM(BM421:BM425)</f>
        <v>0</v>
      </c>
      <c r="BN426" s="469">
        <f>SUM(BN421:BN425)</f>
        <v>86443</v>
      </c>
      <c r="BO426" s="469">
        <f>SUM(BO421:BO425)</f>
        <v>0</v>
      </c>
      <c r="BP426" s="469">
        <f>SUM(BP421:BP425)</f>
        <v>23358.33136</v>
      </c>
      <c r="BQ426" s="469">
        <f>SUM(BQ421:BQ425)</f>
        <v>5462.8355600000004</v>
      </c>
      <c r="BR426" s="469">
        <f>SUM(BR421:BR425)</f>
        <v>44983.625231999999</v>
      </c>
      <c r="BS426" s="469">
        <f>SUM(BS421:BS425)</f>
        <v>2716.3478888</v>
      </c>
      <c r="BT426" s="469">
        <f>SUM(BT421:BT425)</f>
        <v>0</v>
      </c>
      <c r="BU426" s="469">
        <f>SUM(BU421:BU425)</f>
        <v>1152.8466767999998</v>
      </c>
      <c r="BV426" s="469">
        <f>SUM(BV421:BV425)</f>
        <v>13073.130616</v>
      </c>
      <c r="BW426" s="469">
        <f>SUM(BW421:BW425)</f>
        <v>0</v>
      </c>
      <c r="BX426" s="469">
        <f>SUM(BX421:BX425)</f>
        <v>90747.117333600007</v>
      </c>
      <c r="BY426" s="469">
        <f>SUM(BY421:BY425)</f>
        <v>0</v>
      </c>
      <c r="BZ426" s="469">
        <f>SUM(BZ421:BZ425)</f>
        <v>0</v>
      </c>
      <c r="CA426" s="469">
        <f>SUM(CA421:CA425)</f>
        <v>0</v>
      </c>
      <c r="CB426" s="469">
        <f>SUM(CB421:CB425)</f>
        <v>0</v>
      </c>
      <c r="CC426" s="469">
        <f>SUM(CC421:CC425)</f>
        <v>0</v>
      </c>
      <c r="CD426" s="469">
        <f>SUM(CD421:CD425)</f>
        <v>0</v>
      </c>
      <c r="CE426" s="469">
        <f>SUM(CE421:CE425)</f>
        <v>0</v>
      </c>
      <c r="CF426" s="469">
        <f>SUM(CF421:CF425)</f>
        <v>-1846.061672</v>
      </c>
      <c r="CG426" s="469">
        <f>SUM(CG421:CG425)</f>
        <v>0</v>
      </c>
      <c r="CH426" s="469">
        <f>SUM(CH421:CH425)</f>
        <v>2938.6287840000005</v>
      </c>
      <c r="CI426" s="469">
        <f>SUM(CI421:CI425)</f>
        <v>0</v>
      </c>
      <c r="CJ426" s="469">
        <f>SUM(CJ421:CJ425)</f>
        <v>1092.5671120000006</v>
      </c>
      <c r="CK426" s="469">
        <f>SUM(CK421:CK425)</f>
        <v>0</v>
      </c>
      <c r="CL426" s="469">
        <f>SUM(CL421:CL425)</f>
        <v>141658.01999999999</v>
      </c>
      <c r="CM426" s="469">
        <f>SUM(CM421:CM425)</f>
        <v>42239.88</v>
      </c>
    </row>
    <row r="427" spans="41:91" ht="15" thickBot="1" x14ac:dyDescent="0.35">
      <c r="AR427" t="s">
        <v>1158</v>
      </c>
      <c r="AS427" s="462">
        <f>SUMIFS(AS2:AS391,G2:G391,"PRBB",E2:E391,"0348",F2:F391,"00",AT2:AT391,1)</f>
        <v>11.120000000000003</v>
      </c>
      <c r="AT427" s="462">
        <f>SUMIFS(AS2:AS391,G2:G391,"PRBB",E2:E391,"0348",F2:F391,"00",AT2:AT391,3)</f>
        <v>0</v>
      </c>
      <c r="AU427" s="462">
        <f>SUMIFS(AU2:AU391,G2:G391,"PRBB",E2:E391,"0348",F2:F391,"00")</f>
        <v>16.75</v>
      </c>
      <c r="AV427" s="462">
        <f>SUMIFS(AV2:AV391,G2:G391,"PRBB",E2:E391,"0348",F2:F391,"00")</f>
        <v>0</v>
      </c>
      <c r="AW427" s="462">
        <f>SUMIFS(AW2:AW391,G2:G391,"PRBB",E2:E391,"0348",F2:F391,"00")</f>
        <v>32</v>
      </c>
      <c r="AX427" s="462">
        <f>SUMIFS(AX2:AX391,G2:G391,"PRBB",E2:E391,"0348",F2:F391,"00")</f>
        <v>751670.39999999991</v>
      </c>
      <c r="AY427" s="462">
        <f>SUMIFS(AY2:AY391,G2:G391,"PRBB",E2:E391,"0348",F2:F391,"00")</f>
        <v>511281.68</v>
      </c>
      <c r="AZ427" s="462">
        <f>SUMIFS(AZ2:AZ391,G2:G391,"PRBB",E2:E391,"0348",F2:F391,"00")</f>
        <v>0</v>
      </c>
      <c r="BA427" s="462">
        <f>SUMIFS(BA2:BA391,G2:G391,"PRBB",E2:E391,"0348",F2:F391,"00")</f>
        <v>0</v>
      </c>
      <c r="BB427" s="462">
        <f>SUMIFS(BB2:BB391,G2:G391,"PRBB",E2:E391,"0348",F2:F391,"00")</f>
        <v>132460.5</v>
      </c>
      <c r="BC427" s="462">
        <f>SUMIFS(BC2:BC391,G2:G391,"PRBB",E2:E391,"0348",F2:F391,"00")</f>
        <v>0</v>
      </c>
      <c r="BD427" s="462">
        <f>SUMIFS(BD2:BD391,G2:G391,"PRBB",E2:E391,"0348",F2:F391,"00")</f>
        <v>31699.464159999996</v>
      </c>
      <c r="BE427" s="462">
        <f>SUMIFS(BE2:BE391,G2:G391,"PRBB",E2:E391,"0348",F2:F391,"00")</f>
        <v>7413.5843600000007</v>
      </c>
      <c r="BF427" s="462">
        <f>SUMIFS(BF2:BF391,G2:G391,"PRBB",E2:E391,"0348",F2:F391,"00")</f>
        <v>61047.032591999996</v>
      </c>
      <c r="BG427" s="462">
        <f>SUMIFS(BG2:BG391,G2:G391,"PRBB",E2:E391,"0348",F2:F391,"00")</f>
        <v>3686.3409128000003</v>
      </c>
      <c r="BH427" s="462">
        <f>SUMIFS(BH2:BH391,G2:G391,"PRBB",E2:E391,"0348",F2:F391,"00")</f>
        <v>2505.2802319999996</v>
      </c>
      <c r="BI427" s="462">
        <f>SUMIFS(BI2:BI391,G2:G391,"PRBB",E2:E391,"0348",F2:F391,"00")</f>
        <v>1564.5219407999998</v>
      </c>
      <c r="BJ427" s="462">
        <f>SUMIFS(BJ2:BJ391,G2:G391,"PRBB",E2:E391,"0348",F2:F391,"00")</f>
        <v>13753.477192</v>
      </c>
      <c r="BK427" s="462">
        <f>SUMIFS(BK2:BK391,G2:G391,"PRBB",E2:E391,"0348",F2:F391,"00")</f>
        <v>0</v>
      </c>
      <c r="BL427" s="462">
        <f>SUMIFS(BL2:BL391,G2:G391,"PRBB",E2:E391,"0348",F2:F391,"00")</f>
        <v>121669.70138960001</v>
      </c>
      <c r="BM427" s="462">
        <f>SUMIFS(BM2:BM391,G2:G391,"PRBB",E2:E391,"0348",F2:F391,"00")</f>
        <v>0</v>
      </c>
      <c r="BN427" s="462">
        <f>SUMIFS(BN2:BN391,G2:G391,"PRBB",E2:E391,"0348",F2:F391,"00")</f>
        <v>132460.5</v>
      </c>
      <c r="BO427" s="462">
        <f>SUMIFS(BO2:BO391,G2:G391,"PRBB",E2:E391,"0348",F2:F391,"00")</f>
        <v>0</v>
      </c>
      <c r="BP427" s="462">
        <f>SUMIFS(BP2:BP391,G2:G391,"PRBB",E2:E391,"0348",F2:F391,"00")</f>
        <v>31699.464159999996</v>
      </c>
      <c r="BQ427" s="462">
        <f>SUMIFS(BQ2:BQ391,G2:G391,"PRBB",E2:E391,"0348",F2:F391,"00")</f>
        <v>7413.5843600000007</v>
      </c>
      <c r="BR427" s="462">
        <f>SUMIFS(BR2:BR391,G2:G391,"PRBB",E2:E391,"0348",F2:F391,"00")</f>
        <v>61047.032591999996</v>
      </c>
      <c r="BS427" s="462">
        <f>SUMIFS(BS2:BS391,G2:G391,"PRBB",E2:E391,"0348",F2:F391,"00")</f>
        <v>3686.3409128000003</v>
      </c>
      <c r="BT427" s="462">
        <f>SUMIFS(BT2:BT391,G2:G391,"PRBB",E2:E391,"0348",F2:F391,"00")</f>
        <v>0</v>
      </c>
      <c r="BU427" s="462">
        <f>SUMIFS(BU2:BU391,G2:G391,"PRBB",E2:E391,"0348",F2:F391,"00")</f>
        <v>1564.5219407999998</v>
      </c>
      <c r="BV427" s="462">
        <f>SUMIFS(BV2:BV391,G2:G391,"PRBB",E2:E391,"0348",F2:F391,"00")</f>
        <v>17741.474295999997</v>
      </c>
      <c r="BW427" s="462">
        <f>SUMIFS(BW2:BW391,G2:G391,"PRBB",E2:E391,"0348",F2:F391,"00")</f>
        <v>0</v>
      </c>
      <c r="BX427" s="462">
        <f>SUMIFS(BX2:BX391,G2:G391,"PRBB",E2:E391,"0348",F2:F391,"00")</f>
        <v>123152.4182616</v>
      </c>
      <c r="BY427" s="462">
        <f>SUMIFS(BY2:BY391,G2:G391,"PRBB",E2:E391,"0348",F2:F391,"00")</f>
        <v>0</v>
      </c>
      <c r="BZ427" s="462">
        <f>SUMIFS(BZ2:BZ391,G2:G391,"PRBB",E2:E391,"0348",F2:F391,"00")</f>
        <v>0</v>
      </c>
      <c r="CA427" s="462">
        <f>SUMIFS(CA2:CA391,G2:G391,"PRBB",E2:E391,"0348",F2:F391,"00")</f>
        <v>0</v>
      </c>
      <c r="CB427" s="462">
        <f>SUMIFS(CB2:CB391,G2:G391,"PRBB",E2:E391,"0348",F2:F391,"00")</f>
        <v>0</v>
      </c>
      <c r="CC427" s="462">
        <f>SUMIFS(CC2:CC391,G2:G391,"PRBB",E2:E391,"0348",F2:F391,"00")</f>
        <v>0</v>
      </c>
      <c r="CD427" s="462">
        <f>SUMIFS(CD2:CD391,G2:G391,"PRBB",E2:E391,"0348",F2:F391,"00")</f>
        <v>0</v>
      </c>
      <c r="CE427" s="462">
        <f>SUMIFS(CE2:CE391,G2:G391,"PRBB",E2:E391,"0348",F2:F391,"00")</f>
        <v>0</v>
      </c>
      <c r="CF427" s="462">
        <f>SUMIFS(CF2:CF391,G2:G391,"PRBB",E2:E391,"0348",F2:F391,"00")</f>
        <v>-2505.2802319999996</v>
      </c>
      <c r="CG427" s="462">
        <f>SUMIFS(CG2:CG391,G2:G391,"PRBB",E2:E391,"0348",F2:F391,"00")</f>
        <v>0</v>
      </c>
      <c r="CH427" s="462">
        <f>SUMIFS(CH2:CH391,G2:G391,"PRBB",E2:E391,"0348",F2:F391,"00")</f>
        <v>3987.9971040000009</v>
      </c>
      <c r="CI427" s="462">
        <f>SUMIFS(CI2:CI391,G2:G391,"PRBB",E2:E391,"0348",F2:F391,"00")</f>
        <v>0</v>
      </c>
      <c r="CJ427" s="462">
        <f>SUMIFS(CJ2:CJ391,G2:G391,"PRBB",E2:E391,"0348",F2:F391,"00")</f>
        <v>1482.7168720000009</v>
      </c>
      <c r="CK427" s="462">
        <f>SUMIFS(CK2:CK391,G2:G391,"PRBB",E2:E391,"0348",F2:F391,"00")</f>
        <v>0</v>
      </c>
      <c r="CL427" s="462">
        <f>SUMIFS(CL2:CL391,G2:G391,"PRBB",E2:E391,"0348",F2:F391,"00")</f>
        <v>158090.68</v>
      </c>
      <c r="CM427" s="462">
        <f>SUMIFS(CM2:CM391,G2:G391,"PRBB",E2:E391,"0348",F2:F391,"00")</f>
        <v>40198.57</v>
      </c>
    </row>
    <row r="428" spans="41:91" ht="18" x14ac:dyDescent="0.35">
      <c r="AQ428" s="468" t="s">
        <v>1159</v>
      </c>
      <c r="AS428" s="469">
        <f>SUM(AS427:AS427)</f>
        <v>11.120000000000003</v>
      </c>
      <c r="AT428" s="469">
        <f>SUM(AT427:AT427)</f>
        <v>0</v>
      </c>
      <c r="AU428" s="469">
        <f>SUM(AU427:AU427)</f>
        <v>16.75</v>
      </c>
      <c r="AV428" s="469">
        <f>SUM(AV427:AV427)</f>
        <v>0</v>
      </c>
      <c r="AW428" s="469">
        <f>SUM(AW427:AW427)</f>
        <v>32</v>
      </c>
      <c r="AX428" s="469">
        <f>SUM(AX427:AX427)</f>
        <v>751670.39999999991</v>
      </c>
      <c r="AY428" s="469">
        <f>SUM(AY427:AY427)</f>
        <v>511281.68</v>
      </c>
      <c r="AZ428" s="469">
        <f>SUM(AZ427:AZ427)</f>
        <v>0</v>
      </c>
      <c r="BA428" s="469">
        <f>SUM(BA427:BA427)</f>
        <v>0</v>
      </c>
      <c r="BB428" s="469">
        <f>SUM(BB427:BB427)</f>
        <v>132460.5</v>
      </c>
      <c r="BC428" s="469">
        <f>SUM(BC427:BC427)</f>
        <v>0</v>
      </c>
      <c r="BD428" s="469">
        <f>SUM(BD427:BD427)</f>
        <v>31699.464159999996</v>
      </c>
      <c r="BE428" s="469">
        <f>SUM(BE427:BE427)</f>
        <v>7413.5843600000007</v>
      </c>
      <c r="BF428" s="469">
        <f>SUM(BF427:BF427)</f>
        <v>61047.032591999996</v>
      </c>
      <c r="BG428" s="469">
        <f>SUM(BG427:BG427)</f>
        <v>3686.3409128000003</v>
      </c>
      <c r="BH428" s="469">
        <f>SUM(BH427:BH427)</f>
        <v>2505.2802319999996</v>
      </c>
      <c r="BI428" s="469">
        <f>SUM(BI427:BI427)</f>
        <v>1564.5219407999998</v>
      </c>
      <c r="BJ428" s="469">
        <f>SUM(BJ427:BJ427)</f>
        <v>13753.477192</v>
      </c>
      <c r="BK428" s="469">
        <f>SUM(BK427:BK427)</f>
        <v>0</v>
      </c>
      <c r="BL428" s="469">
        <f>SUM(BL427:BL427)</f>
        <v>121669.70138960001</v>
      </c>
      <c r="BM428" s="469">
        <f>SUM(BM427:BM427)</f>
        <v>0</v>
      </c>
      <c r="BN428" s="469">
        <f>SUM(BN427:BN427)</f>
        <v>132460.5</v>
      </c>
      <c r="BO428" s="469">
        <f>SUM(BO427:BO427)</f>
        <v>0</v>
      </c>
      <c r="BP428" s="469">
        <f>SUM(BP427:BP427)</f>
        <v>31699.464159999996</v>
      </c>
      <c r="BQ428" s="469">
        <f>SUM(BQ427:BQ427)</f>
        <v>7413.5843600000007</v>
      </c>
      <c r="BR428" s="469">
        <f>SUM(BR427:BR427)</f>
        <v>61047.032591999996</v>
      </c>
      <c r="BS428" s="469">
        <f>SUM(BS427:BS427)</f>
        <v>3686.3409128000003</v>
      </c>
      <c r="BT428" s="469">
        <f>SUM(BT427:BT427)</f>
        <v>0</v>
      </c>
      <c r="BU428" s="469">
        <f>SUM(BU427:BU427)</f>
        <v>1564.5219407999998</v>
      </c>
      <c r="BV428" s="469">
        <f>SUM(BV427:BV427)</f>
        <v>17741.474295999997</v>
      </c>
      <c r="BW428" s="469">
        <f>SUM(BW427:BW427)</f>
        <v>0</v>
      </c>
      <c r="BX428" s="469">
        <f>SUM(BX427:BX427)</f>
        <v>123152.4182616</v>
      </c>
      <c r="BY428" s="469">
        <f>SUM(BY427:BY427)</f>
        <v>0</v>
      </c>
      <c r="BZ428" s="469">
        <f>SUM(BZ427:BZ427)</f>
        <v>0</v>
      </c>
      <c r="CA428" s="469">
        <f>SUM(CA427:CA427)</f>
        <v>0</v>
      </c>
      <c r="CB428" s="469">
        <f>SUM(CB427:CB427)</f>
        <v>0</v>
      </c>
      <c r="CC428" s="469">
        <f>SUM(CC427:CC427)</f>
        <v>0</v>
      </c>
      <c r="CD428" s="469">
        <f>SUM(CD427:CD427)</f>
        <v>0</v>
      </c>
      <c r="CE428" s="469">
        <f>SUM(CE427:CE427)</f>
        <v>0</v>
      </c>
      <c r="CF428" s="469">
        <f>SUM(CF427:CF427)</f>
        <v>-2505.2802319999996</v>
      </c>
      <c r="CG428" s="469">
        <f>SUM(CG427:CG427)</f>
        <v>0</v>
      </c>
      <c r="CH428" s="469">
        <f>SUM(CH427:CH427)</f>
        <v>3987.9971040000009</v>
      </c>
      <c r="CI428" s="469">
        <f>SUM(CI427:CI427)</f>
        <v>0</v>
      </c>
      <c r="CJ428" s="469">
        <f>SUM(CJ427:CJ427)</f>
        <v>1482.7168720000009</v>
      </c>
      <c r="CK428" s="469">
        <f>SUM(CK427:CK427)</f>
        <v>0</v>
      </c>
      <c r="CL428" s="469">
        <f>SUM(CL427:CL427)</f>
        <v>158090.68</v>
      </c>
      <c r="CM428" s="469">
        <f>SUM(CM427:CM427)</f>
        <v>40198.57</v>
      </c>
    </row>
    <row r="429" spans="41:91" ht="15" thickBot="1" x14ac:dyDescent="0.35">
      <c r="AR429" t="s">
        <v>1164</v>
      </c>
      <c r="AS429" s="462">
        <f>SUMIFS(AS2:AS391,G2:G391,"PRBD",E2:E391,"0410",F2:F391,"01",AT2:AT391,1)</f>
        <v>4.0625</v>
      </c>
      <c r="AT429" s="462">
        <f>SUMIFS(AS2:AS391,G2:G391,"PRBD",E2:E391,"0410",F2:F391,"01",AT2:AT391,3)</f>
        <v>0</v>
      </c>
      <c r="AU429" s="462">
        <f>SUMIFS(AU2:AU391,G2:G391,"PRBD",E2:E391,"0410",F2:F391,"01")</f>
        <v>6.6624999999999996</v>
      </c>
      <c r="AV429" s="462">
        <f>SUMIFS(AV2:AV391,G2:G391,"PRBD",E2:E391,"0410",F2:F391,"01")</f>
        <v>0</v>
      </c>
      <c r="AW429" s="462">
        <f>SUMIFS(AW2:AW391,G2:G391,"PRBD",E2:E391,"0410",F2:F391,"01")</f>
        <v>29</v>
      </c>
      <c r="AX429" s="462">
        <f>SUMIFS(AX2:AX391,G2:G391,"PRBD",E2:E391,"0410",F2:F391,"01")</f>
        <v>398480.68000000005</v>
      </c>
      <c r="AY429" s="462">
        <f>SUMIFS(AY2:AY391,G2:G391,"PRBD",E2:E391,"0410",F2:F391,"01")</f>
        <v>166114.52000000002</v>
      </c>
      <c r="AZ429" s="462">
        <f>SUMIFS(AZ2:AZ391,G2:G391,"PRBD",E2:E391,"0410",F2:F391,"01")</f>
        <v>0</v>
      </c>
      <c r="BA429" s="462">
        <f>SUMIFS(BA2:BA391,G2:G391,"PRBD",E2:E391,"0410",F2:F391,"01")</f>
        <v>0</v>
      </c>
      <c r="BB429" s="462">
        <f>SUMIFS(BB2:BB391,G2:G391,"PRBD",E2:E391,"0410",F2:F391,"01")</f>
        <v>48930</v>
      </c>
      <c r="BC429" s="462">
        <f>SUMIFS(BC2:BC391,G2:G391,"PRBD",E2:E391,"0410",F2:F391,"01")</f>
        <v>0</v>
      </c>
      <c r="BD429" s="462">
        <f>SUMIFS(BD2:BD391,G2:G391,"PRBD",E2:E391,"0410",F2:F391,"01")</f>
        <v>10299.10024</v>
      </c>
      <c r="BE429" s="462">
        <f>SUMIFS(BE2:BE391,G2:G391,"PRBD",E2:E391,"0410",F2:F391,"01")</f>
        <v>2408.6605400000003</v>
      </c>
      <c r="BF429" s="462">
        <f>SUMIFS(BF2:BF391,G2:G391,"PRBD",E2:E391,"0410",F2:F391,"01")</f>
        <v>19834.073688</v>
      </c>
      <c r="BG429" s="462">
        <f>SUMIFS(BG2:BG391,G2:G391,"PRBD",E2:E391,"0410",F2:F391,"01")</f>
        <v>1197.6856892000001</v>
      </c>
      <c r="BH429" s="462">
        <f>SUMIFS(BH2:BH391,G2:G391,"PRBD",E2:E391,"0410",F2:F391,"01")</f>
        <v>813.96114799999987</v>
      </c>
      <c r="BI429" s="462">
        <f>SUMIFS(BI2:BI391,G2:G391,"PRBD",E2:E391,"0410",F2:F391,"01")</f>
        <v>508.31043119999998</v>
      </c>
      <c r="BJ429" s="462">
        <f>SUMIFS(BJ2:BJ391,G2:G391,"PRBD",E2:E391,"0410",F2:F391,"01")</f>
        <v>4468.4805880000004</v>
      </c>
      <c r="BK429" s="462">
        <f>SUMIFS(BK2:BK391,G2:G391,"PRBD",E2:E391,"0410",F2:F391,"01")</f>
        <v>0</v>
      </c>
      <c r="BL429" s="462">
        <f>SUMIFS(BL2:BL391,G2:G391,"PRBD",E2:E391,"0410",F2:F391,"01")</f>
        <v>39530.272324400001</v>
      </c>
      <c r="BM429" s="462">
        <f>SUMIFS(BM2:BM391,G2:G391,"PRBD",E2:E391,"0410",F2:F391,"01")</f>
        <v>0</v>
      </c>
      <c r="BN429" s="462">
        <f>SUMIFS(BN2:BN391,G2:G391,"PRBD",E2:E391,"0410",F2:F391,"01")</f>
        <v>48930</v>
      </c>
      <c r="BO429" s="462">
        <f>SUMIFS(BO2:BO391,G2:G391,"PRBD",E2:E391,"0410",F2:F391,"01")</f>
        <v>0</v>
      </c>
      <c r="BP429" s="462">
        <f>SUMIFS(BP2:BP391,G2:G391,"PRBD",E2:E391,"0410",F2:F391,"01")</f>
        <v>10299.10024</v>
      </c>
      <c r="BQ429" s="462">
        <f>SUMIFS(BQ2:BQ391,G2:G391,"PRBD",E2:E391,"0410",F2:F391,"01")</f>
        <v>2408.6605400000003</v>
      </c>
      <c r="BR429" s="462">
        <f>SUMIFS(BR2:BR391,G2:G391,"PRBD",E2:E391,"0410",F2:F391,"01")</f>
        <v>19834.073688</v>
      </c>
      <c r="BS429" s="462">
        <f>SUMIFS(BS2:BS391,G2:G391,"PRBD",E2:E391,"0410",F2:F391,"01")</f>
        <v>1197.6856892000001</v>
      </c>
      <c r="BT429" s="462">
        <f>SUMIFS(BT2:BT391,G2:G391,"PRBD",E2:E391,"0410",F2:F391,"01")</f>
        <v>0</v>
      </c>
      <c r="BU429" s="462">
        <f>SUMIFS(BU2:BU391,G2:G391,"PRBD",E2:E391,"0410",F2:F391,"01")</f>
        <v>508.31043119999998</v>
      </c>
      <c r="BV429" s="462">
        <f>SUMIFS(BV2:BV391,G2:G391,"PRBD",E2:E391,"0410",F2:F391,"01")</f>
        <v>5764.1738439999999</v>
      </c>
      <c r="BW429" s="462">
        <f>SUMIFS(BW2:BW391,G2:G391,"PRBD",E2:E391,"0410",F2:F391,"01")</f>
        <v>0</v>
      </c>
      <c r="BX429" s="462">
        <f>SUMIFS(BX2:BX391,G2:G391,"PRBD",E2:E391,"0410",F2:F391,"01")</f>
        <v>40012.004432400005</v>
      </c>
      <c r="BY429" s="462">
        <f>SUMIFS(BY2:BY391,G2:G391,"PRBD",E2:E391,"0410",F2:F391,"01")</f>
        <v>0</v>
      </c>
      <c r="BZ429" s="462">
        <f>SUMIFS(BZ2:BZ391,G2:G391,"PRBD",E2:E391,"0410",F2:F391,"01")</f>
        <v>0</v>
      </c>
      <c r="CA429" s="462">
        <f>SUMIFS(CA2:CA391,G2:G391,"PRBD",E2:E391,"0410",F2:F391,"01")</f>
        <v>0</v>
      </c>
      <c r="CB429" s="462">
        <f>SUMIFS(CB2:CB391,G2:G391,"PRBD",E2:E391,"0410",F2:F391,"01")</f>
        <v>0</v>
      </c>
      <c r="CC429" s="462">
        <f>SUMIFS(CC2:CC391,G2:G391,"PRBD",E2:E391,"0410",F2:F391,"01")</f>
        <v>0</v>
      </c>
      <c r="CD429" s="462">
        <f>SUMIFS(CD2:CD391,G2:G391,"PRBD",E2:E391,"0410",F2:F391,"01")</f>
        <v>0</v>
      </c>
      <c r="CE429" s="462">
        <f>SUMIFS(CE2:CE391,G2:G391,"PRBD",E2:E391,"0410",F2:F391,"01")</f>
        <v>0</v>
      </c>
      <c r="CF429" s="462">
        <f>SUMIFS(CF2:CF391,G2:G391,"PRBD",E2:E391,"0410",F2:F391,"01")</f>
        <v>-813.96114799999987</v>
      </c>
      <c r="CG429" s="462">
        <f>SUMIFS(CG2:CG391,G2:G391,"PRBD",E2:E391,"0410",F2:F391,"01")</f>
        <v>0</v>
      </c>
      <c r="CH429" s="462">
        <f>SUMIFS(CH2:CH391,G2:G391,"PRBD",E2:E391,"0410",F2:F391,"01")</f>
        <v>1295.6932560000002</v>
      </c>
      <c r="CI429" s="462">
        <f>SUMIFS(CI2:CI391,G2:G391,"PRBD",E2:E391,"0410",F2:F391,"01")</f>
        <v>0</v>
      </c>
      <c r="CJ429" s="462">
        <f>SUMIFS(CJ2:CJ391,G2:G391,"PRBD",E2:E391,"0410",F2:F391,"01")</f>
        <v>481.73210800000027</v>
      </c>
      <c r="CK429" s="462">
        <f>SUMIFS(CK2:CK391,G2:G391,"PRBD",E2:E391,"0410",F2:F391,"01")</f>
        <v>0</v>
      </c>
      <c r="CL429" s="462">
        <f>SUMIFS(CL2:CL391,G2:G391,"PRBD",E2:E391,"0410",F2:F391,"01")</f>
        <v>449427.45</v>
      </c>
      <c r="CM429" s="462">
        <f>SUMIFS(CM2:CM391,G2:G391,"PRBD",E2:E391,"0410",F2:F391,"01")</f>
        <v>59231.729999999996</v>
      </c>
    </row>
    <row r="430" spans="41:91" ht="18" x14ac:dyDescent="0.35">
      <c r="AQ430" s="468" t="s">
        <v>1165</v>
      </c>
      <c r="AS430" s="469">
        <f>SUM(AS429:AS429)</f>
        <v>4.0625</v>
      </c>
      <c r="AT430" s="469">
        <f>SUM(AT429:AT429)</f>
        <v>0</v>
      </c>
      <c r="AU430" s="469">
        <f>SUM(AU429:AU429)</f>
        <v>6.6624999999999996</v>
      </c>
      <c r="AV430" s="469">
        <f>SUM(AV429:AV429)</f>
        <v>0</v>
      </c>
      <c r="AW430" s="469">
        <f>SUM(AW429:AW429)</f>
        <v>29</v>
      </c>
      <c r="AX430" s="469">
        <f>SUM(AX429:AX429)</f>
        <v>398480.68000000005</v>
      </c>
      <c r="AY430" s="469">
        <f>SUM(AY429:AY429)</f>
        <v>166114.52000000002</v>
      </c>
      <c r="AZ430" s="469">
        <f>SUM(AZ429:AZ429)</f>
        <v>0</v>
      </c>
      <c r="BA430" s="469">
        <f>SUM(BA429:BA429)</f>
        <v>0</v>
      </c>
      <c r="BB430" s="469">
        <f>SUM(BB429:BB429)</f>
        <v>48930</v>
      </c>
      <c r="BC430" s="469">
        <f>SUM(BC429:BC429)</f>
        <v>0</v>
      </c>
      <c r="BD430" s="469">
        <f>SUM(BD429:BD429)</f>
        <v>10299.10024</v>
      </c>
      <c r="BE430" s="469">
        <f>SUM(BE429:BE429)</f>
        <v>2408.6605400000003</v>
      </c>
      <c r="BF430" s="469">
        <f>SUM(BF429:BF429)</f>
        <v>19834.073688</v>
      </c>
      <c r="BG430" s="469">
        <f>SUM(BG429:BG429)</f>
        <v>1197.6856892000001</v>
      </c>
      <c r="BH430" s="469">
        <f>SUM(BH429:BH429)</f>
        <v>813.96114799999987</v>
      </c>
      <c r="BI430" s="469">
        <f>SUM(BI429:BI429)</f>
        <v>508.31043119999998</v>
      </c>
      <c r="BJ430" s="469">
        <f>SUM(BJ429:BJ429)</f>
        <v>4468.4805880000004</v>
      </c>
      <c r="BK430" s="469">
        <f>SUM(BK429:BK429)</f>
        <v>0</v>
      </c>
      <c r="BL430" s="469">
        <f>SUM(BL429:BL429)</f>
        <v>39530.272324400001</v>
      </c>
      <c r="BM430" s="469">
        <f>SUM(BM429:BM429)</f>
        <v>0</v>
      </c>
      <c r="BN430" s="469">
        <f>SUM(BN429:BN429)</f>
        <v>48930</v>
      </c>
      <c r="BO430" s="469">
        <f>SUM(BO429:BO429)</f>
        <v>0</v>
      </c>
      <c r="BP430" s="469">
        <f>SUM(BP429:BP429)</f>
        <v>10299.10024</v>
      </c>
      <c r="BQ430" s="469">
        <f>SUM(BQ429:BQ429)</f>
        <v>2408.6605400000003</v>
      </c>
      <c r="BR430" s="469">
        <f>SUM(BR429:BR429)</f>
        <v>19834.073688</v>
      </c>
      <c r="BS430" s="469">
        <f>SUM(BS429:BS429)</f>
        <v>1197.6856892000001</v>
      </c>
      <c r="BT430" s="469">
        <f>SUM(BT429:BT429)</f>
        <v>0</v>
      </c>
      <c r="BU430" s="469">
        <f>SUM(BU429:BU429)</f>
        <v>508.31043119999998</v>
      </c>
      <c r="BV430" s="469">
        <f>SUM(BV429:BV429)</f>
        <v>5764.1738439999999</v>
      </c>
      <c r="BW430" s="469">
        <f>SUM(BW429:BW429)</f>
        <v>0</v>
      </c>
      <c r="BX430" s="469">
        <f>SUM(BX429:BX429)</f>
        <v>40012.004432400005</v>
      </c>
      <c r="BY430" s="469">
        <f>SUM(BY429:BY429)</f>
        <v>0</v>
      </c>
      <c r="BZ430" s="469">
        <f>SUM(BZ429:BZ429)</f>
        <v>0</v>
      </c>
      <c r="CA430" s="469">
        <f>SUM(CA429:CA429)</f>
        <v>0</v>
      </c>
      <c r="CB430" s="469">
        <f>SUM(CB429:CB429)</f>
        <v>0</v>
      </c>
      <c r="CC430" s="469">
        <f>SUM(CC429:CC429)</f>
        <v>0</v>
      </c>
      <c r="CD430" s="469">
        <f>SUM(CD429:CD429)</f>
        <v>0</v>
      </c>
      <c r="CE430" s="469">
        <f>SUM(CE429:CE429)</f>
        <v>0</v>
      </c>
      <c r="CF430" s="469">
        <f>SUM(CF429:CF429)</f>
        <v>-813.96114799999987</v>
      </c>
      <c r="CG430" s="469">
        <f>SUM(CG429:CG429)</f>
        <v>0</v>
      </c>
      <c r="CH430" s="469">
        <f>SUM(CH429:CH429)</f>
        <v>1295.6932560000002</v>
      </c>
      <c r="CI430" s="469">
        <f>SUM(CI429:CI429)</f>
        <v>0</v>
      </c>
      <c r="CJ430" s="469">
        <f>SUM(CJ429:CJ429)</f>
        <v>481.73210800000027</v>
      </c>
      <c r="CK430" s="469">
        <f>SUM(CK429:CK429)</f>
        <v>0</v>
      </c>
      <c r="CL430" s="469">
        <f>SUM(CL429:CL429)</f>
        <v>449427.45</v>
      </c>
      <c r="CM430" s="469">
        <f>SUM(CM429:CM429)</f>
        <v>59231.729999999996</v>
      </c>
    </row>
    <row r="431" spans="41:91" x14ac:dyDescent="0.3">
      <c r="BB431" s="462"/>
      <c r="BC431" s="462"/>
      <c r="BD431" s="462"/>
      <c r="BE431" s="462"/>
      <c r="BF431" s="462"/>
      <c r="BG431" s="462"/>
      <c r="BH431" s="462"/>
      <c r="BI431" s="462"/>
      <c r="BJ431" s="462"/>
      <c r="BK431" s="462"/>
      <c r="BL431" s="462"/>
      <c r="BM431" s="462"/>
      <c r="BN431" s="462"/>
      <c r="BO431" s="462"/>
      <c r="BP431" s="462"/>
      <c r="BQ431" s="462"/>
      <c r="BR431" s="462"/>
      <c r="BS431" s="462"/>
      <c r="BT431" s="462"/>
      <c r="BU431" s="462"/>
      <c r="BV431" s="462"/>
      <c r="BW431" s="462"/>
      <c r="BX431" s="462"/>
      <c r="BY431" s="462"/>
      <c r="BZ431" s="462"/>
      <c r="CA431" s="462"/>
      <c r="CB431" s="462"/>
      <c r="CC431" s="462"/>
      <c r="CD431" s="462"/>
      <c r="CE431" s="462"/>
      <c r="CF431" s="462"/>
      <c r="CG431" s="462"/>
      <c r="CH431" s="462"/>
      <c r="CI431" s="462"/>
      <c r="CJ431" s="462"/>
      <c r="CK431" s="462"/>
      <c r="CL431" s="462"/>
      <c r="CM431" s="462"/>
    </row>
    <row r="432" spans="41:91" ht="21" x14ac:dyDescent="0.4">
      <c r="AO432" s="251" t="s">
        <v>97</v>
      </c>
      <c r="AP432" s="251"/>
      <c r="AQ432" s="251"/>
    </row>
    <row r="434" spans="41:53" ht="21" x14ac:dyDescent="0.4">
      <c r="AO434" s="252"/>
      <c r="AP434" s="252"/>
      <c r="AQ434" s="252"/>
    </row>
    <row r="435" spans="41:53" ht="15.6" x14ac:dyDescent="0.3">
      <c r="AS435" s="373" t="s">
        <v>83</v>
      </c>
      <c r="AT435" s="455" t="s">
        <v>1173</v>
      </c>
      <c r="AU435" s="455"/>
      <c r="AV435" s="456" t="s">
        <v>1171</v>
      </c>
      <c r="AW435" s="455" t="s">
        <v>1174</v>
      </c>
      <c r="AX435" s="455"/>
      <c r="AY435" s="456" t="s">
        <v>1172</v>
      </c>
      <c r="AZ435" s="455" t="s">
        <v>1175</v>
      </c>
      <c r="BA435" s="455"/>
    </row>
    <row r="436" spans="41:53" ht="15.6" x14ac:dyDescent="0.3">
      <c r="AS436" s="249"/>
      <c r="AT436" s="373" t="s">
        <v>94</v>
      </c>
      <c r="AU436" s="372" t="s">
        <v>96</v>
      </c>
      <c r="AV436" s="457"/>
      <c r="AW436" s="373" t="s">
        <v>98</v>
      </c>
      <c r="AX436" s="372" t="s">
        <v>95</v>
      </c>
      <c r="AY436" s="457"/>
      <c r="AZ436" s="373" t="s">
        <v>98</v>
      </c>
      <c r="BA436" s="372" t="s">
        <v>95</v>
      </c>
    </row>
    <row r="437" spans="41:53" x14ac:dyDescent="0.3">
      <c r="AO437" s="467" t="s">
        <v>1176</v>
      </c>
    </row>
    <row r="438" spans="41:53" x14ac:dyDescent="0.3">
      <c r="AQ438" t="s">
        <v>1095</v>
      </c>
      <c r="AS438" s="462">
        <f>SUM(SUMIFS(AS2:AS391,CN2:CN391,AQ438,E2:E391,"0001",F2:F391,"00",AT2:AT391,{1,3}))</f>
        <v>33.012500000000003</v>
      </c>
      <c r="AT438" s="462">
        <f>SUMPRODUCT(--(CN2:CN391=AQ438),--(N2:N391&lt;&gt;"NG"),--(AG2:AG391&lt;&gt;"D"),--(AR2:AR391&lt;&gt;6),--(AR2:AR391&lt;&gt;36),--(AR2:AR391&lt;&gt;56),T2:T391)+SUMPRODUCT(--(CN2:CN391=AQ438),--(N2:N391&lt;&gt;"NG"),--(AG2:AG391&lt;&gt;"D"),--(AR2:AR391&lt;&gt;6),--(AR2:AR391&lt;&gt;36),--(AR2:AR391&lt;&gt;56),U2:U391)</f>
        <v>1615583.2699999998</v>
      </c>
      <c r="AU438" s="462">
        <f>SUMPRODUCT(--(CN2:CN391=AQ438),--(N2:N391&lt;&gt;"NG"),--(AG2:AG391&lt;&gt;"D"),--(AR2:AR391&lt;&gt;6),--(AR2:AR391&lt;&gt;36),--(AR2:AR391&lt;&gt;56),V2:V391)</f>
        <v>782332.10000000009</v>
      </c>
      <c r="AV438" s="462">
        <f>SUMPRODUCT(--(CN2:CN391=AQ438),AY2:AY391)+SUMPRODUCT(--(CN2:CN391=AQ438),AZ2:AZ391)</f>
        <v>1569200.88</v>
      </c>
      <c r="AW438" s="462">
        <f>SUMPRODUCT(--(CN2:CN391=AQ438),BB2:BB391)+SUMPRODUCT(--(CN2:CN391=AQ438),BC2:BC391)</f>
        <v>399012.5</v>
      </c>
      <c r="AX438" s="462">
        <f>SUMPRODUCT(--(CN2:CN391=AQ438),BL2:BL391)+SUMPRODUCT(--(CN2:CN391=AQ438),BM2:BM391)</f>
        <v>373422.73341360001</v>
      </c>
      <c r="AY438" s="462">
        <f>SUMPRODUCT(--(CN2:CN391=AQ438),AY2:AY391)+SUMPRODUCT(--(CN2:CN391=AQ438),AZ2:AZ391)+SUMPRODUCT(--(CN2:CN391=AQ438),BA2:BA391)</f>
        <v>1569200.88</v>
      </c>
      <c r="AZ438" s="462">
        <f>SUMPRODUCT(--(CN2:CN391=AQ438),BN2:BN391)+SUMPRODUCT(--(CN2:CN391=AQ438),BO2:BO391)</f>
        <v>399012.5</v>
      </c>
      <c r="BA438" s="462">
        <f>SUMPRODUCT(--(CN2:CN391=AQ438),BX2:BX391)+SUMPRODUCT(--(CN2:CN391=AQ438),BY2:BY391)</f>
        <v>377973.41596560006</v>
      </c>
    </row>
    <row r="439" spans="41:53" x14ac:dyDescent="0.3">
      <c r="AP439" t="s">
        <v>1177</v>
      </c>
      <c r="AS439" s="473">
        <f>SUM(AS438:AS438)</f>
        <v>33.012500000000003</v>
      </c>
      <c r="AT439" s="473">
        <f>SUM(AT438:AT438)</f>
        <v>1615583.2699999998</v>
      </c>
      <c r="AU439" s="473">
        <f>SUM(AU438:AU438)</f>
        <v>782332.10000000009</v>
      </c>
      <c r="AV439" s="473">
        <f>SUM(AV438:AV438)</f>
        <v>1569200.88</v>
      </c>
      <c r="AW439" s="473">
        <f>SUM(AW438:AW438)</f>
        <v>399012.5</v>
      </c>
      <c r="AX439" s="473">
        <f>SUM(AX438:AX438)</f>
        <v>373422.73341360001</v>
      </c>
      <c r="AY439" s="473">
        <f>SUM(AY438:AY438)</f>
        <v>1569200.88</v>
      </c>
      <c r="AZ439" s="473">
        <f>SUM(AZ438:AZ438)</f>
        <v>399012.5</v>
      </c>
      <c r="BA439" s="473">
        <f>SUM(BA438:BA438)</f>
        <v>377973.41596560006</v>
      </c>
    </row>
    <row r="440" spans="41:53" x14ac:dyDescent="0.3">
      <c r="AQ440" t="s">
        <v>1101</v>
      </c>
      <c r="AS440" s="462">
        <f>SUM(SUMIFS(AS2:AS391,CN2:CN391,AQ440,E2:E391,"0125",F2:F391,"00",AT2:AT391,{1,3}))</f>
        <v>3.5475000000000003</v>
      </c>
      <c r="AT440" s="462">
        <f>SUMPRODUCT(--(CN2:CN391=AQ440),--(N2:N391&lt;&gt;"NG"),--(AG2:AG391&lt;&gt;"D"),--(AR2:AR391&lt;&gt;6),--(AR2:AR391&lt;&gt;36),--(AR2:AR391&lt;&gt;56),T2:T391)+SUMPRODUCT(--(CN2:CN391=AQ440),--(N2:N391&lt;&gt;"NG"),--(AG2:AG391&lt;&gt;"D"),--(AR2:AR391&lt;&gt;6),--(AR2:AR391&lt;&gt;36),--(AR2:AR391&lt;&gt;56),U2:U391)</f>
        <v>162949.52000000002</v>
      </c>
      <c r="AU440" s="462">
        <f>SUMPRODUCT(--(CN2:CN391=AQ440),--(N2:N391&lt;&gt;"NG"),--(AG2:AG391&lt;&gt;"D"),--(AR2:AR391&lt;&gt;6),--(AR2:AR391&lt;&gt;36),--(AR2:AR391&lt;&gt;56),V2:V391)</f>
        <v>77071.760000000009</v>
      </c>
      <c r="AV440" s="462">
        <f>SUMPRODUCT(--(CN2:CN391=AQ440),AY2:AY391)+SUMPRODUCT(--(CN2:CN391=AQ440),AZ2:AZ391)</f>
        <v>167438.44</v>
      </c>
      <c r="AW440" s="462">
        <f>SUMPRODUCT(--(CN2:CN391=AQ440),BB2:BB391)+SUMPRODUCT(--(CN2:CN391=AQ440),BC2:BC391)</f>
        <v>42289.5</v>
      </c>
      <c r="AX440" s="462">
        <f>SUMPRODUCT(--(CN2:CN391=AQ440),BL2:BL391)+SUMPRODUCT(--(CN2:CN391=AQ440),BM2:BM391)</f>
        <v>39845.325566800006</v>
      </c>
      <c r="AY440" s="462">
        <f>SUMPRODUCT(--(CN2:CN391=AQ440),AY2:AY391)+SUMPRODUCT(--(CN2:CN391=AQ440),AZ2:AZ391)+SUMPRODUCT(--(CN2:CN391=AQ440),BA2:BA391)</f>
        <v>167438.44</v>
      </c>
      <c r="AZ440" s="462">
        <f>SUMPRODUCT(--(CN2:CN391=AQ440),BN2:BN391)+SUMPRODUCT(--(CN2:CN391=AQ440),BO2:BO391)</f>
        <v>42289.5</v>
      </c>
      <c r="BA440" s="462">
        <f>SUMPRODUCT(--(CN2:CN391=AQ440),BX2:BX391)+SUMPRODUCT(--(CN2:CN391=AQ440),BY2:BY391)</f>
        <v>40330.897042800003</v>
      </c>
    </row>
    <row r="441" spans="41:53" x14ac:dyDescent="0.3">
      <c r="AP441" t="s">
        <v>1178</v>
      </c>
      <c r="AS441" s="473">
        <f>SUM(AS440:AS440)</f>
        <v>3.5475000000000003</v>
      </c>
      <c r="AT441" s="473">
        <f>SUM(AT440:AT440)</f>
        <v>162949.52000000002</v>
      </c>
      <c r="AU441" s="473">
        <f>SUM(AU440:AU440)</f>
        <v>77071.760000000009</v>
      </c>
      <c r="AV441" s="473">
        <f>SUM(AV440:AV440)</f>
        <v>167438.44</v>
      </c>
      <c r="AW441" s="473">
        <f>SUM(AW440:AW440)</f>
        <v>42289.5</v>
      </c>
      <c r="AX441" s="473">
        <f>SUM(AX440:AX440)</f>
        <v>39845.325566800006</v>
      </c>
      <c r="AY441" s="473">
        <f>SUM(AY440:AY440)</f>
        <v>167438.44</v>
      </c>
      <c r="AZ441" s="473">
        <f>SUM(AZ440:AZ440)</f>
        <v>42289.5</v>
      </c>
      <c r="BA441" s="473">
        <f>SUM(BA440:BA440)</f>
        <v>40330.897042800003</v>
      </c>
    </row>
    <row r="442" spans="41:53" x14ac:dyDescent="0.3">
      <c r="AQ442" t="s">
        <v>1108</v>
      </c>
      <c r="AS442" s="462">
        <f>SUM(SUMIFS(AS2:AS391,CN2:CN391,AQ442,E2:E391,"0243",F2:F391,"00",AT2:AT391,{1,3}))</f>
        <v>68.350000000000009</v>
      </c>
      <c r="AT442" s="462">
        <f>SUMPRODUCT(--(CN2:CN391=AQ442),--(N2:N391&lt;&gt;"NG"),--(AG2:AG391&lt;&gt;"D"),--(AR2:AR391&lt;&gt;6),--(AR2:AR391&lt;&gt;36),--(AR2:AR391&lt;&gt;56),T2:T391)+SUMPRODUCT(--(CN2:CN391=AQ442),--(N2:N391&lt;&gt;"NG"),--(AG2:AG391&lt;&gt;"D"),--(AR2:AR391&lt;&gt;6),--(AR2:AR391&lt;&gt;36),--(AR2:AR391&lt;&gt;56),U2:U391)</f>
        <v>3208306.7699999991</v>
      </c>
      <c r="AU442" s="462">
        <f>SUMPRODUCT(--(CN2:CN391=AQ442),--(N2:N391&lt;&gt;"NG"),--(AG2:AG391&lt;&gt;"D"),--(AR2:AR391&lt;&gt;6),--(AR2:AR391&lt;&gt;36),--(AR2:AR391&lt;&gt;56),V2:V391)</f>
        <v>1487204.7299999997</v>
      </c>
      <c r="AV442" s="462">
        <f>SUMPRODUCT(--(CN2:CN391=AQ442),AY2:AY391)+SUMPRODUCT(--(CN2:CN391=AQ442),AZ2:AZ391)</f>
        <v>3273828.48</v>
      </c>
      <c r="AW442" s="462">
        <f>SUMPRODUCT(--(CN2:CN391=AQ442),BB2:BB391)+SUMPRODUCT(--(CN2:CN391=AQ442),BC2:BC391)</f>
        <v>802685</v>
      </c>
      <c r="AX442" s="462">
        <f>SUMPRODUCT(--(CN2:CN391=AQ442),BL2:BL391)+SUMPRODUCT(--(CN2:CN391=AQ442),BM2:BM391)</f>
        <v>778015.33409280016</v>
      </c>
      <c r="AY442" s="462">
        <f>SUMPRODUCT(--(CN2:CN391=AQ442),AY2:AY391)+SUMPRODUCT(--(CN2:CN391=AQ442),AZ2:AZ391)+SUMPRODUCT(--(CN2:CN391=AQ442),BA2:BA391)</f>
        <v>3273828.48</v>
      </c>
      <c r="AZ442" s="462">
        <f>SUMPRODUCT(--(CN2:CN391=AQ442),BN2:BN391)+SUMPRODUCT(--(CN2:CN391=AQ442),BO2:BO391)</f>
        <v>802685</v>
      </c>
      <c r="BA442" s="462">
        <f>SUMPRODUCT(--(CN2:CN391=AQ442),BX2:BX391)+SUMPRODUCT(--(CN2:CN391=AQ442),BY2:BY391)</f>
        <v>787699.15668479982</v>
      </c>
    </row>
    <row r="443" spans="41:53" x14ac:dyDescent="0.3">
      <c r="AQ443" t="s">
        <v>1179</v>
      </c>
      <c r="AS443" s="462">
        <f>SUM(SUMIFS(AS2:AS391,CN2:CN391,AQ443,E2:E391,"0243",F2:F391,"02",AT2:AT391,{1,3}))</f>
        <v>5.33</v>
      </c>
      <c r="AT443" s="462">
        <f>SUMPRODUCT(--(CN2:CN391=AQ443),--(N2:N391&lt;&gt;"NG"),--(AG2:AG391&lt;&gt;"D"),--(AR2:AR391&lt;&gt;6),--(AR2:AR391&lt;&gt;36),--(AR2:AR391&lt;&gt;56),T2:T391)+SUMPRODUCT(--(CN2:CN391=AQ443),--(N2:N391&lt;&gt;"NG"),--(AG2:AG391&lt;&gt;"D"),--(AR2:AR391&lt;&gt;6),--(AR2:AR391&lt;&gt;36),--(AR2:AR391&lt;&gt;56),U2:U391)</f>
        <v>189750.74999999997</v>
      </c>
      <c r="AU443" s="462">
        <f>SUMPRODUCT(--(CN2:CN391=AQ443),--(N2:N391&lt;&gt;"NG"),--(AG2:AG391&lt;&gt;"D"),--(AR2:AR391&lt;&gt;6),--(AR2:AR391&lt;&gt;36),--(AR2:AR391&lt;&gt;56),V2:V391)</f>
        <v>100721.23999999999</v>
      </c>
      <c r="AV443" s="462">
        <f>SUMPRODUCT(--(CN2:CN391=AQ443),AY2:AY391)+SUMPRODUCT(--(CN2:CN391=AQ443),AZ2:AZ391)</f>
        <v>183370.72</v>
      </c>
      <c r="AW443" s="462">
        <f>SUMPRODUCT(--(CN2:CN391=AQ443),BB2:BB391)+SUMPRODUCT(--(CN2:CN391=AQ443),BC2:BC391)</f>
        <v>62094.5</v>
      </c>
      <c r="AX443" s="462">
        <f>SUMPRODUCT(--(CN2:CN391=AQ443),BL2:BL391)+SUMPRODUCT(--(CN2:CN391=AQ443),BM2:BM391)</f>
        <v>43636.7302384</v>
      </c>
      <c r="AY443" s="462">
        <f>SUMPRODUCT(--(CN2:CN391=AQ443),AY2:AY391)+SUMPRODUCT(--(CN2:CN391=AQ443),AZ2:AZ391)+SUMPRODUCT(--(CN2:CN391=AQ443),BA2:BA391)</f>
        <v>183370.72</v>
      </c>
      <c r="AZ443" s="462">
        <f>SUMPRODUCT(--(CN2:CN391=AQ443),BN2:BN391)+SUMPRODUCT(--(CN2:CN391=AQ443),BO2:BO391)</f>
        <v>62094.5</v>
      </c>
      <c r="BA443" s="462">
        <f>SUMPRODUCT(--(CN2:CN391=AQ443),BX2:BX391)+SUMPRODUCT(--(CN2:CN391=AQ443),BY2:BY391)</f>
        <v>44168.505326400002</v>
      </c>
    </row>
    <row r="444" spans="41:53" x14ac:dyDescent="0.3">
      <c r="AP444" t="s">
        <v>1180</v>
      </c>
      <c r="AS444" s="473">
        <f>SUM(AS442:AS443)</f>
        <v>73.680000000000007</v>
      </c>
      <c r="AT444" s="473">
        <f>SUM(AT442:AT443)</f>
        <v>3398057.5199999991</v>
      </c>
      <c r="AU444" s="473">
        <f>SUM(AU442:AU443)</f>
        <v>1587925.9699999997</v>
      </c>
      <c r="AV444" s="473">
        <f>SUM(AV442:AV443)</f>
        <v>3457199.2</v>
      </c>
      <c r="AW444" s="473">
        <f>SUM(AW442:AW443)</f>
        <v>864779.5</v>
      </c>
      <c r="AX444" s="473">
        <f>SUM(AX442:AX443)</f>
        <v>821652.06433120021</v>
      </c>
      <c r="AY444" s="473">
        <f>SUM(AY442:AY443)</f>
        <v>3457199.2</v>
      </c>
      <c r="AZ444" s="473">
        <f>SUM(AZ442:AZ443)</f>
        <v>864779.5</v>
      </c>
      <c r="BA444" s="473">
        <f>SUM(BA442:BA443)</f>
        <v>831867.66201119986</v>
      </c>
    </row>
    <row r="445" spans="41:53" x14ac:dyDescent="0.3">
      <c r="AQ445" t="s">
        <v>1181</v>
      </c>
      <c r="AS445" s="462">
        <f>SUM(SUMIFS(AS2:AS391,CN2:CN391,AQ445,E2:E391,"0247",F2:F391,"03",AT2:AT391,{1,3}))</f>
        <v>0</v>
      </c>
      <c r="AT445" s="462">
        <f>SUMPRODUCT(--(CN2:CN391=AQ445),--(N2:N391&lt;&gt;"NG"),--(AG2:AG391&lt;&gt;"D"),--(AR2:AR391&lt;&gt;6),--(AR2:AR391&lt;&gt;36),--(AR2:AR391&lt;&gt;56),T2:T391)+SUMPRODUCT(--(CN2:CN391=AQ445),--(N2:N391&lt;&gt;"NG"),--(AG2:AG391&lt;&gt;"D"),--(AR2:AR391&lt;&gt;6),--(AR2:AR391&lt;&gt;36),--(AR2:AR391&lt;&gt;56),U2:U391)</f>
        <v>0</v>
      </c>
      <c r="AU445" s="462">
        <f>SUMPRODUCT(--(CN2:CN391=AQ445),--(N2:N391&lt;&gt;"NG"),--(AG2:AG391&lt;&gt;"D"),--(AR2:AR391&lt;&gt;6),--(AR2:AR391&lt;&gt;36),--(AR2:AR391&lt;&gt;56),V2:V391)</f>
        <v>-0.49</v>
      </c>
      <c r="AV445" s="462">
        <f>SUMPRODUCT(--(CN2:CN391=AQ445),AY2:AY391)+SUMPRODUCT(--(CN2:CN391=AQ445),AZ2:AZ391)</f>
        <v>0</v>
      </c>
      <c r="AW445" s="462">
        <f>SUMPRODUCT(--(CN2:CN391=AQ445),BB2:BB391)+SUMPRODUCT(--(CN2:CN391=AQ445),BC2:BC391)</f>
        <v>0</v>
      </c>
      <c r="AX445" s="462">
        <f>SUMPRODUCT(--(CN2:CN391=AQ445),BL2:BL391)+SUMPRODUCT(--(CN2:CN391=AQ445),BM2:BM391)</f>
        <v>0</v>
      </c>
      <c r="AY445" s="462">
        <f>SUMPRODUCT(--(CN2:CN391=AQ445),AY2:AY391)+SUMPRODUCT(--(CN2:CN391=AQ445),AZ2:AZ391)+SUMPRODUCT(--(CN2:CN391=AQ445),BA2:BA391)</f>
        <v>0</v>
      </c>
      <c r="AZ445" s="462">
        <f>SUMPRODUCT(--(CN2:CN391=AQ445),BN2:BN391)+SUMPRODUCT(--(CN2:CN391=AQ445),BO2:BO391)</f>
        <v>0</v>
      </c>
      <c r="BA445" s="462">
        <f>SUMPRODUCT(--(CN2:CN391=AQ445),BX2:BX391)+SUMPRODUCT(--(CN2:CN391=AQ445),BY2:BY391)</f>
        <v>0</v>
      </c>
    </row>
    <row r="446" spans="41:53" x14ac:dyDescent="0.3">
      <c r="AQ446" t="s">
        <v>1182</v>
      </c>
      <c r="AS446" s="462">
        <f>SUM(SUMIFS(AS2:AS391,CN2:CN391,AQ446,E2:E391,"0247",F2:F391,"06",AT2:AT391,{1,3}))</f>
        <v>5.7774999999999999</v>
      </c>
      <c r="AT446" s="462">
        <f>SUMPRODUCT(--(CN2:CN391=AQ446),--(N2:N391&lt;&gt;"NG"),--(AG2:AG391&lt;&gt;"D"),--(AR2:AR391&lt;&gt;6),--(AR2:AR391&lt;&gt;36),--(AR2:AR391&lt;&gt;56),T2:T391)+SUMPRODUCT(--(CN2:CN391=AQ446),--(N2:N391&lt;&gt;"NG"),--(AG2:AG391&lt;&gt;"D"),--(AR2:AR391&lt;&gt;6),--(AR2:AR391&lt;&gt;36),--(AR2:AR391&lt;&gt;56),U2:U391)</f>
        <v>286412.25</v>
      </c>
      <c r="AU446" s="462">
        <f>SUMPRODUCT(--(CN2:CN391=AQ446),--(N2:N391&lt;&gt;"NG"),--(AG2:AG391&lt;&gt;"D"),--(AR2:AR391&lt;&gt;6),--(AR2:AR391&lt;&gt;36),--(AR2:AR391&lt;&gt;56),V2:V391)</f>
        <v>115498.98</v>
      </c>
      <c r="AV446" s="462">
        <f>SUMPRODUCT(--(CN2:CN391=AQ446),AY2:AY391)+SUMPRODUCT(--(CN2:CN391=AQ446),AZ2:AZ391)</f>
        <v>341060.19999999995</v>
      </c>
      <c r="AW446" s="462">
        <f>SUMPRODUCT(--(CN2:CN391=AQ446),BB2:BB391)+SUMPRODUCT(--(CN2:CN391=AQ446),BC2:BC391)</f>
        <v>68269</v>
      </c>
      <c r="AX446" s="462">
        <f>SUMPRODUCT(--(CN2:CN391=AQ446),BL2:BL391)+SUMPRODUCT(--(CN2:CN391=AQ446),BM2:BM391)</f>
        <v>80935.895563600003</v>
      </c>
      <c r="AY446" s="462">
        <f>SUMPRODUCT(--(CN2:CN391=AQ446),AY2:AY391)+SUMPRODUCT(--(CN2:CN391=AQ446),AZ2:AZ391)+SUMPRODUCT(--(CN2:CN391=AQ446),BA2:BA391)</f>
        <v>341060.19999999995</v>
      </c>
      <c r="AZ446" s="462">
        <f>SUMPRODUCT(--(CN2:CN391=AQ446),BN2:BN391)+SUMPRODUCT(--(CN2:CN391=AQ446),BO2:BO391)</f>
        <v>68269</v>
      </c>
      <c r="BA446" s="462">
        <f>SUMPRODUCT(--(CN2:CN391=AQ446),BX2:BX391)+SUMPRODUCT(--(CN2:CN391=AQ446),BY2:BY391)</f>
        <v>82019.830143600004</v>
      </c>
    </row>
    <row r="447" spans="41:53" x14ac:dyDescent="0.3">
      <c r="AP447" t="s">
        <v>1183</v>
      </c>
      <c r="AS447" s="473">
        <f>SUM(AS445:AS446)</f>
        <v>5.7774999999999999</v>
      </c>
      <c r="AT447" s="473">
        <f>SUM(AT445:AT446)</f>
        <v>286412.25</v>
      </c>
      <c r="AU447" s="473">
        <f>SUM(AU445:AU446)</f>
        <v>115498.48999999999</v>
      </c>
      <c r="AV447" s="473">
        <f>SUM(AV445:AV446)</f>
        <v>341060.19999999995</v>
      </c>
      <c r="AW447" s="473">
        <f>SUM(AW445:AW446)</f>
        <v>68269</v>
      </c>
      <c r="AX447" s="473">
        <f>SUM(AX445:AX446)</f>
        <v>80935.895563600003</v>
      </c>
      <c r="AY447" s="473">
        <f>SUM(AY445:AY446)</f>
        <v>341060.19999999995</v>
      </c>
      <c r="AZ447" s="473">
        <f>SUM(AZ445:AZ446)</f>
        <v>68269</v>
      </c>
      <c r="BA447" s="473">
        <f>SUM(BA445:BA446)</f>
        <v>82019.830143600004</v>
      </c>
    </row>
    <row r="448" spans="41:53" x14ac:dyDescent="0.3">
      <c r="AQ448" t="s">
        <v>1184</v>
      </c>
      <c r="AS448" s="462">
        <f>SUM(SUMIFS(AS2:AS391,CN2:CN391,AQ448,E2:E391,"0250",F2:F391,"02",AT2:AT391,{1,3}))</f>
        <v>0</v>
      </c>
      <c r="AT448" s="462">
        <f>SUMPRODUCT(--(CN2:CN391=AQ448),--(N2:N391&lt;&gt;"NG"),--(AG2:AG391&lt;&gt;"D"),--(AR2:AR391&lt;&gt;6),--(AR2:AR391&lt;&gt;36),--(AR2:AR391&lt;&gt;56),T2:T391)+SUMPRODUCT(--(CN2:CN391=AQ448),--(N2:N391&lt;&gt;"NG"),--(AG2:AG391&lt;&gt;"D"),--(AR2:AR391&lt;&gt;6),--(AR2:AR391&lt;&gt;36),--(AR2:AR391&lt;&gt;56),U2:U391)</f>
        <v>0</v>
      </c>
      <c r="AU448" s="462">
        <f>SUMPRODUCT(--(CN2:CN391=AQ448),--(N2:N391&lt;&gt;"NG"),--(AG2:AG391&lt;&gt;"D"),--(AR2:AR391&lt;&gt;6),--(AR2:AR391&lt;&gt;36),--(AR2:AR391&lt;&gt;56),V2:V391)</f>
        <v>259.73</v>
      </c>
      <c r="AV448" s="462">
        <f>SUMPRODUCT(--(CN2:CN391=AQ448),AY2:AY391)+SUMPRODUCT(--(CN2:CN391=AQ448),AZ2:AZ391)</f>
        <v>0</v>
      </c>
      <c r="AW448" s="462">
        <f>SUMPRODUCT(--(CN2:CN391=AQ448),BB2:BB391)+SUMPRODUCT(--(CN2:CN391=AQ448),BC2:BC391)</f>
        <v>0</v>
      </c>
      <c r="AX448" s="462">
        <f>SUMPRODUCT(--(CN2:CN391=AQ448),BL2:BL391)+SUMPRODUCT(--(CN2:CN391=AQ448),BM2:BM391)</f>
        <v>0</v>
      </c>
      <c r="AY448" s="462">
        <f>SUMPRODUCT(--(CN2:CN391=AQ448),AY2:AY391)+SUMPRODUCT(--(CN2:CN391=AQ448),AZ2:AZ391)+SUMPRODUCT(--(CN2:CN391=AQ448),BA2:BA391)</f>
        <v>0</v>
      </c>
      <c r="AZ448" s="462">
        <f>SUMPRODUCT(--(CN2:CN391=AQ448),BN2:BN391)+SUMPRODUCT(--(CN2:CN391=AQ448),BO2:BO391)</f>
        <v>0</v>
      </c>
      <c r="BA448" s="462">
        <f>SUMPRODUCT(--(CN2:CN391=AQ448),BX2:BX391)+SUMPRODUCT(--(CN2:CN391=AQ448),BY2:BY391)</f>
        <v>0</v>
      </c>
    </row>
    <row r="449" spans="41:53" x14ac:dyDescent="0.3">
      <c r="AQ449" t="s">
        <v>1185</v>
      </c>
      <c r="AS449" s="462">
        <f>SUM(SUMIFS(AS2:AS391,CN2:CN391,AQ449,E2:E391,"0250",F2:F391,"03",AT2:AT391,{1,3}))</f>
        <v>1.1000000000000001</v>
      </c>
      <c r="AT449" s="462">
        <f>SUMPRODUCT(--(CN2:CN391=AQ449),--(N2:N391&lt;&gt;"NG"),--(AG2:AG391&lt;&gt;"D"),--(AR2:AR391&lt;&gt;6),--(AR2:AR391&lt;&gt;36),--(AR2:AR391&lt;&gt;56),T2:T391)+SUMPRODUCT(--(CN2:CN391=AQ449),--(N2:N391&lt;&gt;"NG"),--(AG2:AG391&lt;&gt;"D"),--(AR2:AR391&lt;&gt;6),--(AR2:AR391&lt;&gt;36),--(AR2:AR391&lt;&gt;56),U2:U391)</f>
        <v>66663.77</v>
      </c>
      <c r="AU449" s="462">
        <f>SUMPRODUCT(--(CN2:CN391=AQ449),--(N2:N391&lt;&gt;"NG"),--(AG2:AG391&lt;&gt;"D"),--(AR2:AR391&lt;&gt;6),--(AR2:AR391&lt;&gt;36),--(AR2:AR391&lt;&gt;56),V2:V391)</f>
        <v>29960.73</v>
      </c>
      <c r="AV449" s="462">
        <f>SUMPRODUCT(--(CN2:CN391=AQ449),AY2:AY391)+SUMPRODUCT(--(CN2:CN391=AQ449),AZ2:AZ391)</f>
        <v>59311.199999999997</v>
      </c>
      <c r="AW449" s="462">
        <f>SUMPRODUCT(--(CN2:CN391=AQ449),BB2:BB391)+SUMPRODUCT(--(CN2:CN391=AQ449),BC2:BC391)</f>
        <v>12815</v>
      </c>
      <c r="AX449" s="462">
        <f>SUMPRODUCT(--(CN2:CN391=AQ449),BL2:BL391)+SUMPRODUCT(--(CN2:CN391=AQ449),BM2:BM391)</f>
        <v>14114.286264</v>
      </c>
      <c r="AY449" s="462">
        <f>SUMPRODUCT(--(CN2:CN391=AQ449),AY2:AY391)+SUMPRODUCT(--(CN2:CN391=AQ449),AZ2:AZ391)+SUMPRODUCT(--(CN2:CN391=AQ449),BA2:BA391)</f>
        <v>59311.199999999997</v>
      </c>
      <c r="AZ449" s="462">
        <f>SUMPRODUCT(--(CN2:CN391=AQ449),BN2:BN391)+SUMPRODUCT(--(CN2:CN391=AQ449),BO2:BO391)</f>
        <v>12815</v>
      </c>
      <c r="BA449" s="462">
        <f>SUMPRODUCT(--(CN2:CN391=AQ449),BX2:BX391)+SUMPRODUCT(--(CN2:CN391=AQ449),BY2:BY391)</f>
        <v>14286.288743999999</v>
      </c>
    </row>
    <row r="450" spans="41:53" x14ac:dyDescent="0.3">
      <c r="AQ450" t="s">
        <v>1186</v>
      </c>
      <c r="AS450" s="462">
        <f>SUM(SUMIFS(AS2:AS391,CN2:CN391,AQ450,E2:E391,"0250",F2:F391,"04",AT2:AT391,{1,3}))</f>
        <v>4.6500000000000004</v>
      </c>
      <c r="AT450" s="462">
        <f>SUMPRODUCT(--(CN2:CN391=AQ450),--(N2:N391&lt;&gt;"NG"),--(AG2:AG391&lt;&gt;"D"),--(AR2:AR391&lt;&gt;6),--(AR2:AR391&lt;&gt;36),--(AR2:AR391&lt;&gt;56),T2:T391)+SUMPRODUCT(--(CN2:CN391=AQ450),--(N2:N391&lt;&gt;"NG"),--(AG2:AG391&lt;&gt;"D"),--(AR2:AR391&lt;&gt;6),--(AR2:AR391&lt;&gt;36),--(AR2:AR391&lt;&gt;56),U2:U391)</f>
        <v>201905.12999999998</v>
      </c>
      <c r="AU450" s="462">
        <f>SUMPRODUCT(--(CN2:CN391=AQ450),--(N2:N391&lt;&gt;"NG"),--(AG2:AG391&lt;&gt;"D"),--(AR2:AR391&lt;&gt;6),--(AR2:AR391&lt;&gt;36),--(AR2:AR391&lt;&gt;56),V2:V391)</f>
        <v>93197.88</v>
      </c>
      <c r="AV450" s="462">
        <f>SUMPRODUCT(--(CN2:CN391=AQ450),AY2:AY391)+SUMPRODUCT(--(CN2:CN391=AQ450),AZ2:AZ391)</f>
        <v>234452.40000000002</v>
      </c>
      <c r="AW450" s="462">
        <f>SUMPRODUCT(--(CN2:CN391=AQ450),BB2:BB391)+SUMPRODUCT(--(CN2:CN391=AQ450),BC2:BC391)</f>
        <v>54172.5</v>
      </c>
      <c r="AX450" s="462">
        <f>SUMPRODUCT(--(CN2:CN391=AQ450),BL2:BL391)+SUMPRODUCT(--(CN2:CN391=AQ450),BM2:BM391)</f>
        <v>55792.637627999997</v>
      </c>
      <c r="AY450" s="462">
        <f>SUMPRODUCT(--(CN2:CN391=AQ450),AY2:AY391)+SUMPRODUCT(--(CN2:CN391=AQ450),AZ2:AZ391)+SUMPRODUCT(--(CN2:CN391=AQ450),BA2:BA391)</f>
        <v>234452.40000000002</v>
      </c>
      <c r="AZ450" s="462">
        <f>SUMPRODUCT(--(CN2:CN391=AQ450),BN2:BN391)+SUMPRODUCT(--(CN2:CN391=AQ450),BO2:BO391)</f>
        <v>54172.5</v>
      </c>
      <c r="BA450" s="462">
        <f>SUMPRODUCT(--(CN2:CN391=AQ450),BX2:BX391)+SUMPRODUCT(--(CN2:CN391=AQ450),BY2:BY391)</f>
        <v>56472.549587999994</v>
      </c>
    </row>
    <row r="451" spans="41:53" x14ac:dyDescent="0.3">
      <c r="AQ451" t="s">
        <v>1187</v>
      </c>
      <c r="AS451" s="462">
        <f>SUM(SUMIFS(AS2:AS391,CN2:CN391,AQ451,E2:E391,"0250",F2:F391,"05",AT2:AT391,{1,3}))</f>
        <v>5.4249999999999989</v>
      </c>
      <c r="AT451" s="462">
        <f>SUMPRODUCT(--(CN2:CN391=AQ451),--(N2:N391&lt;&gt;"NG"),--(AG2:AG391&lt;&gt;"D"),--(AR2:AR391&lt;&gt;6),--(AR2:AR391&lt;&gt;36),--(AR2:AR391&lt;&gt;56),T2:T391)+SUMPRODUCT(--(CN2:CN391=AQ451),--(N2:N391&lt;&gt;"NG"),--(AG2:AG391&lt;&gt;"D"),--(AR2:AR391&lt;&gt;6),--(AR2:AR391&lt;&gt;36),--(AR2:AR391&lt;&gt;56),U2:U391)</f>
        <v>285418.51999999996</v>
      </c>
      <c r="AU451" s="462">
        <f>SUMPRODUCT(--(CN2:CN391=AQ451),--(N2:N391&lt;&gt;"NG"),--(AG2:AG391&lt;&gt;"D"),--(AR2:AR391&lt;&gt;6),--(AR2:AR391&lt;&gt;36),--(AR2:AR391&lt;&gt;56),V2:V391)</f>
        <v>121825.31999999998</v>
      </c>
      <c r="AV451" s="462">
        <f>SUMPRODUCT(--(CN2:CN391=AQ451),AY2:AY391)+SUMPRODUCT(--(CN2:CN391=AQ451),AZ2:AZ391)</f>
        <v>285454</v>
      </c>
      <c r="AW451" s="462">
        <f>SUMPRODUCT(--(CN2:CN391=AQ451),BB2:BB391)+SUMPRODUCT(--(CN2:CN391=AQ451),BC2:BC391)</f>
        <v>64191.5</v>
      </c>
      <c r="AX451" s="462">
        <f>SUMPRODUCT(--(CN2:CN391=AQ451),BL2:BL391)+SUMPRODUCT(--(CN2:CN391=AQ451),BM2:BM391)</f>
        <v>67854.088303199998</v>
      </c>
      <c r="AY451" s="462">
        <f>SUMPRODUCT(--(CN2:CN391=AQ451),AY2:AY391)+SUMPRODUCT(--(CN2:CN391=AQ451),AZ2:AZ391)+SUMPRODUCT(--(CN2:CN391=AQ451),BA2:BA391)</f>
        <v>285454</v>
      </c>
      <c r="AZ451" s="462">
        <f>SUMPRODUCT(--(CN2:CN391=AQ451),BN2:BN391)+SUMPRODUCT(--(CN2:CN391=AQ451),BO2:BO391)</f>
        <v>64191.5</v>
      </c>
      <c r="BA451" s="462">
        <f>SUMPRODUCT(--(CN2:CN391=AQ451),BX2:BX391)+SUMPRODUCT(--(CN2:CN391=AQ451),BY2:BY391)</f>
        <v>68713.524903199985</v>
      </c>
    </row>
    <row r="452" spans="41:53" x14ac:dyDescent="0.3">
      <c r="AP452" t="s">
        <v>1188</v>
      </c>
      <c r="AS452" s="473">
        <f>SUM(AS448:AS451)</f>
        <v>11.174999999999999</v>
      </c>
      <c r="AT452" s="473">
        <f>SUM(AT448:AT451)</f>
        <v>553987.41999999993</v>
      </c>
      <c r="AU452" s="473">
        <f>SUM(AU448:AU451)</f>
        <v>245243.65999999997</v>
      </c>
      <c r="AV452" s="473">
        <f>SUM(AV448:AV451)</f>
        <v>579217.60000000009</v>
      </c>
      <c r="AW452" s="473">
        <f>SUM(AW448:AW451)</f>
        <v>131179</v>
      </c>
      <c r="AX452" s="473">
        <f>SUM(AX448:AX451)</f>
        <v>137761.01219519999</v>
      </c>
      <c r="AY452" s="473">
        <f>SUM(AY448:AY451)</f>
        <v>579217.60000000009</v>
      </c>
      <c r="AZ452" s="473">
        <f>SUM(AZ448:AZ451)</f>
        <v>131179</v>
      </c>
      <c r="BA452" s="473">
        <f>SUM(BA448:BA451)</f>
        <v>139472.3632352</v>
      </c>
    </row>
    <row r="453" spans="41:53" x14ac:dyDescent="0.3">
      <c r="AQ453" t="s">
        <v>1161</v>
      </c>
      <c r="AS453" s="462">
        <f>SUM(SUMIFS(AS2:AS391,CN2:CN391,AQ453,E2:E391,"0348",F2:F391,"00",AT2:AT391,{1,3}))</f>
        <v>11.120000000000003</v>
      </c>
      <c r="AT453" s="462">
        <f>SUMPRODUCT(--(CN2:CN391=AQ453),--(N2:N391&lt;&gt;"NG"),--(AG2:AG391&lt;&gt;"D"),--(AR2:AR391&lt;&gt;6),--(AR2:AR391&lt;&gt;36),--(AR2:AR391&lt;&gt;56),T2:T391)+SUMPRODUCT(--(CN2:CN391=AQ453),--(N2:N391&lt;&gt;"NG"),--(AG2:AG391&lt;&gt;"D"),--(AR2:AR391&lt;&gt;6),--(AR2:AR391&lt;&gt;36),--(AR2:AR391&lt;&gt;56),U2:U391)</f>
        <v>522107.64</v>
      </c>
      <c r="AU453" s="462">
        <f>SUMPRODUCT(--(CN2:CN391=AQ453),--(N2:N391&lt;&gt;"NG"),--(AG2:AG391&lt;&gt;"D"),--(AR2:AR391&lt;&gt;6),--(AR2:AR391&lt;&gt;36),--(AR2:AR391&lt;&gt;56),V2:V391)</f>
        <v>248798.36000000002</v>
      </c>
      <c r="AV453" s="462">
        <f>SUMPRODUCT(--(CN2:CN391=AQ453),AY2:AY391)+SUMPRODUCT(--(CN2:CN391=AQ453),AZ2:AZ391)</f>
        <v>511281.68</v>
      </c>
      <c r="AW453" s="462">
        <f>SUMPRODUCT(--(CN2:CN391=AQ453),BB2:BB391)+SUMPRODUCT(--(CN2:CN391=AQ453),BC2:BC391)</f>
        <v>132460.5</v>
      </c>
      <c r="AX453" s="462">
        <f>SUMPRODUCT(--(CN2:CN391=AQ453),BL2:BL391)+SUMPRODUCT(--(CN2:CN391=AQ453),BM2:BM391)</f>
        <v>121669.70138960001</v>
      </c>
      <c r="AY453" s="462">
        <f>SUMPRODUCT(--(CN2:CN391=AQ453),AY2:AY391)+SUMPRODUCT(--(CN2:CN391=AQ453),AZ2:AZ391)+SUMPRODUCT(--(CN2:CN391=AQ453),BA2:BA391)</f>
        <v>511281.68</v>
      </c>
      <c r="AZ453" s="462">
        <f>SUMPRODUCT(--(CN2:CN391=AQ453),BN2:BN391)+SUMPRODUCT(--(CN2:CN391=AQ453),BO2:BO391)</f>
        <v>132460.5</v>
      </c>
      <c r="BA453" s="462">
        <f>SUMPRODUCT(--(CN2:CN391=AQ453),BX2:BX391)+SUMPRODUCT(--(CN2:CN391=AQ453),BY2:BY391)</f>
        <v>123152.4182616</v>
      </c>
    </row>
    <row r="454" spans="41:53" x14ac:dyDescent="0.3">
      <c r="AP454" t="s">
        <v>1189</v>
      </c>
      <c r="AS454" s="473">
        <f>SUM(AS453:AS453)</f>
        <v>11.120000000000003</v>
      </c>
      <c r="AT454" s="473">
        <f>SUM(AT453:AT453)</f>
        <v>522107.64</v>
      </c>
      <c r="AU454" s="473">
        <f>SUM(AU453:AU453)</f>
        <v>248798.36000000002</v>
      </c>
      <c r="AV454" s="473">
        <f>SUM(AV453:AV453)</f>
        <v>511281.68</v>
      </c>
      <c r="AW454" s="473">
        <f>SUM(AW453:AW453)</f>
        <v>132460.5</v>
      </c>
      <c r="AX454" s="473">
        <f>SUM(AX453:AX453)</f>
        <v>121669.70138960001</v>
      </c>
      <c r="AY454" s="473">
        <f>SUM(AY453:AY453)</f>
        <v>511281.68</v>
      </c>
      <c r="AZ454" s="473">
        <f>SUM(AZ453:AZ453)</f>
        <v>132460.5</v>
      </c>
      <c r="BA454" s="473">
        <f>SUM(BA453:BA453)</f>
        <v>123152.4182616</v>
      </c>
    </row>
    <row r="455" spans="41:53" x14ac:dyDescent="0.3">
      <c r="AQ455" t="s">
        <v>1190</v>
      </c>
      <c r="AS455" s="462">
        <f>SUM(SUMIFS(AS2:AS391,CN2:CN391,AQ455,E2:E391,"0410",F2:F391,"01",AT2:AT391,{1,3}))</f>
        <v>4.0625</v>
      </c>
      <c r="AT455" s="462">
        <f>SUMPRODUCT(--(CN2:CN391=AQ455),--(N2:N391&lt;&gt;"NG"),--(AG2:AG391&lt;&gt;"D"),--(AR2:AR391&lt;&gt;6),--(AR2:AR391&lt;&gt;36),--(AR2:AR391&lt;&gt;56),T2:T391)+SUMPRODUCT(--(CN2:CN391=AQ455),--(N2:N391&lt;&gt;"NG"),--(AG2:AG391&lt;&gt;"D"),--(AR2:AR391&lt;&gt;6),--(AR2:AR391&lt;&gt;36),--(AR2:AR391&lt;&gt;56),U2:U391)</f>
        <v>154532.65000000002</v>
      </c>
      <c r="AU455" s="462">
        <f>SUMPRODUCT(--(CN2:CN391=AQ455),--(N2:N391&lt;&gt;"NG"),--(AG2:AG391&lt;&gt;"D"),--(AR2:AR391&lt;&gt;6),--(AR2:AR391&lt;&gt;36),--(AR2:AR391&lt;&gt;56),V2:V391)</f>
        <v>76824.549999999988</v>
      </c>
      <c r="AV455" s="462">
        <f>SUMPRODUCT(--(CN2:CN391=AQ455),AY2:AY391)+SUMPRODUCT(--(CN2:CN391=AQ455),AZ2:AZ391)</f>
        <v>166114.52000000002</v>
      </c>
      <c r="AW455" s="462">
        <f>SUMPRODUCT(--(CN2:CN391=AQ455),BB2:BB391)+SUMPRODUCT(--(CN2:CN391=AQ455),BC2:BC391)</f>
        <v>48930</v>
      </c>
      <c r="AX455" s="462">
        <f>SUMPRODUCT(--(CN2:CN391=AQ455),BL2:BL391)+SUMPRODUCT(--(CN2:CN391=AQ455),BM2:BM391)</f>
        <v>39530.272324400001</v>
      </c>
      <c r="AY455" s="462">
        <f>SUMPRODUCT(--(CN2:CN391=AQ455),AY2:AY391)+SUMPRODUCT(--(CN2:CN391=AQ455),AZ2:AZ391)+SUMPRODUCT(--(CN2:CN391=AQ455),BA2:BA391)</f>
        <v>166114.52000000002</v>
      </c>
      <c r="AZ455" s="462">
        <f>SUMPRODUCT(--(CN2:CN391=AQ455),BN2:BN391)+SUMPRODUCT(--(CN2:CN391=AQ455),BO2:BO391)</f>
        <v>48930</v>
      </c>
      <c r="BA455" s="462">
        <f>SUMPRODUCT(--(CN2:CN391=AQ455),BX2:BX391)+SUMPRODUCT(--(CN2:CN391=AQ455),BY2:BY391)</f>
        <v>40012.004432400005</v>
      </c>
    </row>
    <row r="456" spans="41:53" x14ac:dyDescent="0.3">
      <c r="AP456" t="s">
        <v>1191</v>
      </c>
      <c r="AS456" s="473">
        <f>SUM(AS455:AS455)</f>
        <v>4.0625</v>
      </c>
      <c r="AT456" s="473">
        <f>SUM(AT455:AT455)</f>
        <v>154532.65000000002</v>
      </c>
      <c r="AU456" s="473">
        <f>SUM(AU455:AU455)</f>
        <v>76824.549999999988</v>
      </c>
      <c r="AV456" s="473">
        <f>SUM(AV455:AV455)</f>
        <v>166114.52000000002</v>
      </c>
      <c r="AW456" s="473">
        <f>SUM(AW455:AW455)</f>
        <v>48930</v>
      </c>
      <c r="AX456" s="473">
        <f>SUM(AX455:AX455)</f>
        <v>39530.272324400001</v>
      </c>
      <c r="AY456" s="473">
        <f>SUM(AY455:AY455)</f>
        <v>166114.52000000002</v>
      </c>
      <c r="AZ456" s="473">
        <f>SUM(AZ455:AZ455)</f>
        <v>48930</v>
      </c>
      <c r="BA456" s="473">
        <f>SUM(BA455:BA455)</f>
        <v>40012.004432400005</v>
      </c>
    </row>
    <row r="457" spans="41:53" x14ac:dyDescent="0.3">
      <c r="AQ457" t="s">
        <v>1192</v>
      </c>
      <c r="AS457" s="462">
        <f>SUM(SUMIFS(AS2:AS391,CN2:CN391,AQ457,E2:E391,"0496",F2:F391,"02",AT2:AT391,{1,3}))</f>
        <v>3</v>
      </c>
      <c r="AT457" s="462">
        <f>SUMPRODUCT(--(CN2:CN391=AQ457),--(N2:N391&lt;&gt;"NG"),--(AG2:AG391&lt;&gt;"D"),--(AR2:AR391&lt;&gt;6),--(AR2:AR391&lt;&gt;36),--(AR2:AR391&lt;&gt;56),T2:T391)+SUMPRODUCT(--(CN2:CN391=AQ457),--(N2:N391&lt;&gt;"NG"),--(AG2:AG391&lt;&gt;"D"),--(AR2:AR391&lt;&gt;6),--(AR2:AR391&lt;&gt;36),--(AR2:AR391&lt;&gt;56),U2:U391)</f>
        <v>109330.18000000001</v>
      </c>
      <c r="AU457" s="462">
        <f>SUMPRODUCT(--(CN2:CN391=AQ457),--(N2:N391&lt;&gt;"NG"),--(AG2:AG391&lt;&gt;"D"),--(AR2:AR391&lt;&gt;6),--(AR2:AR391&lt;&gt;36),--(AR2:AR391&lt;&gt;56),V2:V391)</f>
        <v>50118.35</v>
      </c>
      <c r="AV457" s="462">
        <f>SUMPRODUCT(--(CN2:CN391=AQ457),AY2:AY391)+SUMPRODUCT(--(CN2:CN391=AQ457),AZ2:AZ391)</f>
        <v>133432</v>
      </c>
      <c r="AW457" s="462">
        <f>SUMPRODUCT(--(CN2:CN391=AQ457),BB2:BB391)+SUMPRODUCT(--(CN2:CN391=AQ457),BC2:BC391)</f>
        <v>34950</v>
      </c>
      <c r="AX457" s="462">
        <f>SUMPRODUCT(--(CN2:CN391=AQ457),BL2:BL391)+SUMPRODUCT(--(CN2:CN391=AQ457),BM2:BM391)</f>
        <v>31752.813039999997</v>
      </c>
      <c r="AY457" s="462">
        <f>SUMPRODUCT(--(CN2:CN391=AQ457),AY2:AY391)+SUMPRODUCT(--(CN2:CN391=AQ457),AZ2:AZ391)+SUMPRODUCT(--(CN2:CN391=AQ457),BA2:BA391)</f>
        <v>133432</v>
      </c>
      <c r="AZ457" s="462">
        <f>SUMPRODUCT(--(CN2:CN391=AQ457),BN2:BN391)+SUMPRODUCT(--(CN2:CN391=AQ457),BO2:BO391)</f>
        <v>34950</v>
      </c>
      <c r="BA457" s="462">
        <f>SUMPRODUCT(--(CN2:CN391=AQ457),BX2:BX391)+SUMPRODUCT(--(CN2:CN391=AQ457),BY2:BY391)</f>
        <v>32139.76584</v>
      </c>
    </row>
    <row r="458" spans="41:53" x14ac:dyDescent="0.3">
      <c r="AQ458" t="s">
        <v>1193</v>
      </c>
      <c r="AS458" s="462">
        <f>SUM(SUMIFS(AS2:AS391,CN2:CN391,AQ458,E2:E391,"0496",F2:F391,"03",AT2:AT391,{1,3}))</f>
        <v>0.4</v>
      </c>
      <c r="AT458" s="462">
        <f>SUMPRODUCT(--(CN2:CN391=AQ458),--(N2:N391&lt;&gt;"NG"),--(AG2:AG391&lt;&gt;"D"),--(AR2:AR391&lt;&gt;6),--(AR2:AR391&lt;&gt;36),--(AR2:AR391&lt;&gt;56),T2:T391)+SUMPRODUCT(--(CN2:CN391=AQ458),--(N2:N391&lt;&gt;"NG"),--(AG2:AG391&lt;&gt;"D"),--(AR2:AR391&lt;&gt;6),--(AR2:AR391&lt;&gt;36),--(AR2:AR391&lt;&gt;56),U2:U391)</f>
        <v>46838.83</v>
      </c>
      <c r="AU458" s="462">
        <f>SUMPRODUCT(--(CN2:CN391=AQ458),--(N2:N391&lt;&gt;"NG"),--(AG2:AG391&lt;&gt;"D"),--(AR2:AR391&lt;&gt;6),--(AR2:AR391&lt;&gt;36),--(AR2:AR391&lt;&gt;56),V2:V391)</f>
        <v>17956.440000000002</v>
      </c>
      <c r="AV458" s="462">
        <f>SUMPRODUCT(--(CN2:CN391=AQ458),AY2:AY391)+SUMPRODUCT(--(CN2:CN391=AQ458),AZ2:AZ391)</f>
        <v>25908.48</v>
      </c>
      <c r="AW458" s="462">
        <f>SUMPRODUCT(--(CN2:CN391=AQ458),BB2:BB391)+SUMPRODUCT(--(CN2:CN391=AQ458),BC2:BC391)</f>
        <v>4660</v>
      </c>
      <c r="AX458" s="462">
        <f>SUMPRODUCT(--(CN2:CN391=AQ458),BL2:BL391)+SUMPRODUCT(--(CN2:CN391=AQ458),BM2:BM391)</f>
        <v>6165.4409855999993</v>
      </c>
      <c r="AY458" s="462">
        <f>SUMPRODUCT(--(CN2:CN391=AQ458),AY2:AY391)+SUMPRODUCT(--(CN2:CN391=AQ458),AZ2:AZ391)+SUMPRODUCT(--(CN2:CN391=AQ458),BA2:BA391)</f>
        <v>25908.48</v>
      </c>
      <c r="AZ458" s="462">
        <f>SUMPRODUCT(--(CN2:CN391=AQ458),BN2:BN391)+SUMPRODUCT(--(CN2:CN391=AQ458),BO2:BO391)</f>
        <v>4660</v>
      </c>
      <c r="BA458" s="462">
        <f>SUMPRODUCT(--(CN2:CN391=AQ458),BX2:BX391)+SUMPRODUCT(--(CN2:CN391=AQ458),BY2:BY391)</f>
        <v>6240.5755776000005</v>
      </c>
    </row>
    <row r="459" spans="41:53" x14ac:dyDescent="0.3">
      <c r="AQ459" t="s">
        <v>1194</v>
      </c>
      <c r="AS459" s="462">
        <f>SUM(SUMIFS(AS2:AS391,CN2:CN391,AQ459,E2:E391,"0496",F2:F391,"05",AT2:AT391,{1,3}))</f>
        <v>1</v>
      </c>
      <c r="AT459" s="462">
        <f>SUMPRODUCT(--(CN2:CN391=AQ459),--(N2:N391&lt;&gt;"NG"),--(AG2:AG391&lt;&gt;"D"),--(AR2:AR391&lt;&gt;6),--(AR2:AR391&lt;&gt;36),--(AR2:AR391&lt;&gt;56),T2:T391)+SUMPRODUCT(--(CN2:CN391=AQ459),--(N2:N391&lt;&gt;"NG"),--(AG2:AG391&lt;&gt;"D"),--(AR2:AR391&lt;&gt;6),--(AR2:AR391&lt;&gt;36),--(AR2:AR391&lt;&gt;56),U2:U391)</f>
        <v>68897.09</v>
      </c>
      <c r="AU459" s="462">
        <f>SUMPRODUCT(--(CN2:CN391=AQ459),--(N2:N391&lt;&gt;"NG"),--(AG2:AG391&lt;&gt;"D"),--(AR2:AR391&lt;&gt;6),--(AR2:AR391&lt;&gt;36),--(AR2:AR391&lt;&gt;56),V2:V391)</f>
        <v>33225.42</v>
      </c>
      <c r="AV459" s="462">
        <f>SUMPRODUCT(--(CN2:CN391=AQ459),AY2:AY391)+SUMPRODUCT(--(CN2:CN391=AQ459),AZ2:AZ391)</f>
        <v>48422.400000000001</v>
      </c>
      <c r="AW459" s="462">
        <f>SUMPRODUCT(--(CN2:CN391=AQ459),BB2:BB391)+SUMPRODUCT(--(CN2:CN391=AQ459),BC2:BC391)</f>
        <v>11650</v>
      </c>
      <c r="AX459" s="462">
        <f>SUMPRODUCT(--(CN2:CN391=AQ459),BL2:BL391)+SUMPRODUCT(--(CN2:CN391=AQ459),BM2:BM391)</f>
        <v>11523.078528000002</v>
      </c>
      <c r="AY459" s="462">
        <f>SUMPRODUCT(--(CN2:CN391=AQ459),AY2:AY391)+SUMPRODUCT(--(CN2:CN391=AQ459),AZ2:AZ391)+SUMPRODUCT(--(CN2:CN391=AQ459),BA2:BA391)</f>
        <v>48422.400000000001</v>
      </c>
      <c r="AZ459" s="462">
        <f>SUMPRODUCT(--(CN2:CN391=AQ459),BN2:BN391)+SUMPRODUCT(--(CN2:CN391=AQ459),BO2:BO391)</f>
        <v>11650</v>
      </c>
      <c r="BA459" s="462">
        <f>SUMPRODUCT(--(CN2:CN391=AQ459),BX2:BX391)+SUMPRODUCT(--(CN2:CN391=AQ459),BY2:BY391)</f>
        <v>11663.503488000002</v>
      </c>
    </row>
    <row r="460" spans="41:53" x14ac:dyDescent="0.3">
      <c r="AP460" t="s">
        <v>1195</v>
      </c>
      <c r="AS460" s="473">
        <f>SUM(AS457:AS459)</f>
        <v>4.4000000000000004</v>
      </c>
      <c r="AT460" s="473">
        <f>SUM(AT457:AT459)</f>
        <v>225066.1</v>
      </c>
      <c r="AU460" s="473">
        <f>SUM(AU457:AU459)</f>
        <v>101300.21</v>
      </c>
      <c r="AV460" s="473">
        <f>SUM(AV457:AV459)</f>
        <v>207762.88</v>
      </c>
      <c r="AW460" s="473">
        <f>SUM(AW457:AW459)</f>
        <v>51260</v>
      </c>
      <c r="AX460" s="473">
        <f>SUM(AX457:AX459)</f>
        <v>49441.332553600005</v>
      </c>
      <c r="AY460" s="473">
        <f>SUM(AY457:AY459)</f>
        <v>207762.88</v>
      </c>
      <c r="AZ460" s="473">
        <f>SUM(AZ457:AZ459)</f>
        <v>51260</v>
      </c>
      <c r="BA460" s="473">
        <f>SUM(BA457:BA459)</f>
        <v>50043.844905600003</v>
      </c>
    </row>
    <row r="461" spans="41:53" x14ac:dyDescent="0.3">
      <c r="AS461" s="462"/>
      <c r="AT461" s="462"/>
      <c r="AU461" s="462"/>
      <c r="AV461" s="462"/>
      <c r="AW461" s="462"/>
      <c r="AX461" s="462"/>
      <c r="AY461" s="462"/>
      <c r="AZ461" s="462"/>
      <c r="BA461" s="462"/>
    </row>
    <row r="462" spans="41:53" x14ac:dyDescent="0.3">
      <c r="AO462" s="471" t="s">
        <v>1196</v>
      </c>
      <c r="AS462" s="474">
        <f>SUM(AS439,AS441,AS444,AS447,AS452,AS454,AS456,AS460)</f>
        <v>146.77500000000001</v>
      </c>
      <c r="AT462" s="474">
        <f>SUM(AT439,AT441,AT444,AT447,AT452,AT454,AT456,AT460)</f>
        <v>6918696.3699999982</v>
      </c>
      <c r="AU462" s="474">
        <f>SUM(AU439,AU441,AU444,AU447,AU452,AU454,AU456,AU460)</f>
        <v>3234995.1</v>
      </c>
      <c r="AV462" s="474">
        <f>SUM(AV439,AV441,AV444,AV447,AV452,AV454,AV456,AV460)</f>
        <v>6999275.3999999994</v>
      </c>
      <c r="AW462" s="474">
        <f>SUM(AW439,AW441,AW444,AW447,AW452,AW454,AW456,AW460)</f>
        <v>1738180</v>
      </c>
      <c r="AX462" s="474">
        <f>SUM(AX439,AX441,AX444,AX447,AX452,AX454,AX456,AX460)</f>
        <v>1664258.3373380003</v>
      </c>
      <c r="AY462" s="474">
        <f>SUM(AY439,AY441,AY444,AY447,AY452,AY454,AY456,AY460)</f>
        <v>6999275.3999999994</v>
      </c>
      <c r="AZ462" s="474">
        <f>SUM(AZ439,AZ441,AZ444,AZ447,AZ452,AZ454,AZ456,AZ460)</f>
        <v>1738180</v>
      </c>
      <c r="BA462" s="474">
        <f>SUM(BA439,BA441,BA444,BA447,BA452,BA454,BA456,BA460)</f>
        <v>1684872.4359979997</v>
      </c>
    </row>
    <row r="463" spans="41:53" x14ac:dyDescent="0.3">
      <c r="AS463" s="462"/>
      <c r="AT463" s="462"/>
      <c r="AU463" s="462"/>
      <c r="AV463" s="462"/>
      <c r="AW463" s="462"/>
      <c r="AX463" s="462"/>
      <c r="AY463" s="462"/>
      <c r="AZ463" s="462"/>
      <c r="BA463" s="462"/>
    </row>
    <row r="464" spans="41:53" x14ac:dyDescent="0.3">
      <c r="AO464" s="467" t="s">
        <v>1197</v>
      </c>
      <c r="AS464" s="462"/>
      <c r="AT464" s="462"/>
      <c r="AU464" s="462"/>
      <c r="AV464" s="462"/>
      <c r="AW464" s="462"/>
      <c r="AX464" s="462"/>
      <c r="AY464" s="462"/>
      <c r="AZ464" s="462"/>
      <c r="BA464" s="462"/>
    </row>
    <row r="465" spans="42:53" x14ac:dyDescent="0.3">
      <c r="AQ465" t="s">
        <v>1095</v>
      </c>
      <c r="AS465" s="462"/>
      <c r="AT465" s="462">
        <f>SUMIF(CN2:CN391,AQ465,CL2:CL391)</f>
        <v>85347.56</v>
      </c>
      <c r="AU465" s="462">
        <f>SUMIF(CN2:CN391,AQ465,CM2:CM391)</f>
        <v>13837.07</v>
      </c>
      <c r="AV465" s="462">
        <f>SUMIF(CN2:CN391,AQ465,CL2:CL391)</f>
        <v>85347.56</v>
      </c>
      <c r="AW465" s="462">
        <v>0</v>
      </c>
      <c r="AX465" s="462">
        <f>SUMIF(CN2:CN391,AQ465,CM2:CM391)</f>
        <v>13837.07</v>
      </c>
      <c r="AY465" s="462">
        <f>SUMIF(CN2:CN391,AQ465,CL2:CL391)</f>
        <v>85347.56</v>
      </c>
      <c r="AZ465" s="462">
        <v>0</v>
      </c>
      <c r="BA465" s="462">
        <f>SUMIF(CN2:CN391,AQ465,CM2:CM391)</f>
        <v>13837.07</v>
      </c>
    </row>
    <row r="466" spans="42:53" x14ac:dyDescent="0.3">
      <c r="AP466" t="s">
        <v>1177</v>
      </c>
      <c r="AS466" s="473"/>
      <c r="AT466" s="473">
        <f>SUM(AT465:AT465)</f>
        <v>85347.56</v>
      </c>
      <c r="AU466" s="473">
        <f>SUM(AU465:AU465)</f>
        <v>13837.07</v>
      </c>
      <c r="AV466" s="473">
        <f>SUM(AV465:AV465)</f>
        <v>85347.56</v>
      </c>
      <c r="AW466" s="473">
        <f>SUM(AW465:AW465)</f>
        <v>0</v>
      </c>
      <c r="AX466" s="473">
        <f>SUM(AX465:AX465)</f>
        <v>13837.07</v>
      </c>
      <c r="AY466" s="473">
        <f>SUM(AY465:AY465)</f>
        <v>85347.56</v>
      </c>
      <c r="AZ466" s="473">
        <f>SUM(AZ465:AZ465)</f>
        <v>0</v>
      </c>
      <c r="BA466" s="473">
        <f>SUM(BA465:BA465)</f>
        <v>13837.07</v>
      </c>
    </row>
    <row r="467" spans="42:53" x14ac:dyDescent="0.3">
      <c r="AQ467" t="s">
        <v>1108</v>
      </c>
      <c r="AS467" s="462"/>
      <c r="AT467" s="462">
        <f>SUMIF(CN2:CN391,AQ467,CL2:CL391)</f>
        <v>1036467.83</v>
      </c>
      <c r="AU467" s="462">
        <f>SUMIF(CN2:CN391,AQ467,CM2:CM391)</f>
        <v>165742.44000000006</v>
      </c>
      <c r="AV467" s="462">
        <f>SUMIF(CN2:CN391,AQ467,CL2:CL391)</f>
        <v>1036467.83</v>
      </c>
      <c r="AW467" s="462">
        <v>0</v>
      </c>
      <c r="AX467" s="462">
        <f>SUMIF(CN2:CN391,AQ467,CM2:CM391)</f>
        <v>165742.44000000006</v>
      </c>
      <c r="AY467" s="462">
        <f>SUMIF(CN2:CN391,AQ467,CL2:CL391)</f>
        <v>1036467.83</v>
      </c>
      <c r="AZ467" s="462">
        <v>0</v>
      </c>
      <c r="BA467" s="462">
        <f>SUMIF(CN2:CN391,AQ467,CM2:CM391)</f>
        <v>165742.44000000006</v>
      </c>
    </row>
    <row r="468" spans="42:53" x14ac:dyDescent="0.3">
      <c r="AP468" t="s">
        <v>1180</v>
      </c>
      <c r="AS468" s="473"/>
      <c r="AT468" s="473">
        <f>SUM(AT467:AT467)</f>
        <v>1036467.83</v>
      </c>
      <c r="AU468" s="473">
        <f>SUM(AU467:AU467)</f>
        <v>165742.44000000006</v>
      </c>
      <c r="AV468" s="473">
        <f>SUM(AV467:AV467)</f>
        <v>1036467.83</v>
      </c>
      <c r="AW468" s="473">
        <f>SUM(AW467:AW467)</f>
        <v>0</v>
      </c>
      <c r="AX468" s="473">
        <f>SUM(AX467:AX467)</f>
        <v>165742.44000000006</v>
      </c>
      <c r="AY468" s="473">
        <f>SUM(AY467:AY467)</f>
        <v>1036467.83</v>
      </c>
      <c r="AZ468" s="473">
        <f>SUM(AZ467:AZ467)</f>
        <v>0</v>
      </c>
      <c r="BA468" s="473">
        <f>SUM(BA467:BA467)</f>
        <v>165742.44000000006</v>
      </c>
    </row>
    <row r="469" spans="42:53" x14ac:dyDescent="0.3">
      <c r="AQ469" t="s">
        <v>1184</v>
      </c>
      <c r="AS469" s="462"/>
      <c r="AT469" s="462">
        <f>SUMIF(CN2:CN391,AQ469,CL2:CL391)</f>
        <v>12089.279999999999</v>
      </c>
      <c r="AU469" s="462">
        <f>SUMIF(CN2:CN391,AQ469,CM2:CM391)</f>
        <v>1630.24</v>
      </c>
      <c r="AV469" s="462">
        <f>SUMIF(CN2:CN391,AQ469,CL2:CL391)</f>
        <v>12089.279999999999</v>
      </c>
      <c r="AW469" s="462">
        <v>0</v>
      </c>
      <c r="AX469" s="462">
        <f>SUMIF(CN2:CN391,AQ469,CM2:CM391)</f>
        <v>1630.24</v>
      </c>
      <c r="AY469" s="462">
        <f>SUMIF(CN2:CN391,AQ469,CL2:CL391)</f>
        <v>12089.279999999999</v>
      </c>
      <c r="AZ469" s="462">
        <v>0</v>
      </c>
      <c r="BA469" s="462">
        <f>SUMIF(CN2:CN391,AQ469,CM2:CM391)</f>
        <v>1630.24</v>
      </c>
    </row>
    <row r="470" spans="42:53" x14ac:dyDescent="0.3">
      <c r="AQ470" t="s">
        <v>1186</v>
      </c>
      <c r="AS470" s="462"/>
      <c r="AT470" s="462">
        <f>SUMIF(CN2:CN391,AQ470,CL2:CL391)</f>
        <v>129568.73999999999</v>
      </c>
      <c r="AU470" s="462">
        <f>SUMIF(CN2:CN391,AQ470,CM2:CM391)</f>
        <v>40609.64</v>
      </c>
      <c r="AV470" s="462">
        <f>SUMIF(CN2:CN391,AQ470,CL2:CL391)</f>
        <v>129568.73999999999</v>
      </c>
      <c r="AW470" s="462">
        <v>0</v>
      </c>
      <c r="AX470" s="462">
        <f>SUMIF(CN2:CN391,AQ470,CM2:CM391)</f>
        <v>40609.64</v>
      </c>
      <c r="AY470" s="462">
        <f>SUMIF(CN2:CN391,AQ470,CL2:CL391)</f>
        <v>129568.73999999999</v>
      </c>
      <c r="AZ470" s="462">
        <v>0</v>
      </c>
      <c r="BA470" s="462">
        <f>SUMIF(CN2:CN391,AQ470,CM2:CM391)</f>
        <v>40609.64</v>
      </c>
    </row>
    <row r="471" spans="42:53" x14ac:dyDescent="0.3">
      <c r="AQ471" t="s">
        <v>1187</v>
      </c>
      <c r="AS471" s="462"/>
      <c r="AT471" s="462">
        <f>SUMIF(CN2:CN391,AQ471,CL2:CL391)</f>
        <v>7421.93</v>
      </c>
      <c r="AU471" s="462">
        <f>SUMIF(CN2:CN391,AQ471,CM2:CM391)</f>
        <v>1598.65</v>
      </c>
      <c r="AV471" s="462">
        <f>SUMIF(CN2:CN391,AQ471,CL2:CL391)</f>
        <v>7421.93</v>
      </c>
      <c r="AW471" s="462">
        <v>0</v>
      </c>
      <c r="AX471" s="462">
        <f>SUMIF(CN2:CN391,AQ471,CM2:CM391)</f>
        <v>1598.65</v>
      </c>
      <c r="AY471" s="462">
        <f>SUMIF(CN2:CN391,AQ471,CL2:CL391)</f>
        <v>7421.93</v>
      </c>
      <c r="AZ471" s="462">
        <v>0</v>
      </c>
      <c r="BA471" s="462">
        <f>SUMIF(CN2:CN391,AQ471,CM2:CM391)</f>
        <v>1598.65</v>
      </c>
    </row>
    <row r="472" spans="42:53" x14ac:dyDescent="0.3">
      <c r="AP472" t="s">
        <v>1188</v>
      </c>
      <c r="AS472" s="473"/>
      <c r="AT472" s="473">
        <f>SUM(AT469:AT471)</f>
        <v>149079.94999999998</v>
      </c>
      <c r="AU472" s="473">
        <f>SUM(AU469:AU471)</f>
        <v>43838.53</v>
      </c>
      <c r="AV472" s="473">
        <f>SUM(AV469:AV471)</f>
        <v>149079.94999999998</v>
      </c>
      <c r="AW472" s="473">
        <f>SUM(AW469:AW471)</f>
        <v>0</v>
      </c>
      <c r="AX472" s="473">
        <f>SUM(AX469:AX471)</f>
        <v>43838.53</v>
      </c>
      <c r="AY472" s="473">
        <f>SUM(AY469:AY471)</f>
        <v>149079.94999999998</v>
      </c>
      <c r="AZ472" s="473">
        <f>SUM(AZ469:AZ471)</f>
        <v>0</v>
      </c>
      <c r="BA472" s="473">
        <f>SUM(BA469:BA471)</f>
        <v>43838.53</v>
      </c>
    </row>
    <row r="473" spans="42:53" x14ac:dyDescent="0.3">
      <c r="AQ473" t="s">
        <v>1161</v>
      </c>
      <c r="AS473" s="462"/>
      <c r="AT473" s="462">
        <f>SUMIF(CN2:CN391,AQ473,CL2:CL391)</f>
        <v>158090.68</v>
      </c>
      <c r="AU473" s="462">
        <f>SUMIF(CN2:CN391,AQ473,CM2:CM391)</f>
        <v>40198.57</v>
      </c>
      <c r="AV473" s="462">
        <f>SUMIF(CN2:CN391,AQ473,CL2:CL391)</f>
        <v>158090.68</v>
      </c>
      <c r="AW473" s="462">
        <v>0</v>
      </c>
      <c r="AX473" s="462">
        <f>SUMIF(CN2:CN391,AQ473,CM2:CM391)</f>
        <v>40198.57</v>
      </c>
      <c r="AY473" s="462">
        <f>SUMIF(CN2:CN391,AQ473,CL2:CL391)</f>
        <v>158090.68</v>
      </c>
      <c r="AZ473" s="462">
        <v>0</v>
      </c>
      <c r="BA473" s="462">
        <f>SUMIF(CN2:CN391,AQ473,CM2:CM391)</f>
        <v>40198.57</v>
      </c>
    </row>
    <row r="474" spans="42:53" x14ac:dyDescent="0.3">
      <c r="AP474" t="s">
        <v>1189</v>
      </c>
      <c r="AS474" s="473"/>
      <c r="AT474" s="473">
        <f>SUM(AT473:AT473)</f>
        <v>158090.68</v>
      </c>
      <c r="AU474" s="473">
        <f>SUM(AU473:AU473)</f>
        <v>40198.57</v>
      </c>
      <c r="AV474" s="473">
        <f>SUM(AV473:AV473)</f>
        <v>158090.68</v>
      </c>
      <c r="AW474" s="473">
        <f>SUM(AW473:AW473)</f>
        <v>0</v>
      </c>
      <c r="AX474" s="473">
        <f>SUM(AX473:AX473)</f>
        <v>40198.57</v>
      </c>
      <c r="AY474" s="473">
        <f>SUM(AY473:AY473)</f>
        <v>158090.68</v>
      </c>
      <c r="AZ474" s="473">
        <f>SUM(AZ473:AZ473)</f>
        <v>0</v>
      </c>
      <c r="BA474" s="473">
        <f>SUM(BA473:BA473)</f>
        <v>40198.57</v>
      </c>
    </row>
    <row r="475" spans="42:53" x14ac:dyDescent="0.3">
      <c r="AQ475" t="s">
        <v>1190</v>
      </c>
      <c r="AS475" s="462"/>
      <c r="AT475" s="462">
        <f>SUMIF(CN2:CN391,AQ475,CL2:CL391)</f>
        <v>449427.45</v>
      </c>
      <c r="AU475" s="462">
        <f>SUMIF(CN2:CN391,AQ475,CM2:CM391)</f>
        <v>59231.729999999996</v>
      </c>
      <c r="AV475" s="462">
        <f>SUMIF(CN2:CN391,AQ475,CL2:CL391)</f>
        <v>449427.45</v>
      </c>
      <c r="AW475" s="462">
        <v>0</v>
      </c>
      <c r="AX475" s="462">
        <f>SUMIF(CN2:CN391,AQ475,CM2:CM391)</f>
        <v>59231.729999999996</v>
      </c>
      <c r="AY475" s="462">
        <f>SUMIF(CN2:CN391,AQ475,CL2:CL391)</f>
        <v>449427.45</v>
      </c>
      <c r="AZ475" s="462">
        <v>0</v>
      </c>
      <c r="BA475" s="462">
        <f>SUMIF(CN2:CN391,AQ475,CM2:CM391)</f>
        <v>59231.729999999996</v>
      </c>
    </row>
    <row r="476" spans="42:53" x14ac:dyDescent="0.3">
      <c r="AP476" t="s">
        <v>1191</v>
      </c>
      <c r="AS476" s="473"/>
      <c r="AT476" s="473">
        <f>SUM(AT475:AT475)</f>
        <v>449427.45</v>
      </c>
      <c r="AU476" s="473">
        <f>SUM(AU475:AU475)</f>
        <v>59231.729999999996</v>
      </c>
      <c r="AV476" s="473">
        <f>SUM(AV475:AV475)</f>
        <v>449427.45</v>
      </c>
      <c r="AW476" s="473">
        <f>SUM(AW475:AW475)</f>
        <v>0</v>
      </c>
      <c r="AX476" s="473">
        <f>SUM(AX475:AX475)</f>
        <v>59231.729999999996</v>
      </c>
      <c r="AY476" s="473">
        <f>SUM(AY475:AY475)</f>
        <v>449427.45</v>
      </c>
      <c r="AZ476" s="473">
        <f>SUM(AZ475:AZ475)</f>
        <v>0</v>
      </c>
      <c r="BA476" s="473">
        <f>SUM(BA475:BA475)</f>
        <v>59231.729999999996</v>
      </c>
    </row>
    <row r="477" spans="42:53" x14ac:dyDescent="0.3">
      <c r="AQ477" t="s">
        <v>1192</v>
      </c>
      <c r="AS477" s="462"/>
      <c r="AT477" s="462">
        <f>SUMIF(CN2:CN391,AQ477,CL2:CL391)</f>
        <v>52931.49</v>
      </c>
      <c r="AU477" s="462">
        <f>SUMIF(CN2:CN391,AQ477,CM2:CM391)</f>
        <v>7195.6900000000005</v>
      </c>
      <c r="AV477" s="462">
        <f>SUMIF(CN2:CN391,AQ477,CL2:CL391)</f>
        <v>52931.49</v>
      </c>
      <c r="AW477" s="462">
        <v>0</v>
      </c>
      <c r="AX477" s="462">
        <f>SUMIF(CN2:CN391,AQ477,CM2:CM391)</f>
        <v>7195.6900000000005</v>
      </c>
      <c r="AY477" s="462">
        <f>SUMIF(CN2:CN391,AQ477,CL2:CL391)</f>
        <v>52931.49</v>
      </c>
      <c r="AZ477" s="462">
        <v>0</v>
      </c>
      <c r="BA477" s="462">
        <f>SUMIF(CN2:CN391,AQ477,CM2:CM391)</f>
        <v>7195.6900000000005</v>
      </c>
    </row>
    <row r="478" spans="42:53" x14ac:dyDescent="0.3">
      <c r="AQ478" t="s">
        <v>1193</v>
      </c>
      <c r="AS478" s="462"/>
      <c r="AT478" s="462">
        <f>SUMIF(CN2:CN391,AQ478,CL2:CL391)</f>
        <v>6906.5</v>
      </c>
      <c r="AU478" s="462">
        <f>SUMIF(CN2:CN391,AQ478,CM2:CM391)</f>
        <v>1087.93</v>
      </c>
      <c r="AV478" s="462">
        <f>SUMIF(CN2:CN391,AQ478,CL2:CL391)</f>
        <v>6906.5</v>
      </c>
      <c r="AW478" s="462">
        <v>0</v>
      </c>
      <c r="AX478" s="462">
        <f>SUMIF(CN2:CN391,AQ478,CM2:CM391)</f>
        <v>1087.93</v>
      </c>
      <c r="AY478" s="462">
        <f>SUMIF(CN2:CN391,AQ478,CL2:CL391)</f>
        <v>6906.5</v>
      </c>
      <c r="AZ478" s="462">
        <v>0</v>
      </c>
      <c r="BA478" s="462">
        <f>SUMIF(CN2:CN391,AQ478,CM2:CM391)</f>
        <v>1087.93</v>
      </c>
    </row>
    <row r="479" spans="42:53" x14ac:dyDescent="0.3">
      <c r="AQ479" t="s">
        <v>1194</v>
      </c>
      <c r="AS479" s="462"/>
      <c r="AT479" s="462">
        <f>SUMIF(CN2:CN391,AQ479,CL2:CL391)</f>
        <v>20196</v>
      </c>
      <c r="AU479" s="462">
        <f>SUMIF(CN2:CN391,AQ479,CM2:CM391)</f>
        <v>3459.71</v>
      </c>
      <c r="AV479" s="462">
        <f>SUMIF(CN2:CN391,AQ479,CL2:CL391)</f>
        <v>20196</v>
      </c>
      <c r="AW479" s="462">
        <v>0</v>
      </c>
      <c r="AX479" s="462">
        <f>SUMIF(CN2:CN391,AQ479,CM2:CM391)</f>
        <v>3459.71</v>
      </c>
      <c r="AY479" s="462">
        <f>SUMIF(CN2:CN391,AQ479,CL2:CL391)</f>
        <v>20196</v>
      </c>
      <c r="AZ479" s="462">
        <v>0</v>
      </c>
      <c r="BA479" s="462">
        <f>SUMIF(CN2:CN391,AQ479,CM2:CM391)</f>
        <v>3459.71</v>
      </c>
    </row>
    <row r="480" spans="42:53" x14ac:dyDescent="0.3">
      <c r="AP480" t="s">
        <v>1195</v>
      </c>
      <c r="AS480" s="473"/>
      <c r="AT480" s="473">
        <f>SUM(AT477:AT479)</f>
        <v>80033.989999999991</v>
      </c>
      <c r="AU480" s="473">
        <f>SUM(AU477:AU479)</f>
        <v>11743.330000000002</v>
      </c>
      <c r="AV480" s="473">
        <f>SUM(AV477:AV479)</f>
        <v>80033.989999999991</v>
      </c>
      <c r="AW480" s="473">
        <f>SUM(AW477:AW479)</f>
        <v>0</v>
      </c>
      <c r="AX480" s="473">
        <f>SUM(AX477:AX479)</f>
        <v>11743.330000000002</v>
      </c>
      <c r="AY480" s="473">
        <f>SUM(AY477:AY479)</f>
        <v>80033.989999999991</v>
      </c>
      <c r="AZ480" s="473">
        <f>SUM(AZ477:AZ479)</f>
        <v>0</v>
      </c>
      <c r="BA480" s="473">
        <f>SUM(BA477:BA479)</f>
        <v>11743.330000000002</v>
      </c>
    </row>
    <row r="481" spans="41:527" x14ac:dyDescent="0.3">
      <c r="AS481" s="462"/>
      <c r="AT481" s="462"/>
      <c r="AU481" s="462"/>
      <c r="AV481" s="462"/>
      <c r="AW481" s="462"/>
      <c r="AX481" s="462"/>
      <c r="AY481" s="462"/>
      <c r="AZ481" s="462"/>
      <c r="BA481" s="462"/>
    </row>
    <row r="482" spans="41:527" x14ac:dyDescent="0.3">
      <c r="AO482" s="471" t="s">
        <v>1198</v>
      </c>
      <c r="AS482" s="474">
        <f>SUM(AS466,AS468,AS472,AS474,AS476,AS480)</f>
        <v>0</v>
      </c>
      <c r="AT482" s="474">
        <f>SUM(AT466,AT468,AT472,AT474,AT476,AT480)</f>
        <v>1958447.4599999997</v>
      </c>
      <c r="AU482" s="474">
        <f>SUM(AU466,AU468,AU472,AU474,AU476,AU480)</f>
        <v>334591.67000000004</v>
      </c>
      <c r="AV482" s="474">
        <f>SUM(AV466,AV468,AV472,AV474,AV476,AV480)</f>
        <v>1958447.4599999997</v>
      </c>
      <c r="AW482" s="474">
        <f>SUM(AW466,AW468,AW472,AW474,AW476,AW480)</f>
        <v>0</v>
      </c>
      <c r="AX482" s="474">
        <f>SUM(AX466,AX468,AX472,AX474,AX476,AX480)</f>
        <v>334591.67000000004</v>
      </c>
      <c r="AY482" s="474">
        <f>SUM(AY466,AY468,AY472,AY474,AY476,AY480)</f>
        <v>1958447.4599999997</v>
      </c>
      <c r="AZ482" s="474">
        <f>SUM(AZ466,AZ468,AZ472,AZ474,AZ476,AZ480)</f>
        <v>0</v>
      </c>
      <c r="BA482" s="474">
        <f>SUM(BA466,BA468,BA472,BA474,BA476,BA480)</f>
        <v>334591.67000000004</v>
      </c>
      <c r="SM482" s="467"/>
      <c r="TG482" s="467"/>
    </row>
    <row r="483" spans="41:527" x14ac:dyDescent="0.3">
      <c r="AS483" s="462"/>
      <c r="AT483" s="462"/>
      <c r="AU483" s="462"/>
      <c r="AV483" s="462"/>
      <c r="AW483" s="462"/>
      <c r="AX483" s="462"/>
      <c r="AY483" s="462"/>
      <c r="AZ483" s="462"/>
      <c r="BA483" s="462"/>
    </row>
    <row r="484" spans="41:527" x14ac:dyDescent="0.3">
      <c r="AO484" s="472" t="s">
        <v>1199</v>
      </c>
      <c r="AS484" s="475">
        <f>SUM(AS462,AS482)</f>
        <v>146.77500000000001</v>
      </c>
      <c r="AT484" s="476">
        <f>SUM(AT462,AT482)</f>
        <v>8877143.8299999982</v>
      </c>
      <c r="AU484" s="476">
        <f>SUM(AU462,AU482)</f>
        <v>3569586.77</v>
      </c>
      <c r="AV484" s="476">
        <f>SUM(AV462,AV482)</f>
        <v>8957722.8599999994</v>
      </c>
      <c r="AW484" s="476">
        <f>SUM(AW462,AW482)</f>
        <v>1738180</v>
      </c>
      <c r="AX484" s="476">
        <f>SUM(AX462,AX482)</f>
        <v>1998850.0073380005</v>
      </c>
      <c r="AY484" s="476">
        <f>SUM(AY462,AY482)</f>
        <v>8957722.8599999994</v>
      </c>
      <c r="AZ484" s="476">
        <f>SUM(AZ462,AZ482)</f>
        <v>1738180</v>
      </c>
      <c r="BA484" s="476">
        <f>SUM(BA462,BA482)</f>
        <v>2019464.1059979997</v>
      </c>
    </row>
  </sheetData>
  <mergeCells count="5">
    <mergeCell ref="AT435:AU435"/>
    <mergeCell ref="AV435:AV436"/>
    <mergeCell ref="AW435:AX435"/>
    <mergeCell ref="AY435:AY436"/>
    <mergeCell ref="AZ435:BA435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3"/>
      <c r="B1" s="383"/>
      <c r="C1" s="383"/>
      <c r="D1" s="383"/>
      <c r="E1" s="383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2.69E-2</v>
      </c>
      <c r="D8" s="234">
        <v>3.4700000000000002E-2</v>
      </c>
      <c r="E8" s="314">
        <f t="shared" si="0"/>
        <v>7.8000000000000014E-3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0.11856999999999999</v>
      </c>
      <c r="D12" s="234">
        <f>SUM(D5:D11)</f>
        <v>0.12146999999999998</v>
      </c>
      <c r="E12" s="315">
        <f>D12-C12</f>
        <v>2.8999999999999859E-3</v>
      </c>
      <c r="M12" s="320"/>
    </row>
    <row r="13" spans="1:15" x14ac:dyDescent="0.35">
      <c r="A13" s="3"/>
      <c r="B13" s="231" t="s">
        <v>9</v>
      </c>
      <c r="C13" s="226">
        <f>SUM(C5:C8)</f>
        <v>0.10830000000000001</v>
      </c>
      <c r="D13" s="226">
        <f>SUM(D5:D8)</f>
        <v>0.11119999999999999</v>
      </c>
      <c r="E13" s="313">
        <f t="shared" si="0"/>
        <v>2.8999999999999859E-3</v>
      </c>
      <c r="F13" s="8"/>
    </row>
    <row r="14" spans="1:15" x14ac:dyDescent="0.35">
      <c r="A14" s="230"/>
      <c r="B14" s="232" t="s">
        <v>102</v>
      </c>
      <c r="C14" s="226">
        <f>SUM(C5:C6,C8:C9)</f>
        <v>0.11060999999999999</v>
      </c>
      <c r="D14" s="226">
        <f>SUM(D5:D6,D8:D9)</f>
        <v>0.11840999999999999</v>
      </c>
      <c r="E14" s="313">
        <f>D14-C14</f>
        <v>7.8000000000000014E-3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4" t="s">
        <v>110</v>
      </c>
      <c r="B28" s="384"/>
      <c r="C28" s="384"/>
      <c r="D28" s="384"/>
      <c r="E28" s="384"/>
    </row>
    <row r="29" spans="1:11" x14ac:dyDescent="0.35">
      <c r="A29" s="384" t="s">
        <v>111</v>
      </c>
      <c r="B29" s="384"/>
      <c r="C29" s="384"/>
      <c r="D29" s="384"/>
      <c r="E29" s="384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0"/>
      <c r="N1" s="401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2"/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0"/>
      <c r="N3" s="401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/>
      <c r="J5" s="404"/>
      <c r="K5" s="404"/>
      <c r="L5" s="403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7" t="s">
        <v>22</v>
      </c>
      <c r="D8" s="388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7" priority="5">
      <formula>$J$44&lt;0</formula>
    </cfRule>
  </conditionalFormatting>
  <conditionalFormatting sqref="K43">
    <cfRule type="expression" dxfId="16" priority="4">
      <formula>$J$43&lt;0</formula>
    </cfRule>
  </conditionalFormatting>
  <conditionalFormatting sqref="L16">
    <cfRule type="expression" dxfId="15" priority="3">
      <formula>$J$16&lt;0</formula>
    </cfRule>
  </conditionalFormatting>
  <conditionalFormatting sqref="K45">
    <cfRule type="expression" dxfId="14" priority="2">
      <formula>$J$44&lt;0</formula>
    </cfRule>
  </conditionalFormatting>
  <conditionalFormatting sqref="K43:N45">
    <cfRule type="containsText" dxfId="1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42"/>
  <sheetViews>
    <sheetView topLeftCell="A126" workbookViewId="0">
      <selection activeCell="A134" sqref="A134:L142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70" t="s">
        <v>1097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66.599999999999994" x14ac:dyDescent="0.3">
      <c r="A2" s="387" t="s">
        <v>22</v>
      </c>
      <c r="B2" s="388"/>
      <c r="C2" s="370" t="s">
        <v>23</v>
      </c>
      <c r="D2" s="49" t="s">
        <v>24</v>
      </c>
      <c r="E2" s="50" t="str">
        <f>"FY "&amp;'PRAA|0001-00'!FiscalYear-1&amp;" SALARY"</f>
        <v>FY 2022 SALARY</v>
      </c>
      <c r="F2" s="50" t="str">
        <f>"FY "&amp;'PRAA|0001-00'!FiscalYear-1&amp;" HEALTH BENEFITS"</f>
        <v>FY 2022 HEALTH BENEFITS</v>
      </c>
      <c r="G2" s="50" t="str">
        <f>"FY "&amp;'PRAA|0001-00'!FiscalYear-1&amp;" VAR BENEFITS"</f>
        <v>FY 2022 VAR BENEFITS</v>
      </c>
      <c r="H2" s="50" t="str">
        <f>"FY "&amp;'PRAA|0001-00'!FiscalYear-1&amp;" TOTAL"</f>
        <v>FY 2022 TOTAL</v>
      </c>
      <c r="I2" s="50" t="str">
        <f>"FY "&amp;'PRAA|0001-00'!FiscalYear&amp;" SALARY CHANGE"</f>
        <v>FY 2023 SALARY CHANGE</v>
      </c>
      <c r="J2" s="50" t="str">
        <f>"FY "&amp;'PRAA|0001-00'!FiscalYear&amp;" CHG HEALTH BENEFITS"</f>
        <v>FY 2023 CHG HEALTH BENEFITS</v>
      </c>
      <c r="K2" s="50" t="str">
        <f>"FY "&amp;'PRAA|0001-00'!FiscalYear&amp;" CHG VAR BENEFITS"</f>
        <v>FY 2023 CHG VAR BENEFITS</v>
      </c>
      <c r="L2" s="50" t="s">
        <v>25</v>
      </c>
    </row>
    <row r="3" spans="1:12" x14ac:dyDescent="0.3">
      <c r="A3" s="389" t="s">
        <v>26</v>
      </c>
      <c r="B3" s="390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5" t="s">
        <v>27</v>
      </c>
      <c r="B4" s="391"/>
      <c r="C4" s="217">
        <v>1</v>
      </c>
      <c r="D4" s="288">
        <f>[0]!PRAA000100col_INC_FTI</f>
        <v>4.7</v>
      </c>
      <c r="E4" s="218">
        <f>[0]!PRAA000100col_FTI_SALARY_PERM</f>
        <v>277671.67999999999</v>
      </c>
      <c r="F4" s="218">
        <f>[0]!PRAA000100col_HEALTH_PERM</f>
        <v>54755</v>
      </c>
      <c r="G4" s="218">
        <f>[0]!PRAA000100col_TOT_VB_PERM</f>
        <v>66077.529689600007</v>
      </c>
      <c r="H4" s="219">
        <f>SUM(E4:G4)</f>
        <v>398504.20968959999</v>
      </c>
      <c r="I4" s="219">
        <f>[0]!PRAA000100col_1_27TH_PP</f>
        <v>0</v>
      </c>
      <c r="J4" s="218">
        <f>[0]!PRAA000100col_HEALTH_PERM_CHG</f>
        <v>0</v>
      </c>
      <c r="K4" s="218">
        <f>[0]!PRAA000100col_TOT_VB_PERM_CHG</f>
        <v>805.24787200000048</v>
      </c>
      <c r="L4" s="218">
        <f>SUM(J4:K4)</f>
        <v>805.24787200000048</v>
      </c>
    </row>
    <row r="5" spans="1:12" x14ac:dyDescent="0.3">
      <c r="A5" s="385" t="s">
        <v>28</v>
      </c>
      <c r="B5" s="391"/>
      <c r="C5" s="217">
        <v>2</v>
      </c>
      <c r="D5" s="288"/>
      <c r="E5" s="218">
        <f>[0]!PRAA000100col_Group_Salary</f>
        <v>10095</v>
      </c>
      <c r="F5" s="218">
        <v>0</v>
      </c>
      <c r="G5" s="218">
        <f>[0]!PRAA000100col_Group_Ben</f>
        <v>2201.4499999999998</v>
      </c>
      <c r="H5" s="219">
        <f>SUM(E5:G5)</f>
        <v>12296.45</v>
      </c>
      <c r="I5" s="268"/>
      <c r="J5" s="218"/>
      <c r="K5" s="218"/>
      <c r="L5" s="218"/>
    </row>
    <row r="6" spans="1:12" x14ac:dyDescent="0.3">
      <c r="A6" s="385" t="s">
        <v>29</v>
      </c>
      <c r="B6" s="386"/>
      <c r="C6" s="217">
        <v>3</v>
      </c>
      <c r="D6" s="288">
        <f>[0]!PRAA000100col_TOTAL_ELECT_PCN_FTI</f>
        <v>0</v>
      </c>
      <c r="E6" s="218">
        <f>[0]!PRAA000100col_FTI_SALARY_ELECT</f>
        <v>0</v>
      </c>
      <c r="F6" s="218">
        <f>[0]!PRAA000100col_HEALTH_ELECT</f>
        <v>0</v>
      </c>
      <c r="G6" s="218">
        <f>[0]!PRAA000100col_TOT_VB_ELECT</f>
        <v>0</v>
      </c>
      <c r="H6" s="219">
        <f>SUM(E6:G6)</f>
        <v>0</v>
      </c>
      <c r="I6" s="268"/>
      <c r="J6" s="218">
        <f>[0]!PRAA000100col_HEALTH_ELECT_CHG</f>
        <v>0</v>
      </c>
      <c r="K6" s="218">
        <f>[0]!PRAA000100col_TOT_VB_ELECT_CHG</f>
        <v>0</v>
      </c>
      <c r="L6" s="219">
        <f>SUM(J6:K6)</f>
        <v>0</v>
      </c>
    </row>
    <row r="7" spans="1:12" x14ac:dyDescent="0.3">
      <c r="A7" s="385" t="s">
        <v>30</v>
      </c>
      <c r="B7" s="391"/>
      <c r="C7" s="217"/>
      <c r="D7" s="220">
        <f>SUM(D4:D6)</f>
        <v>4.7</v>
      </c>
      <c r="E7" s="221">
        <f>SUM(E4:E6)</f>
        <v>287766.68</v>
      </c>
      <c r="F7" s="221">
        <f>SUM(F4:F6)</f>
        <v>54755</v>
      </c>
      <c r="G7" s="221">
        <f>SUM(G4:G6)</f>
        <v>68278.979689600004</v>
      </c>
      <c r="H7" s="219">
        <f>SUM(E7:G7)</f>
        <v>410800.6596896</v>
      </c>
      <c r="I7" s="268"/>
      <c r="J7" s="219">
        <f>SUM(J4:J6)</f>
        <v>0</v>
      </c>
      <c r="K7" s="219">
        <f>SUM(K4:K6)</f>
        <v>805.24787200000048</v>
      </c>
      <c r="L7" s="219">
        <f>SUM(L4:L6)</f>
        <v>805.24787200000048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"&amp;'PRAA|0001-00'!FiscalYear-1</f>
        <v>FY 2022</v>
      </c>
      <c r="B9" s="158" t="s">
        <v>31</v>
      </c>
      <c r="C9" s="355">
        <v>399200</v>
      </c>
      <c r="D9" s="55">
        <v>4.7</v>
      </c>
      <c r="E9" s="223">
        <f>IF('PRAA|0001-00'!OrigApprop=0,0,(E7/H7)*'PRAA|0001-00'!OrigApprop)</f>
        <v>279640.39479099272</v>
      </c>
      <c r="F9" s="223">
        <f>IF('PRAA|0001-00'!OrigApprop=0,0,(F7/H7)*'PRAA|0001-00'!OrigApprop)</f>
        <v>53208.765576267571</v>
      </c>
      <c r="G9" s="223">
        <f>IF(E9=0,0,(G7/H7)*'PRAA|0001-00'!OrigApprop)</f>
        <v>66350.839632739691</v>
      </c>
      <c r="H9" s="223">
        <f>SUM(E9:G9)</f>
        <v>399200</v>
      </c>
      <c r="I9" s="268"/>
      <c r="J9" s="224"/>
      <c r="K9" s="224"/>
      <c r="L9" s="224"/>
    </row>
    <row r="10" spans="1:12" x14ac:dyDescent="0.3">
      <c r="A10" s="392" t="s">
        <v>32</v>
      </c>
      <c r="B10" s="393"/>
      <c r="C10" s="160" t="s">
        <v>33</v>
      </c>
      <c r="D10" s="161">
        <f>D9-D7</f>
        <v>0</v>
      </c>
      <c r="E10" s="162">
        <f>E9-E7</f>
        <v>-8126.2852090072702</v>
      </c>
      <c r="F10" s="162">
        <f>F9-F7</f>
        <v>-1546.2344237324287</v>
      </c>
      <c r="G10" s="162">
        <f>G9-G7</f>
        <v>-1928.1400568603131</v>
      </c>
      <c r="H10" s="162">
        <f>H9-H7</f>
        <v>-11600.659689599997</v>
      </c>
      <c r="I10" s="269"/>
      <c r="J10" s="56" t="str">
        <f>IF('PRAA|0001-00'!OrigApprop=0,"ERROR! Enter Original Appropriation amount in DU 3.00!","Calculated "&amp;IF('PRAA|0001-00'!AdjustedTotal&gt;0,"overfunding ","underfunding ")&amp;"is "&amp;TEXT('PRAA|0001-00'!AdjustedTotal/'PRAA|0001-00'!AppropTotal,"#.0%;(#.0% );0% ;")&amp;" of Original Appropriation")</f>
        <v>Calculated underfunding is (2.9% ) of Original Appropriation</v>
      </c>
      <c r="K10" s="163"/>
      <c r="L10" s="164"/>
    </row>
    <row r="12" spans="1:12" x14ac:dyDescent="0.3">
      <c r="A12" s="470" t="s">
        <v>1103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</row>
    <row r="13" spans="1:12" ht="40.200000000000003" x14ac:dyDescent="0.3">
      <c r="A13" s="387" t="s">
        <v>22</v>
      </c>
      <c r="B13" s="388"/>
      <c r="C13" s="370" t="s">
        <v>23</v>
      </c>
      <c r="D13" s="49" t="s">
        <v>24</v>
      </c>
      <c r="E13" s="50" t="str">
        <f>"FY "&amp;'PRAA|0125-00'!FiscalYear-1&amp;" SALARY"</f>
        <v>FY 2022 SALARY</v>
      </c>
      <c r="F13" s="50" t="str">
        <f>"FY "&amp;'PRAA|0125-00'!FiscalYear-1&amp;" HEALTH BENEFITS"</f>
        <v>FY 2022 HEALTH BENEFITS</v>
      </c>
      <c r="G13" s="50" t="str">
        <f>"FY "&amp;'PRAA|0125-00'!FiscalYear-1&amp;" VAR BENEFITS"</f>
        <v>FY 2022 VAR BENEFITS</v>
      </c>
      <c r="H13" s="50" t="str">
        <f>"FY "&amp;'PRAA|0125-00'!FiscalYear-1&amp;" TOTAL"</f>
        <v>FY 2022 TOTAL</v>
      </c>
      <c r="I13" s="50" t="str">
        <f>"FY "&amp;'PRAA|0125-00'!FiscalYear&amp;" SALARY CHANGE"</f>
        <v>FY 2023 SALARY CHANGE</v>
      </c>
      <c r="J13" s="50" t="str">
        <f>"FY "&amp;'PRAA|0125-00'!FiscalYear&amp;" CHG HEALTH BENEFITS"</f>
        <v>FY 2023 CHG HEALTH BENEFITS</v>
      </c>
      <c r="K13" s="50" t="str">
        <f>"FY "&amp;'PRAA|0125-00'!FiscalYear&amp;" CHG VAR BENEFITS"</f>
        <v>FY 2023 CHG VAR BENEFITS</v>
      </c>
      <c r="L13" s="50" t="s">
        <v>25</v>
      </c>
    </row>
    <row r="14" spans="1:12" x14ac:dyDescent="0.3">
      <c r="A14" s="389" t="s">
        <v>26</v>
      </c>
      <c r="B14" s="390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">
      <c r="A15" s="385" t="s">
        <v>27</v>
      </c>
      <c r="B15" s="391"/>
      <c r="C15" s="217">
        <v>1</v>
      </c>
      <c r="D15" s="288">
        <f>[0]!PRAA012500col_INC_FTI</f>
        <v>3.5475000000000003</v>
      </c>
      <c r="E15" s="218">
        <f>[0]!PRAA012500col_FTI_SALARY_PERM</f>
        <v>167438.44</v>
      </c>
      <c r="F15" s="218">
        <f>[0]!PRAA012500col_HEALTH_PERM</f>
        <v>42289.5</v>
      </c>
      <c r="G15" s="218">
        <f>[0]!PRAA012500col_TOT_VB_PERM</f>
        <v>39845.325566800006</v>
      </c>
      <c r="H15" s="219">
        <f>SUM(E15:G15)</f>
        <v>249573.26556680002</v>
      </c>
      <c r="I15" s="219">
        <f>[0]!PRAA012500col_1_27TH_PP</f>
        <v>0</v>
      </c>
      <c r="J15" s="218">
        <f>[0]!PRAA012500col_HEALTH_PERM_CHG</f>
        <v>0</v>
      </c>
      <c r="K15" s="218">
        <f>[0]!PRAA012500col_TOT_VB_PERM_CHG</f>
        <v>485.5714760000003</v>
      </c>
      <c r="L15" s="218">
        <f>SUM(J15:K15)</f>
        <v>485.5714760000003</v>
      </c>
    </row>
    <row r="16" spans="1:12" x14ac:dyDescent="0.3">
      <c r="A16" s="385" t="s">
        <v>28</v>
      </c>
      <c r="B16" s="391"/>
      <c r="C16" s="217">
        <v>2</v>
      </c>
      <c r="D16" s="288"/>
      <c r="E16" s="218">
        <f>[0]!PRAA012500col_Group_Salary</f>
        <v>0</v>
      </c>
      <c r="F16" s="218">
        <v>0</v>
      </c>
      <c r="G16" s="218">
        <f>[0]!PRAA012500col_Group_Ben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3">
      <c r="A17" s="385" t="s">
        <v>29</v>
      </c>
      <c r="B17" s="386"/>
      <c r="C17" s="217">
        <v>3</v>
      </c>
      <c r="D17" s="288">
        <f>[0]!PRAA012500col_TOTAL_ELECT_PCN_FTI</f>
        <v>0</v>
      </c>
      <c r="E17" s="218">
        <f>[0]!PRAA012500col_FTI_SALARY_ELECT</f>
        <v>0</v>
      </c>
      <c r="F17" s="218">
        <f>[0]!PRAA012500col_HEALTH_ELECT</f>
        <v>0</v>
      </c>
      <c r="G17" s="218">
        <f>[0]!PRAA012500col_TOT_VB_ELECT</f>
        <v>0</v>
      </c>
      <c r="H17" s="219">
        <f>SUM(E17:G17)</f>
        <v>0</v>
      </c>
      <c r="I17" s="268"/>
      <c r="J17" s="218">
        <f>[0]!PRAA012500col_HEALTH_ELECT_CHG</f>
        <v>0</v>
      </c>
      <c r="K17" s="218">
        <f>[0]!PRAA012500col_TOT_VB_ELECT_CHG</f>
        <v>0</v>
      </c>
      <c r="L17" s="219">
        <f>SUM(J17:K17)</f>
        <v>0</v>
      </c>
    </row>
    <row r="18" spans="1:12" x14ac:dyDescent="0.3">
      <c r="A18" s="385" t="s">
        <v>30</v>
      </c>
      <c r="B18" s="391"/>
      <c r="C18" s="217"/>
      <c r="D18" s="220">
        <f>SUM(D15:D17)</f>
        <v>3.5475000000000003</v>
      </c>
      <c r="E18" s="221">
        <f>SUM(E15:E17)</f>
        <v>167438.44</v>
      </c>
      <c r="F18" s="221">
        <f>SUM(F15:F17)</f>
        <v>42289.5</v>
      </c>
      <c r="G18" s="221">
        <f>SUM(G15:G17)</f>
        <v>39845.325566800006</v>
      </c>
      <c r="H18" s="219">
        <f>SUM(E18:G18)</f>
        <v>249573.26556680002</v>
      </c>
      <c r="I18" s="268"/>
      <c r="J18" s="219">
        <f>SUM(J15:J17)</f>
        <v>0</v>
      </c>
      <c r="K18" s="219">
        <f>SUM(K15:K17)</f>
        <v>485.5714760000003</v>
      </c>
      <c r="L18" s="219">
        <f>SUM(L15:L17)</f>
        <v>485.5714760000003</v>
      </c>
    </row>
    <row r="19" spans="1:12" x14ac:dyDescent="0.3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">
      <c r="A20" s="157" t="str">
        <f>"FY "&amp;'PRAA|0125-00'!FiscalYear-1</f>
        <v>FY 2022</v>
      </c>
      <c r="B20" s="158" t="s">
        <v>31</v>
      </c>
      <c r="C20" s="355">
        <v>259000</v>
      </c>
      <c r="D20" s="55">
        <v>3.55</v>
      </c>
      <c r="E20" s="223">
        <f>IF('PRAA|0125-00'!OrigApprop=0,0,(E18/H18)*'PRAA|0125-00'!OrigApprop)</f>
        <v>173762.82616453822</v>
      </c>
      <c r="F20" s="223">
        <f>IF('PRAA|0125-00'!OrigApprop=0,0,(F18/H18)*'PRAA|0125-00'!OrigApprop)</f>
        <v>43886.834093086618</v>
      </c>
      <c r="G20" s="223">
        <f>IF(E20=0,0,(G18/H18)*'PRAA|0125-00'!OrigApprop)</f>
        <v>41350.339742375159</v>
      </c>
      <c r="H20" s="223">
        <f>SUM(E20:G20)</f>
        <v>259000</v>
      </c>
      <c r="I20" s="268"/>
      <c r="J20" s="224"/>
      <c r="K20" s="224"/>
      <c r="L20" s="224"/>
    </row>
    <row r="21" spans="1:12" x14ac:dyDescent="0.3">
      <c r="A21" s="392" t="s">
        <v>32</v>
      </c>
      <c r="B21" s="393"/>
      <c r="C21" s="160" t="s">
        <v>33</v>
      </c>
      <c r="D21" s="161">
        <f>D20-D18</f>
        <v>2.4999999999995026E-3</v>
      </c>
      <c r="E21" s="162">
        <f>E20-E18</f>
        <v>6324.3861645382131</v>
      </c>
      <c r="F21" s="162">
        <f>F20-F18</f>
        <v>1597.3340930866179</v>
      </c>
      <c r="G21" s="162">
        <f>G20-G18</f>
        <v>1505.0141755751538</v>
      </c>
      <c r="H21" s="162">
        <f>H20-H18</f>
        <v>9426.7344331999775</v>
      </c>
      <c r="I21" s="269"/>
      <c r="J21" s="56" t="str">
        <f>IF('PRAA|0125-00'!OrigApprop=0,"ERROR! Enter Original Appropriation amount in DU 3.00!","Calculated "&amp;IF('PRAA|0125-00'!AdjustedTotal&gt;0,"overfunding ","underfunding ")&amp;"is "&amp;TEXT('PRAA|0125-00'!AdjustedTotal/'PRAA|0125-00'!AppropTotal,"#.0%;(#.0% );0% ;")&amp;" of Original Appropriation")</f>
        <v>Calculated overfunding is 3.6% of Original Appropriation</v>
      </c>
      <c r="K21" s="163"/>
      <c r="L21" s="164"/>
    </row>
    <row r="23" spans="1:12" x14ac:dyDescent="0.3">
      <c r="A23" s="470" t="s">
        <v>1110</v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</row>
    <row r="24" spans="1:12" ht="40.200000000000003" x14ac:dyDescent="0.3">
      <c r="A24" s="387" t="s">
        <v>22</v>
      </c>
      <c r="B24" s="388"/>
      <c r="C24" s="370" t="s">
        <v>23</v>
      </c>
      <c r="D24" s="49" t="s">
        <v>24</v>
      </c>
      <c r="E24" s="50" t="str">
        <f>"FY "&amp;'PRAA|0243-00'!FiscalYear-1&amp;" SALARY"</f>
        <v>FY 2022 SALARY</v>
      </c>
      <c r="F24" s="50" t="str">
        <f>"FY "&amp;'PRAA|0243-00'!FiscalYear-1&amp;" HEALTH BENEFITS"</f>
        <v>FY 2022 HEALTH BENEFITS</v>
      </c>
      <c r="G24" s="50" t="str">
        <f>"FY "&amp;'PRAA|0243-00'!FiscalYear-1&amp;" VAR BENEFITS"</f>
        <v>FY 2022 VAR BENEFITS</v>
      </c>
      <c r="H24" s="50" t="str">
        <f>"FY "&amp;'PRAA|0243-00'!FiscalYear-1&amp;" TOTAL"</f>
        <v>FY 2022 TOTAL</v>
      </c>
      <c r="I24" s="50" t="str">
        <f>"FY "&amp;'PRAA|0243-00'!FiscalYear&amp;" SALARY CHANGE"</f>
        <v>FY 2023 SALARY CHANGE</v>
      </c>
      <c r="J24" s="50" t="str">
        <f>"FY "&amp;'PRAA|0243-00'!FiscalYear&amp;" CHG HEALTH BENEFITS"</f>
        <v>FY 2023 CHG HEALTH BENEFITS</v>
      </c>
      <c r="K24" s="50" t="str">
        <f>"FY "&amp;'PRAA|0243-00'!FiscalYear&amp;" CHG VAR BENEFITS"</f>
        <v>FY 2023 CHG VAR BENEFITS</v>
      </c>
      <c r="L24" s="50" t="s">
        <v>25</v>
      </c>
    </row>
    <row r="25" spans="1:12" x14ac:dyDescent="0.3">
      <c r="A25" s="389" t="s">
        <v>26</v>
      </c>
      <c r="B25" s="390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3">
      <c r="A26" s="385" t="s">
        <v>27</v>
      </c>
      <c r="B26" s="391"/>
      <c r="C26" s="217">
        <v>1</v>
      </c>
      <c r="D26" s="288">
        <f>[0]!PRAA024300col_INC_FTI</f>
        <v>16.73</v>
      </c>
      <c r="E26" s="218">
        <f>[0]!PRAA024300col_FTI_SALARY_PERM</f>
        <v>829185.76000000013</v>
      </c>
      <c r="F26" s="218">
        <f>[0]!PRAA024300col_HEALTH_PERM</f>
        <v>194904.5</v>
      </c>
      <c r="G26" s="218">
        <f>[0]!PRAA024300col_TOT_VB_PERM</f>
        <v>196529.88195039998</v>
      </c>
      <c r="H26" s="219">
        <f>SUM(E26:G26)</f>
        <v>1220620.1419504001</v>
      </c>
      <c r="I26" s="219">
        <f>[0]!PRAA024300col_1_27TH_PP</f>
        <v>0</v>
      </c>
      <c r="J26" s="218">
        <f>[0]!PRAA024300col_HEALTH_PERM_CHG</f>
        <v>0</v>
      </c>
      <c r="K26" s="218">
        <f>[0]!PRAA024300col_TOT_VB_PERM_CHG</f>
        <v>2594.3587040000016</v>
      </c>
      <c r="L26" s="218">
        <f>SUM(J26:K26)</f>
        <v>2594.3587040000016</v>
      </c>
    </row>
    <row r="27" spans="1:12" x14ac:dyDescent="0.3">
      <c r="A27" s="385" t="s">
        <v>28</v>
      </c>
      <c r="B27" s="391"/>
      <c r="C27" s="217">
        <v>2</v>
      </c>
      <c r="D27" s="288"/>
      <c r="E27" s="218">
        <f>[0]!PRAA024300col_Group_Salary</f>
        <v>6950</v>
      </c>
      <c r="F27" s="218">
        <v>0</v>
      </c>
      <c r="G27" s="218">
        <f>[0]!PRAA024300col_Group_Ben</f>
        <v>1034.68</v>
      </c>
      <c r="H27" s="219">
        <f>SUM(E27:G27)</f>
        <v>7984.68</v>
      </c>
      <c r="I27" s="268"/>
      <c r="J27" s="218"/>
      <c r="K27" s="218"/>
      <c r="L27" s="218"/>
    </row>
    <row r="28" spans="1:12" x14ac:dyDescent="0.3">
      <c r="A28" s="385" t="s">
        <v>29</v>
      </c>
      <c r="B28" s="386"/>
      <c r="C28" s="217">
        <v>3</v>
      </c>
      <c r="D28" s="288">
        <f>[0]!PRAA024300col_TOTAL_ELECT_PCN_FTI</f>
        <v>0</v>
      </c>
      <c r="E28" s="218">
        <f>[0]!PRAA024300col_FTI_SALARY_ELECT</f>
        <v>0</v>
      </c>
      <c r="F28" s="218">
        <f>[0]!PRAA024300col_HEALTH_ELECT</f>
        <v>0</v>
      </c>
      <c r="G28" s="218">
        <f>[0]!PRAA024300col_TOT_VB_ELECT</f>
        <v>0</v>
      </c>
      <c r="H28" s="219">
        <f>SUM(E28:G28)</f>
        <v>0</v>
      </c>
      <c r="I28" s="268"/>
      <c r="J28" s="218">
        <f>[0]!PRAA024300col_HEALTH_ELECT_CHG</f>
        <v>0</v>
      </c>
      <c r="K28" s="218">
        <f>[0]!PRAA024300col_TOT_VB_ELECT_CHG</f>
        <v>0</v>
      </c>
      <c r="L28" s="219">
        <f>SUM(J28:K28)</f>
        <v>0</v>
      </c>
    </row>
    <row r="29" spans="1:12" x14ac:dyDescent="0.3">
      <c r="A29" s="385" t="s">
        <v>30</v>
      </c>
      <c r="B29" s="391"/>
      <c r="C29" s="217"/>
      <c r="D29" s="220">
        <f>SUM(D26:D28)</f>
        <v>16.73</v>
      </c>
      <c r="E29" s="221">
        <f>SUM(E26:E28)</f>
        <v>836135.76000000013</v>
      </c>
      <c r="F29" s="221">
        <f>SUM(F26:F28)</f>
        <v>194904.5</v>
      </c>
      <c r="G29" s="221">
        <f>SUM(G26:G28)</f>
        <v>197564.56195039998</v>
      </c>
      <c r="H29" s="219">
        <f>SUM(E29:G29)</f>
        <v>1228604.8219504</v>
      </c>
      <c r="I29" s="268"/>
      <c r="J29" s="219">
        <f>SUM(J26:J28)</f>
        <v>0</v>
      </c>
      <c r="K29" s="219">
        <f>SUM(K26:K28)</f>
        <v>2594.3587040000016</v>
      </c>
      <c r="L29" s="219">
        <f>SUM(L26:L28)</f>
        <v>2594.3587040000016</v>
      </c>
    </row>
    <row r="30" spans="1:12" x14ac:dyDescent="0.3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3">
      <c r="A31" s="157" t="str">
        <f>"FY "&amp;'PRAA|0243-00'!FiscalYear-1</f>
        <v>FY 2022</v>
      </c>
      <c r="B31" s="158" t="s">
        <v>31</v>
      </c>
      <c r="C31" s="355">
        <v>1402500</v>
      </c>
      <c r="D31" s="55">
        <v>17.8</v>
      </c>
      <c r="E31" s="223">
        <f>IF('PRAA|0243-00'!OrigApprop=0,0,(E29/H29)*'PRAA|0243-00'!OrigApprop)</f>
        <v>954481.36166223057</v>
      </c>
      <c r="F31" s="223">
        <f>IF('PRAA|0243-00'!OrigApprop=0,0,(F29/H29)*'PRAA|0243-00'!OrigApprop)</f>
        <v>222491.03728573481</v>
      </c>
      <c r="G31" s="223">
        <f>IF(E31=0,0,(G29/H29)*'PRAA|0243-00'!OrigApprop)</f>
        <v>225527.6010520347</v>
      </c>
      <c r="H31" s="223">
        <f>SUM(E31:G31)</f>
        <v>1402500</v>
      </c>
      <c r="I31" s="268"/>
      <c r="J31" s="224"/>
      <c r="K31" s="224"/>
      <c r="L31" s="224"/>
    </row>
    <row r="32" spans="1:12" x14ac:dyDescent="0.3">
      <c r="A32" s="392" t="s">
        <v>32</v>
      </c>
      <c r="B32" s="393"/>
      <c r="C32" s="160" t="s">
        <v>33</v>
      </c>
      <c r="D32" s="161">
        <f>D31-D29</f>
        <v>1.0700000000000003</v>
      </c>
      <c r="E32" s="162">
        <f>E31-E29</f>
        <v>118345.60166223045</v>
      </c>
      <c r="F32" s="162">
        <f>F31-F29</f>
        <v>27586.537285734812</v>
      </c>
      <c r="G32" s="162">
        <f>G31-G29</f>
        <v>27963.039101634728</v>
      </c>
      <c r="H32" s="162">
        <f>H31-H29</f>
        <v>173895.17804959998</v>
      </c>
      <c r="I32" s="269"/>
      <c r="J32" s="56" t="str">
        <f>IF('PRAA|0243-00'!OrigApprop=0,"ERROR! Enter Original Appropriation amount in DU 3.00!","Calculated "&amp;IF('PRAA|0243-00'!AdjustedTotal&gt;0,"overfunding ","underfunding ")&amp;"is "&amp;TEXT('PRAA|0243-00'!AdjustedTotal/'PRAA|0243-00'!AppropTotal,"#.0%;(#.0% );0% ;")&amp;" of Original Appropriation")</f>
        <v>Calculated overfunding is 12.4% of Original Appropriation</v>
      </c>
      <c r="K32" s="163"/>
      <c r="L32" s="164"/>
    </row>
    <row r="34" spans="1:12" x14ac:dyDescent="0.3">
      <c r="A34" s="470" t="s">
        <v>1117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</row>
    <row r="35" spans="1:12" ht="40.200000000000003" x14ac:dyDescent="0.3">
      <c r="A35" s="387" t="s">
        <v>22</v>
      </c>
      <c r="B35" s="388"/>
      <c r="C35" s="370" t="s">
        <v>23</v>
      </c>
      <c r="D35" s="49" t="s">
        <v>24</v>
      </c>
      <c r="E35" s="50" t="str">
        <f>"FY "&amp;'PRAA|0247-00'!FiscalYear-1&amp;" SALARY"</f>
        <v>FY 2022 SALARY</v>
      </c>
      <c r="F35" s="50" t="str">
        <f>"FY "&amp;'PRAA|0247-00'!FiscalYear-1&amp;" HEALTH BENEFITS"</f>
        <v>FY 2022 HEALTH BENEFITS</v>
      </c>
      <c r="G35" s="50" t="str">
        <f>"FY "&amp;'PRAA|0247-00'!FiscalYear-1&amp;" VAR BENEFITS"</f>
        <v>FY 2022 VAR BENEFITS</v>
      </c>
      <c r="H35" s="50" t="str">
        <f>"FY "&amp;'PRAA|0247-00'!FiscalYear-1&amp;" TOTAL"</f>
        <v>FY 2022 TOTAL</v>
      </c>
      <c r="I35" s="50" t="str">
        <f>"FY "&amp;'PRAA|0247-00'!FiscalYear&amp;" SALARY CHANGE"</f>
        <v>FY 2023 SALARY CHANGE</v>
      </c>
      <c r="J35" s="50" t="str">
        <f>"FY "&amp;'PRAA|0247-00'!FiscalYear&amp;" CHG HEALTH BENEFITS"</f>
        <v>FY 2023 CHG HEALTH BENEFITS</v>
      </c>
      <c r="K35" s="50" t="str">
        <f>"FY "&amp;'PRAA|0247-00'!FiscalYear&amp;" CHG VAR BENEFITS"</f>
        <v>FY 2023 CHG VAR BENEFITS</v>
      </c>
      <c r="L35" s="50" t="s">
        <v>25</v>
      </c>
    </row>
    <row r="36" spans="1:12" x14ac:dyDescent="0.3">
      <c r="A36" s="389" t="s">
        <v>26</v>
      </c>
      <c r="B36" s="390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3">
      <c r="A37" s="385" t="s">
        <v>27</v>
      </c>
      <c r="B37" s="391"/>
      <c r="C37" s="217">
        <v>1</v>
      </c>
      <c r="D37" s="288">
        <f>[0]!PRAA024700col_INC_FTI</f>
        <v>3.3474999999999993</v>
      </c>
      <c r="E37" s="218">
        <f>[0]!PRAA024700col_FTI_SALARY_PERM</f>
        <v>194210.12</v>
      </c>
      <c r="F37" s="218">
        <f>[0]!PRAA024700col_HEALTH_PERM</f>
        <v>39959.5</v>
      </c>
      <c r="G37" s="218">
        <f>[0]!PRAA024700col_TOT_VB_PERM</f>
        <v>45989.982026000005</v>
      </c>
      <c r="H37" s="219">
        <f>SUM(E37:G37)</f>
        <v>280159.60202599998</v>
      </c>
      <c r="I37" s="219">
        <f>[0]!PRAA024700col_1_27TH_PP</f>
        <v>0</v>
      </c>
      <c r="J37" s="218">
        <f>[0]!PRAA024700col_HEALTH_PERM_CHG</f>
        <v>0</v>
      </c>
      <c r="K37" s="218">
        <f>[0]!PRAA024700col_TOT_VB_PERM_CHG</f>
        <v>658.06934800000045</v>
      </c>
      <c r="L37" s="218">
        <f>SUM(J37:K37)</f>
        <v>658.06934800000045</v>
      </c>
    </row>
    <row r="38" spans="1:12" x14ac:dyDescent="0.3">
      <c r="A38" s="385" t="s">
        <v>28</v>
      </c>
      <c r="B38" s="391"/>
      <c r="C38" s="217">
        <v>2</v>
      </c>
      <c r="D38" s="288"/>
      <c r="E38" s="218">
        <f>[0]!PRAA024700col_Group_Salary</f>
        <v>0</v>
      </c>
      <c r="F38" s="218">
        <v>0</v>
      </c>
      <c r="G38" s="218">
        <f>[0]!PRAA024700col_Group_Ben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3">
      <c r="A39" s="385" t="s">
        <v>29</v>
      </c>
      <c r="B39" s="386"/>
      <c r="C39" s="217">
        <v>3</v>
      </c>
      <c r="D39" s="288">
        <f>[0]!PRAA024700col_TOTAL_ELECT_PCN_FTI</f>
        <v>0</v>
      </c>
      <c r="E39" s="218">
        <f>[0]!PRAA024700col_FTI_SALARY_ELECT</f>
        <v>0</v>
      </c>
      <c r="F39" s="218">
        <f>[0]!PRAA024700col_HEALTH_ELECT</f>
        <v>0</v>
      </c>
      <c r="G39" s="218">
        <f>[0]!PRAA024700col_TOT_VB_ELECT</f>
        <v>0</v>
      </c>
      <c r="H39" s="219">
        <f>SUM(E39:G39)</f>
        <v>0</v>
      </c>
      <c r="I39" s="268"/>
      <c r="J39" s="218">
        <f>[0]!PRAA024700col_HEALTH_ELECT_CHG</f>
        <v>0</v>
      </c>
      <c r="K39" s="218">
        <f>[0]!PRAA024700col_TOT_VB_ELECT_CHG</f>
        <v>0</v>
      </c>
      <c r="L39" s="219">
        <f>SUM(J39:K39)</f>
        <v>0</v>
      </c>
    </row>
    <row r="40" spans="1:12" x14ac:dyDescent="0.3">
      <c r="A40" s="385" t="s">
        <v>30</v>
      </c>
      <c r="B40" s="391"/>
      <c r="C40" s="217"/>
      <c r="D40" s="220">
        <f>SUM(D37:D39)</f>
        <v>3.3474999999999993</v>
      </c>
      <c r="E40" s="221">
        <f>SUM(E37:E39)</f>
        <v>194210.12</v>
      </c>
      <c r="F40" s="221">
        <f>SUM(F37:F39)</f>
        <v>39959.5</v>
      </c>
      <c r="G40" s="221">
        <f>SUM(G37:G39)</f>
        <v>45989.982026000005</v>
      </c>
      <c r="H40" s="219">
        <f>SUM(E40:G40)</f>
        <v>280159.60202599998</v>
      </c>
      <c r="I40" s="268"/>
      <c r="J40" s="219">
        <f>SUM(J37:J39)</f>
        <v>0</v>
      </c>
      <c r="K40" s="219">
        <f>SUM(K37:K39)</f>
        <v>658.06934800000045</v>
      </c>
      <c r="L40" s="219">
        <f>SUM(L37:L39)</f>
        <v>658.06934800000045</v>
      </c>
    </row>
    <row r="41" spans="1:12" x14ac:dyDescent="0.3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3">
      <c r="A42" s="157" t="str">
        <f>"FY "&amp;'PRAA|0247-00'!FiscalYear-1</f>
        <v>FY 2022</v>
      </c>
      <c r="B42" s="158" t="s">
        <v>31</v>
      </c>
      <c r="C42" s="355">
        <v>324100</v>
      </c>
      <c r="D42" s="55">
        <v>3.65</v>
      </c>
      <c r="E42" s="223">
        <f>IF('PRAA|0247-00'!OrigApprop=0,0,(E40/H40)*'PRAA|0247-00'!OrigApprop)</f>
        <v>224670.15028868645</v>
      </c>
      <c r="F42" s="223">
        <f>IF('PRAA|0247-00'!OrigApprop=0,0,(F40/H40)*'PRAA|0247-00'!OrigApprop)</f>
        <v>46226.771655672565</v>
      </c>
      <c r="G42" s="223">
        <f>IF(E42=0,0,(G40/H40)*'PRAA|0247-00'!OrigApprop)</f>
        <v>53203.078055641025</v>
      </c>
      <c r="H42" s="223">
        <f>SUM(E42:G42)</f>
        <v>324100.00000000006</v>
      </c>
      <c r="I42" s="268"/>
      <c r="J42" s="224"/>
      <c r="K42" s="224"/>
      <c r="L42" s="224"/>
    </row>
    <row r="43" spans="1:12" x14ac:dyDescent="0.3">
      <c r="A43" s="392" t="s">
        <v>32</v>
      </c>
      <c r="B43" s="393"/>
      <c r="C43" s="160" t="s">
        <v>33</v>
      </c>
      <c r="D43" s="161">
        <f>D42-D40</f>
        <v>0.30250000000000066</v>
      </c>
      <c r="E43" s="162">
        <f>E42-E40</f>
        <v>30460.030288686452</v>
      </c>
      <c r="F43" s="162">
        <f>F42-F40</f>
        <v>6267.2716556725645</v>
      </c>
      <c r="G43" s="162">
        <f>G42-G40</f>
        <v>7213.0960296410194</v>
      </c>
      <c r="H43" s="162">
        <f>H42-H40</f>
        <v>43940.39797400008</v>
      </c>
      <c r="I43" s="269"/>
      <c r="J43" s="56" t="str">
        <f>IF('PRAA|0247-00'!OrigApprop=0,"ERROR! Enter Original Appropriation amount in DU 3.00!","Calculated "&amp;IF('PRAA|0247-00'!AdjustedTotal&gt;0,"overfunding ","underfunding ")&amp;"is "&amp;TEXT('PRAA|0247-00'!AdjustedTotal/'PRAA|0247-00'!AppropTotal,"#.0%;(#.0% );0% ;")&amp;" of Original Appropriation")</f>
        <v>Calculated overfunding is 13.6% of Original Appropriation</v>
      </c>
      <c r="K43" s="163"/>
      <c r="L43" s="164"/>
    </row>
    <row r="45" spans="1:12" x14ac:dyDescent="0.3">
      <c r="A45" s="470" t="s">
        <v>1124</v>
      </c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</row>
    <row r="46" spans="1:12" ht="40.200000000000003" x14ac:dyDescent="0.3">
      <c r="A46" s="387" t="s">
        <v>22</v>
      </c>
      <c r="B46" s="388"/>
      <c r="C46" s="370" t="s">
        <v>23</v>
      </c>
      <c r="D46" s="49" t="s">
        <v>24</v>
      </c>
      <c r="E46" s="50" t="str">
        <f>"FY "&amp;'PRAB|0250-00'!FiscalYear-1&amp;" SALARY"</f>
        <v>FY 2022 SALARY</v>
      </c>
      <c r="F46" s="50" t="str">
        <f>"FY "&amp;'PRAB|0250-00'!FiscalYear-1&amp;" HEALTH BENEFITS"</f>
        <v>FY 2022 HEALTH BENEFITS</v>
      </c>
      <c r="G46" s="50" t="str">
        <f>"FY "&amp;'PRAB|0250-00'!FiscalYear-1&amp;" VAR BENEFITS"</f>
        <v>FY 2022 VAR BENEFITS</v>
      </c>
      <c r="H46" s="50" t="str">
        <f>"FY "&amp;'PRAB|0250-00'!FiscalYear-1&amp;" TOTAL"</f>
        <v>FY 2022 TOTAL</v>
      </c>
      <c r="I46" s="50" t="str">
        <f>"FY "&amp;'PRAB|0250-00'!FiscalYear&amp;" SALARY CHANGE"</f>
        <v>FY 2023 SALARY CHANGE</v>
      </c>
      <c r="J46" s="50" t="str">
        <f>"FY "&amp;'PRAB|0250-00'!FiscalYear&amp;" CHG HEALTH BENEFITS"</f>
        <v>FY 2023 CHG HEALTH BENEFITS</v>
      </c>
      <c r="K46" s="50" t="str">
        <f>"FY "&amp;'PRAB|0250-00'!FiscalYear&amp;" CHG VAR BENEFITS"</f>
        <v>FY 2023 CHG VAR BENEFITS</v>
      </c>
      <c r="L46" s="50" t="s">
        <v>25</v>
      </c>
    </row>
    <row r="47" spans="1:12" x14ac:dyDescent="0.3">
      <c r="A47" s="389" t="s">
        <v>26</v>
      </c>
      <c r="B47" s="390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3">
      <c r="A48" s="385" t="s">
        <v>27</v>
      </c>
      <c r="B48" s="391"/>
      <c r="C48" s="217">
        <v>1</v>
      </c>
      <c r="D48" s="288">
        <f>[0]!PRAB025000col_INC_FTI</f>
        <v>3.7549999999999994</v>
      </c>
      <c r="E48" s="218">
        <f>[0]!PRAB025000col_FTI_SALARY_PERM</f>
        <v>202470.31999999998</v>
      </c>
      <c r="F48" s="218">
        <f>[0]!PRAB025000col_HEALTH_PERM</f>
        <v>44736</v>
      </c>
      <c r="G48" s="218">
        <f>[0]!PRAB025000col_TOT_VB_PERM</f>
        <v>48106.461973599995</v>
      </c>
      <c r="H48" s="219">
        <f>SUM(E48:G48)</f>
        <v>295312.78197359998</v>
      </c>
      <c r="I48" s="219">
        <f>[0]!PRAB025000col_1_27TH_PP</f>
        <v>0</v>
      </c>
      <c r="J48" s="218">
        <f>[0]!PRAB025000col_HEALTH_PERM_CHG</f>
        <v>0</v>
      </c>
      <c r="K48" s="218">
        <f>[0]!PRAB025000col_TOT_VB_PERM_CHG</f>
        <v>618.78392800000051</v>
      </c>
      <c r="L48" s="218">
        <f>SUM(J48:K48)</f>
        <v>618.78392800000051</v>
      </c>
    </row>
    <row r="49" spans="1:12" x14ac:dyDescent="0.3">
      <c r="A49" s="385" t="s">
        <v>28</v>
      </c>
      <c r="B49" s="391"/>
      <c r="C49" s="217">
        <v>2</v>
      </c>
      <c r="D49" s="288"/>
      <c r="E49" s="218">
        <f>[0]!PRAB025000col_Group_Salary</f>
        <v>7421.93</v>
      </c>
      <c r="F49" s="218">
        <v>0</v>
      </c>
      <c r="G49" s="218">
        <f>[0]!PRAB025000col_Group_Ben</f>
        <v>1598.65</v>
      </c>
      <c r="H49" s="219">
        <f>SUM(E49:G49)</f>
        <v>9020.58</v>
      </c>
      <c r="I49" s="268"/>
      <c r="J49" s="218"/>
      <c r="K49" s="218"/>
      <c r="L49" s="218"/>
    </row>
    <row r="50" spans="1:12" x14ac:dyDescent="0.3">
      <c r="A50" s="385" t="s">
        <v>29</v>
      </c>
      <c r="B50" s="386"/>
      <c r="C50" s="217">
        <v>3</v>
      </c>
      <c r="D50" s="288">
        <f>[0]!PRAB025000col_TOTAL_ELECT_PCN_FTI</f>
        <v>0</v>
      </c>
      <c r="E50" s="218">
        <f>[0]!PRAB025000col_FTI_SALARY_ELECT</f>
        <v>0</v>
      </c>
      <c r="F50" s="218">
        <f>[0]!PRAB025000col_HEALTH_ELECT</f>
        <v>0</v>
      </c>
      <c r="G50" s="218">
        <f>[0]!PRAB025000col_TOT_VB_ELECT</f>
        <v>0</v>
      </c>
      <c r="H50" s="219">
        <f>SUM(E50:G50)</f>
        <v>0</v>
      </c>
      <c r="I50" s="268"/>
      <c r="J50" s="218">
        <f>[0]!PRAB025000col_HEALTH_ELECT_CHG</f>
        <v>0</v>
      </c>
      <c r="K50" s="218">
        <f>[0]!PRAB025000col_TOT_VB_ELECT_CHG</f>
        <v>0</v>
      </c>
      <c r="L50" s="219">
        <f>SUM(J50:K50)</f>
        <v>0</v>
      </c>
    </row>
    <row r="51" spans="1:12" x14ac:dyDescent="0.3">
      <c r="A51" s="385" t="s">
        <v>30</v>
      </c>
      <c r="B51" s="391"/>
      <c r="C51" s="217"/>
      <c r="D51" s="220">
        <f>SUM(D48:D50)</f>
        <v>3.7549999999999994</v>
      </c>
      <c r="E51" s="221">
        <f>SUM(E48:E50)</f>
        <v>209892.24999999997</v>
      </c>
      <c r="F51" s="221">
        <f>SUM(F48:F50)</f>
        <v>44736</v>
      </c>
      <c r="G51" s="221">
        <f>SUM(G48:G50)</f>
        <v>49705.111973599996</v>
      </c>
      <c r="H51" s="219">
        <f>SUM(E51:G51)</f>
        <v>304333.3619736</v>
      </c>
      <c r="I51" s="268"/>
      <c r="J51" s="219">
        <f>SUM(J48:J50)</f>
        <v>0</v>
      </c>
      <c r="K51" s="219">
        <f>SUM(K48:K50)</f>
        <v>618.78392800000051</v>
      </c>
      <c r="L51" s="219">
        <f>SUM(L48:L50)</f>
        <v>618.78392800000051</v>
      </c>
    </row>
    <row r="52" spans="1:12" x14ac:dyDescent="0.3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3">
      <c r="A53" s="157" t="str">
        <f>"FY "&amp;'PRAB|0250-00'!FiscalYear-1</f>
        <v>FY 2022</v>
      </c>
      <c r="B53" s="158" t="s">
        <v>31</v>
      </c>
      <c r="C53" s="355">
        <v>343700</v>
      </c>
      <c r="D53" s="55">
        <v>4.05</v>
      </c>
      <c r="E53" s="223">
        <f>IF('PRAB|0250-00'!OrigApprop=0,0,(E51/H51)*'PRAB|0250-00'!OrigApprop)</f>
        <v>237042.58336047269</v>
      </c>
      <c r="F53" s="223">
        <f>IF('PRAB|0250-00'!OrigApprop=0,0,(F51/H51)*'PRAB|0250-00'!OrigApprop)</f>
        <v>50522.765891613955</v>
      </c>
      <c r="G53" s="223">
        <f>IF(E53=0,0,(G51/H51)*'PRAB|0250-00'!OrigApprop)</f>
        <v>56134.650747913314</v>
      </c>
      <c r="H53" s="223">
        <f>SUM(E53:G53)</f>
        <v>343700</v>
      </c>
      <c r="I53" s="268"/>
      <c r="J53" s="224"/>
      <c r="K53" s="224"/>
      <c r="L53" s="224"/>
    </row>
    <row r="54" spans="1:12" x14ac:dyDescent="0.3">
      <c r="A54" s="392" t="s">
        <v>32</v>
      </c>
      <c r="B54" s="393"/>
      <c r="C54" s="160" t="s">
        <v>33</v>
      </c>
      <c r="D54" s="161">
        <f>D53-D51</f>
        <v>0.29500000000000037</v>
      </c>
      <c r="E54" s="162">
        <f>E53-E51</f>
        <v>27150.333360472723</v>
      </c>
      <c r="F54" s="162">
        <f>F53-F51</f>
        <v>5786.7658916139553</v>
      </c>
      <c r="G54" s="162">
        <f>G53-G51</f>
        <v>6429.5387743133178</v>
      </c>
      <c r="H54" s="162">
        <f>H53-H51</f>
        <v>39366.638026400004</v>
      </c>
      <c r="I54" s="269"/>
      <c r="J54" s="56" t="str">
        <f>IF('PRAB|0250-00'!OrigApprop=0,"ERROR! Enter Original Appropriation amount in DU 3.00!","Calculated "&amp;IF('PRAB|0250-00'!AdjustedTotal&gt;0,"overfunding ","underfunding ")&amp;"is "&amp;TEXT('PRAB|0250-00'!AdjustedTotal/'PRAB|0250-00'!AppropTotal,"#.0%;(#.0% );0% ;")&amp;" of Original Appropriation")</f>
        <v>Calculated overfunding is 11.5% of Original Appropriation</v>
      </c>
      <c r="K54" s="163"/>
      <c r="L54" s="164"/>
    </row>
    <row r="56" spans="1:12" x14ac:dyDescent="0.3">
      <c r="A56" s="470" t="s">
        <v>1128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</row>
    <row r="57" spans="1:12" ht="40.200000000000003" x14ac:dyDescent="0.3">
      <c r="A57" s="387" t="s">
        <v>22</v>
      </c>
      <c r="B57" s="388"/>
      <c r="C57" s="370" t="s">
        <v>23</v>
      </c>
      <c r="D57" s="49" t="s">
        <v>24</v>
      </c>
      <c r="E57" s="50" t="str">
        <f>"FY "&amp;'PRBA|0001-00'!FiscalYear-1&amp;" SALARY"</f>
        <v>FY 2022 SALARY</v>
      </c>
      <c r="F57" s="50" t="str">
        <f>"FY "&amp;'PRBA|0001-00'!FiscalYear-1&amp;" HEALTH BENEFITS"</f>
        <v>FY 2022 HEALTH BENEFITS</v>
      </c>
      <c r="G57" s="50" t="str">
        <f>"FY "&amp;'PRBA|0001-00'!FiscalYear-1&amp;" VAR BENEFITS"</f>
        <v>FY 2022 VAR BENEFITS</v>
      </c>
      <c r="H57" s="50" t="str">
        <f>"FY "&amp;'PRBA|0001-00'!FiscalYear-1&amp;" TOTAL"</f>
        <v>FY 2022 TOTAL</v>
      </c>
      <c r="I57" s="50" t="str">
        <f>"FY "&amp;'PRBA|0001-00'!FiscalYear&amp;" SALARY CHANGE"</f>
        <v>FY 2023 SALARY CHANGE</v>
      </c>
      <c r="J57" s="50" t="str">
        <f>"FY "&amp;'PRBA|0001-00'!FiscalYear&amp;" CHG HEALTH BENEFITS"</f>
        <v>FY 2023 CHG HEALTH BENEFITS</v>
      </c>
      <c r="K57" s="50" t="str">
        <f>"FY "&amp;'PRBA|0001-00'!FiscalYear&amp;" CHG VAR BENEFITS"</f>
        <v>FY 2023 CHG VAR BENEFITS</v>
      </c>
      <c r="L57" s="50" t="s">
        <v>25</v>
      </c>
    </row>
    <row r="58" spans="1:12" x14ac:dyDescent="0.3">
      <c r="A58" s="389" t="s">
        <v>26</v>
      </c>
      <c r="B58" s="390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3">
      <c r="A59" s="385" t="s">
        <v>27</v>
      </c>
      <c r="B59" s="391"/>
      <c r="C59" s="217">
        <v>1</v>
      </c>
      <c r="D59" s="288">
        <f>[0]!PRBA000100col_INC_FTI</f>
        <v>28.3125</v>
      </c>
      <c r="E59" s="218">
        <f>[0]!PRBA000100col_FTI_SALARY_PERM</f>
        <v>1291529.2000000002</v>
      </c>
      <c r="F59" s="218">
        <f>[0]!PRBA000100col_HEALTH_PERM</f>
        <v>344257.5</v>
      </c>
      <c r="G59" s="218">
        <f>[0]!PRBA000100col_TOT_VB_PERM</f>
        <v>307345.20372400002</v>
      </c>
      <c r="H59" s="219">
        <f>SUM(E59:G59)</f>
        <v>1943131.9037240003</v>
      </c>
      <c r="I59" s="219">
        <f>[0]!PRBA000100col_1_27TH_PP</f>
        <v>0</v>
      </c>
      <c r="J59" s="218">
        <f>[0]!PRBA000100col_HEALTH_PERM_CHG</f>
        <v>0</v>
      </c>
      <c r="K59" s="218">
        <f>[0]!PRBA000100col_TOT_VB_PERM_CHG</f>
        <v>3745.4346800000017</v>
      </c>
      <c r="L59" s="218">
        <f>SUM(J59:K59)</f>
        <v>3745.4346800000017</v>
      </c>
    </row>
    <row r="60" spans="1:12" x14ac:dyDescent="0.3">
      <c r="A60" s="385" t="s">
        <v>28</v>
      </c>
      <c r="B60" s="391"/>
      <c r="C60" s="217">
        <v>2</v>
      </c>
      <c r="D60" s="288"/>
      <c r="E60" s="218">
        <f>[0]!PRBA000100col_Group_Salary</f>
        <v>75252.56</v>
      </c>
      <c r="F60" s="218">
        <v>0</v>
      </c>
      <c r="G60" s="218">
        <f>[0]!PRBA000100col_Group_Ben</f>
        <v>11635.62</v>
      </c>
      <c r="H60" s="219">
        <f>SUM(E60:G60)</f>
        <v>86888.18</v>
      </c>
      <c r="I60" s="268"/>
      <c r="J60" s="218"/>
      <c r="K60" s="218"/>
      <c r="L60" s="218"/>
    </row>
    <row r="61" spans="1:12" x14ac:dyDescent="0.3">
      <c r="A61" s="385" t="s">
        <v>29</v>
      </c>
      <c r="B61" s="386"/>
      <c r="C61" s="217">
        <v>3</v>
      </c>
      <c r="D61" s="288">
        <f>[0]!PRBA000100col_TOTAL_ELECT_PCN_FTI</f>
        <v>0</v>
      </c>
      <c r="E61" s="218">
        <f>[0]!PRBA000100col_FTI_SALARY_ELECT</f>
        <v>0</v>
      </c>
      <c r="F61" s="218">
        <f>[0]!PRBA000100col_HEALTH_ELECT</f>
        <v>0</v>
      </c>
      <c r="G61" s="218">
        <f>[0]!PRBA000100col_TOT_VB_ELECT</f>
        <v>0</v>
      </c>
      <c r="H61" s="219">
        <f>SUM(E61:G61)</f>
        <v>0</v>
      </c>
      <c r="I61" s="268"/>
      <c r="J61" s="218">
        <f>[0]!PRBA000100col_HEALTH_ELECT_CHG</f>
        <v>0</v>
      </c>
      <c r="K61" s="218">
        <f>[0]!PRBA000100col_TOT_VB_ELECT_CHG</f>
        <v>0</v>
      </c>
      <c r="L61" s="219">
        <f>SUM(J61:K61)</f>
        <v>0</v>
      </c>
    </row>
    <row r="62" spans="1:12" x14ac:dyDescent="0.3">
      <c r="A62" s="385" t="s">
        <v>30</v>
      </c>
      <c r="B62" s="391"/>
      <c r="C62" s="217"/>
      <c r="D62" s="220">
        <f>SUM(D59:D61)</f>
        <v>28.3125</v>
      </c>
      <c r="E62" s="221">
        <f>SUM(E59:E61)</f>
        <v>1366781.7600000002</v>
      </c>
      <c r="F62" s="221">
        <f>SUM(F59:F61)</f>
        <v>344257.5</v>
      </c>
      <c r="G62" s="221">
        <f>SUM(G59:G61)</f>
        <v>318980.82372400002</v>
      </c>
      <c r="H62" s="219">
        <f>SUM(E62:G62)</f>
        <v>2030020.0837240003</v>
      </c>
      <c r="I62" s="268"/>
      <c r="J62" s="219">
        <f>SUM(J59:J61)</f>
        <v>0</v>
      </c>
      <c r="K62" s="219">
        <f>SUM(K59:K61)</f>
        <v>3745.4346800000017</v>
      </c>
      <c r="L62" s="219">
        <f>SUM(L59:L61)</f>
        <v>3745.4346800000017</v>
      </c>
    </row>
    <row r="63" spans="1:12" x14ac:dyDescent="0.3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3">
      <c r="A64" s="157" t="str">
        <f>"FY "&amp;'PRBA|0001-00'!FiscalYear-1</f>
        <v>FY 2022</v>
      </c>
      <c r="B64" s="158" t="s">
        <v>31</v>
      </c>
      <c r="C64" s="355">
        <v>2180300</v>
      </c>
      <c r="D64" s="55">
        <v>30.5</v>
      </c>
      <c r="E64" s="223">
        <f>IF('PRBA|0001-00'!OrigApprop=0,0,(E62/H62)*'PRBA|0001-00'!OrigApprop)</f>
        <v>1467962.9503277161</v>
      </c>
      <c r="F64" s="223">
        <f>IF('PRBA|0001-00'!OrigApprop=0,0,(F62/H62)*'PRBA|0001-00'!OrigApprop)</f>
        <v>369742.46376571752</v>
      </c>
      <c r="G64" s="223">
        <f>IF(E64=0,0,(G62/H62)*'PRBA|0001-00'!OrigApprop)</f>
        <v>342594.58590656641</v>
      </c>
      <c r="H64" s="223">
        <f>SUM(E64:G64)</f>
        <v>2180300</v>
      </c>
      <c r="I64" s="268"/>
      <c r="J64" s="224"/>
      <c r="K64" s="224"/>
      <c r="L64" s="224"/>
    </row>
    <row r="65" spans="1:12" x14ac:dyDescent="0.3">
      <c r="A65" s="392" t="s">
        <v>32</v>
      </c>
      <c r="B65" s="393"/>
      <c r="C65" s="160" t="s">
        <v>33</v>
      </c>
      <c r="D65" s="161">
        <f>D64-D62</f>
        <v>2.1875</v>
      </c>
      <c r="E65" s="162">
        <f>E64-E62</f>
        <v>101181.19032771583</v>
      </c>
      <c r="F65" s="162">
        <f>F64-F62</f>
        <v>25484.963765717519</v>
      </c>
      <c r="G65" s="162">
        <f>G64-G62</f>
        <v>23613.762182566395</v>
      </c>
      <c r="H65" s="162">
        <f>H64-H62</f>
        <v>150279.91627599974</v>
      </c>
      <c r="I65" s="269"/>
      <c r="J65" s="56" t="str">
        <f>IF('PRBA|0001-00'!OrigApprop=0,"ERROR! Enter Original Appropriation amount in DU 3.00!","Calculated "&amp;IF('PRBA|0001-00'!AdjustedTotal&gt;0,"overfunding ","underfunding ")&amp;"is "&amp;TEXT('PRBA|0001-00'!AdjustedTotal/'PRBA|0001-00'!AppropTotal,"#.0%;(#.0% );0% ;")&amp;" of Original Appropriation")</f>
        <v>Calculated overfunding is 6.9% of Original Appropriation</v>
      </c>
      <c r="K65" s="163"/>
      <c r="L65" s="164"/>
    </row>
    <row r="67" spans="1:12" x14ac:dyDescent="0.3">
      <c r="A67" s="470" t="s">
        <v>1131</v>
      </c>
      <c r="B67" s="470"/>
      <c r="C67" s="470"/>
      <c r="D67" s="470"/>
      <c r="E67" s="470"/>
      <c r="F67" s="470"/>
      <c r="G67" s="470"/>
      <c r="H67" s="470"/>
      <c r="I67" s="470"/>
      <c r="J67" s="470"/>
      <c r="K67" s="470"/>
      <c r="L67" s="470"/>
    </row>
    <row r="68" spans="1:12" ht="40.200000000000003" x14ac:dyDescent="0.3">
      <c r="A68" s="387" t="s">
        <v>22</v>
      </c>
      <c r="B68" s="388"/>
      <c r="C68" s="370" t="s">
        <v>23</v>
      </c>
      <c r="D68" s="49" t="s">
        <v>24</v>
      </c>
      <c r="E68" s="50" t="str">
        <f>"FY "&amp;'PRBA|0243-00'!FiscalYear-1&amp;" SALARY"</f>
        <v>FY 2022 SALARY</v>
      </c>
      <c r="F68" s="50" t="str">
        <f>"FY "&amp;'PRBA|0243-00'!FiscalYear-1&amp;" HEALTH BENEFITS"</f>
        <v>FY 2022 HEALTH BENEFITS</v>
      </c>
      <c r="G68" s="50" t="str">
        <f>"FY "&amp;'PRBA|0243-00'!FiscalYear-1&amp;" VAR BENEFITS"</f>
        <v>FY 2022 VAR BENEFITS</v>
      </c>
      <c r="H68" s="50" t="str">
        <f>"FY "&amp;'PRBA|0243-00'!FiscalYear-1&amp;" TOTAL"</f>
        <v>FY 2022 TOTAL</v>
      </c>
      <c r="I68" s="50" t="str">
        <f>"FY "&amp;'PRBA|0243-00'!FiscalYear&amp;" SALARY CHANGE"</f>
        <v>FY 2023 SALARY CHANGE</v>
      </c>
      <c r="J68" s="50" t="str">
        <f>"FY "&amp;'PRBA|0243-00'!FiscalYear&amp;" CHG HEALTH BENEFITS"</f>
        <v>FY 2023 CHG HEALTH BENEFITS</v>
      </c>
      <c r="K68" s="50" t="str">
        <f>"FY "&amp;'PRBA|0243-00'!FiscalYear&amp;" CHG VAR BENEFITS"</f>
        <v>FY 2023 CHG VAR BENEFITS</v>
      </c>
      <c r="L68" s="50" t="s">
        <v>25</v>
      </c>
    </row>
    <row r="69" spans="1:12" x14ac:dyDescent="0.3">
      <c r="A69" s="389" t="s">
        <v>26</v>
      </c>
      <c r="B69" s="390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3">
      <c r="A70" s="385" t="s">
        <v>27</v>
      </c>
      <c r="B70" s="391"/>
      <c r="C70" s="217">
        <v>1</v>
      </c>
      <c r="D70" s="288">
        <f>[0]!PRBA024300col_INC_FTI</f>
        <v>56.95000000000001</v>
      </c>
      <c r="E70" s="218">
        <f>[0]!PRBA024300col_FTI_SALARY_PERM</f>
        <v>2628013.44</v>
      </c>
      <c r="F70" s="218">
        <f>[0]!PRBA024300col_HEALTH_PERM</f>
        <v>669875</v>
      </c>
      <c r="G70" s="218">
        <f>[0]!PRBA024300col_TOT_VB_PERM</f>
        <v>625122.18238080002</v>
      </c>
      <c r="H70" s="219">
        <f>SUM(E70:G70)</f>
        <v>3923010.6223808001</v>
      </c>
      <c r="I70" s="219">
        <f>[0]!PRBA024300col_1_27TH_PP</f>
        <v>0</v>
      </c>
      <c r="J70" s="218">
        <f>[0]!PRBA024300col_HEALTH_PERM_CHG</f>
        <v>0</v>
      </c>
      <c r="K70" s="218">
        <f>[0]!PRBA024300col_TOT_VB_PERM_CHG</f>
        <v>7621.2389760000015</v>
      </c>
      <c r="L70" s="218">
        <f>SUM(J70:K70)</f>
        <v>7621.2389760000015</v>
      </c>
    </row>
    <row r="71" spans="1:12" x14ac:dyDescent="0.3">
      <c r="A71" s="385" t="s">
        <v>28</v>
      </c>
      <c r="B71" s="391"/>
      <c r="C71" s="217">
        <v>2</v>
      </c>
      <c r="D71" s="288"/>
      <c r="E71" s="218">
        <f>[0]!PRBA024300col_Group_Salary</f>
        <v>1029517.83</v>
      </c>
      <c r="F71" s="218">
        <v>0</v>
      </c>
      <c r="G71" s="218">
        <f>[0]!PRBA024300col_Group_Ben</f>
        <v>164707.76000000007</v>
      </c>
      <c r="H71" s="219">
        <f>SUM(E71:G71)</f>
        <v>1194225.5900000001</v>
      </c>
      <c r="I71" s="268"/>
      <c r="J71" s="218"/>
      <c r="K71" s="218"/>
      <c r="L71" s="218"/>
    </row>
    <row r="72" spans="1:12" x14ac:dyDescent="0.3">
      <c r="A72" s="385" t="s">
        <v>29</v>
      </c>
      <c r="B72" s="386"/>
      <c r="C72" s="217">
        <v>3</v>
      </c>
      <c r="D72" s="288">
        <f>[0]!PRBA024300col_TOTAL_ELECT_PCN_FTI</f>
        <v>0</v>
      </c>
      <c r="E72" s="218">
        <f>[0]!PRBA024300col_FTI_SALARY_ELECT</f>
        <v>0</v>
      </c>
      <c r="F72" s="218">
        <f>[0]!PRBA024300col_HEALTH_ELECT</f>
        <v>0</v>
      </c>
      <c r="G72" s="218">
        <f>[0]!PRBA024300col_TOT_VB_ELECT</f>
        <v>0</v>
      </c>
      <c r="H72" s="219">
        <f>SUM(E72:G72)</f>
        <v>0</v>
      </c>
      <c r="I72" s="268"/>
      <c r="J72" s="218">
        <f>[0]!PRBA024300col_HEALTH_ELECT_CHG</f>
        <v>0</v>
      </c>
      <c r="K72" s="218">
        <f>[0]!PRBA024300col_TOT_VB_ELECT_CHG</f>
        <v>0</v>
      </c>
      <c r="L72" s="219">
        <f>SUM(J72:K72)</f>
        <v>0</v>
      </c>
    </row>
    <row r="73" spans="1:12" x14ac:dyDescent="0.3">
      <c r="A73" s="385" t="s">
        <v>30</v>
      </c>
      <c r="B73" s="391"/>
      <c r="C73" s="217"/>
      <c r="D73" s="220">
        <f>SUM(D70:D72)</f>
        <v>56.95000000000001</v>
      </c>
      <c r="E73" s="221">
        <f>SUM(E70:E72)</f>
        <v>3657531.27</v>
      </c>
      <c r="F73" s="221">
        <f>SUM(F70:F72)</f>
        <v>669875</v>
      </c>
      <c r="G73" s="221">
        <f>SUM(G70:G72)</f>
        <v>789829.94238080014</v>
      </c>
      <c r="H73" s="219">
        <f>SUM(E73:G73)</f>
        <v>5117236.2123807995</v>
      </c>
      <c r="I73" s="268"/>
      <c r="J73" s="219">
        <f>SUM(J70:J72)</f>
        <v>0</v>
      </c>
      <c r="K73" s="219">
        <f>SUM(K70:K72)</f>
        <v>7621.2389760000015</v>
      </c>
      <c r="L73" s="219">
        <f>SUM(L70:L72)</f>
        <v>7621.2389760000015</v>
      </c>
    </row>
    <row r="74" spans="1:12" x14ac:dyDescent="0.3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3">
      <c r="A75" s="157" t="str">
        <f>"FY "&amp;'PRBA|0243-00'!FiscalYear-1</f>
        <v>FY 2022</v>
      </c>
      <c r="B75" s="158" t="s">
        <v>31</v>
      </c>
      <c r="C75" s="355">
        <v>5457600</v>
      </c>
      <c r="D75" s="55">
        <v>61.55</v>
      </c>
      <c r="E75" s="223">
        <f>IF('PRBA|0243-00'!OrigApprop=0,0,(E73/H73)*'PRBA|0243-00'!OrigApprop)</f>
        <v>3900805.4017238664</v>
      </c>
      <c r="F75" s="223">
        <f>IF('PRBA|0243-00'!OrigApprop=0,0,(F73/H73)*'PRBA|0243-00'!OrigApprop)</f>
        <v>714430.53403608361</v>
      </c>
      <c r="G75" s="223">
        <f>IF(E75=0,0,(G73/H73)*'PRBA|0243-00'!OrigApprop)</f>
        <v>842364.06424005108</v>
      </c>
      <c r="H75" s="223">
        <f>SUM(E75:G75)</f>
        <v>5457600.0000000019</v>
      </c>
      <c r="I75" s="268"/>
      <c r="J75" s="224"/>
      <c r="K75" s="224"/>
      <c r="L75" s="224"/>
    </row>
    <row r="76" spans="1:12" x14ac:dyDescent="0.3">
      <c r="A76" s="392" t="s">
        <v>32</v>
      </c>
      <c r="B76" s="393"/>
      <c r="C76" s="160" t="s">
        <v>33</v>
      </c>
      <c r="D76" s="161">
        <f>D75-D73</f>
        <v>4.5999999999999872</v>
      </c>
      <c r="E76" s="162">
        <f>E75-E73</f>
        <v>243274.13172386633</v>
      </c>
      <c r="F76" s="162">
        <f>F75-F73</f>
        <v>44555.534036083613</v>
      </c>
      <c r="G76" s="162">
        <f>G75-G73</f>
        <v>52534.121859250939</v>
      </c>
      <c r="H76" s="162">
        <f>H75-H73</f>
        <v>340363.7876192024</v>
      </c>
      <c r="I76" s="269"/>
      <c r="J76" s="56" t="str">
        <f>IF('PRBA|0243-00'!OrigApprop=0,"ERROR! Enter Original Appropriation amount in DU 3.00!","Calculated "&amp;IF('PRBA|0243-00'!AdjustedTotal&gt;0,"overfunding ","underfunding ")&amp;"is "&amp;TEXT('PRBA|0243-00'!AdjustedTotal/'PRBA|0243-00'!AppropTotal,"#.0%;(#.0% );0% ;")&amp;" of Original Appropriation")</f>
        <v>Calculated overfunding is 6.2% of Original Appropriation</v>
      </c>
      <c r="K76" s="163"/>
      <c r="L76" s="164"/>
    </row>
    <row r="78" spans="1:12" x14ac:dyDescent="0.3">
      <c r="A78" s="470" t="s">
        <v>1135</v>
      </c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470"/>
    </row>
    <row r="79" spans="1:12" ht="40.200000000000003" x14ac:dyDescent="0.3">
      <c r="A79" s="387" t="s">
        <v>22</v>
      </c>
      <c r="B79" s="388"/>
      <c r="C79" s="370" t="s">
        <v>23</v>
      </c>
      <c r="D79" s="49" t="s">
        <v>24</v>
      </c>
      <c r="E79" s="50" t="str">
        <f>"FY "&amp;'PRBA|0247-00'!FiscalYear-1&amp;" SALARY"</f>
        <v>FY 2022 SALARY</v>
      </c>
      <c r="F79" s="50" t="str">
        <f>"FY "&amp;'PRBA|0247-00'!FiscalYear-1&amp;" HEALTH BENEFITS"</f>
        <v>FY 2022 HEALTH BENEFITS</v>
      </c>
      <c r="G79" s="50" t="str">
        <f>"FY "&amp;'PRBA|0247-00'!FiscalYear-1&amp;" VAR BENEFITS"</f>
        <v>FY 2022 VAR BENEFITS</v>
      </c>
      <c r="H79" s="50" t="str">
        <f>"FY "&amp;'PRBA|0247-00'!FiscalYear-1&amp;" TOTAL"</f>
        <v>FY 2022 TOTAL</v>
      </c>
      <c r="I79" s="50" t="str">
        <f>"FY "&amp;'PRBA|0247-00'!FiscalYear&amp;" SALARY CHANGE"</f>
        <v>FY 2023 SALARY CHANGE</v>
      </c>
      <c r="J79" s="50" t="str">
        <f>"FY "&amp;'PRBA|0247-00'!FiscalYear&amp;" CHG HEALTH BENEFITS"</f>
        <v>FY 2023 CHG HEALTH BENEFITS</v>
      </c>
      <c r="K79" s="50" t="str">
        <f>"FY "&amp;'PRBA|0247-00'!FiscalYear&amp;" CHG VAR BENEFITS"</f>
        <v>FY 2023 CHG VAR BENEFITS</v>
      </c>
      <c r="L79" s="50" t="s">
        <v>25</v>
      </c>
    </row>
    <row r="80" spans="1:12" x14ac:dyDescent="0.3">
      <c r="A80" s="389" t="s">
        <v>26</v>
      </c>
      <c r="B80" s="390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3">
      <c r="A81" s="385" t="s">
        <v>27</v>
      </c>
      <c r="B81" s="391"/>
      <c r="C81" s="217">
        <v>1</v>
      </c>
      <c r="D81" s="288">
        <f>[0]!PRBA024700col_INC_FTI</f>
        <v>2.4300000000000002</v>
      </c>
      <c r="E81" s="218">
        <f>[0]!PRBA024700col_FTI_SALARY_PERM</f>
        <v>146850.08000000002</v>
      </c>
      <c r="F81" s="218">
        <f>[0]!PRBA024700col_HEALTH_PERM</f>
        <v>28309.5</v>
      </c>
      <c r="G81" s="218">
        <f>[0]!PRBA024700col_TOT_VB_PERM</f>
        <v>34945.913537599998</v>
      </c>
      <c r="H81" s="219">
        <f>SUM(E81:G81)</f>
        <v>210105.49353760001</v>
      </c>
      <c r="I81" s="219">
        <f>[0]!PRBA024700col_1_27TH_PP</f>
        <v>0</v>
      </c>
      <c r="J81" s="218">
        <f>[0]!PRBA024700col_HEALTH_PERM_CHG</f>
        <v>0</v>
      </c>
      <c r="K81" s="218">
        <f>[0]!PRBA024700col_TOT_VB_PERM_CHG</f>
        <v>425.86523200000022</v>
      </c>
      <c r="L81" s="218">
        <f>SUM(J81:K81)</f>
        <v>425.86523200000022</v>
      </c>
    </row>
    <row r="82" spans="1:12" x14ac:dyDescent="0.3">
      <c r="A82" s="385" t="s">
        <v>28</v>
      </c>
      <c r="B82" s="391"/>
      <c r="C82" s="217">
        <v>2</v>
      </c>
      <c r="D82" s="288"/>
      <c r="E82" s="218">
        <f>[0]!PRBA024700col_Group_Salary</f>
        <v>0</v>
      </c>
      <c r="F82" s="218">
        <v>0</v>
      </c>
      <c r="G82" s="218">
        <f>[0]!PRBA024700col_Group_Ben</f>
        <v>0</v>
      </c>
      <c r="H82" s="219">
        <f>SUM(E82:G82)</f>
        <v>0</v>
      </c>
      <c r="I82" s="268"/>
      <c r="J82" s="218"/>
      <c r="K82" s="218"/>
      <c r="L82" s="218"/>
    </row>
    <row r="83" spans="1:12" x14ac:dyDescent="0.3">
      <c r="A83" s="385" t="s">
        <v>29</v>
      </c>
      <c r="B83" s="386"/>
      <c r="C83" s="217">
        <v>3</v>
      </c>
      <c r="D83" s="288">
        <f>[0]!PRBA024700col_TOTAL_ELECT_PCN_FTI</f>
        <v>0</v>
      </c>
      <c r="E83" s="218">
        <f>[0]!PRBA024700col_FTI_SALARY_ELECT</f>
        <v>0</v>
      </c>
      <c r="F83" s="218">
        <f>[0]!PRBA024700col_HEALTH_ELECT</f>
        <v>0</v>
      </c>
      <c r="G83" s="218">
        <f>[0]!PRBA024700col_TOT_VB_ELECT</f>
        <v>0</v>
      </c>
      <c r="H83" s="219">
        <f>SUM(E83:G83)</f>
        <v>0</v>
      </c>
      <c r="I83" s="268"/>
      <c r="J83" s="218">
        <f>[0]!PRBA024700col_HEALTH_ELECT_CHG</f>
        <v>0</v>
      </c>
      <c r="K83" s="218">
        <f>[0]!PRBA024700col_TOT_VB_ELECT_CHG</f>
        <v>0</v>
      </c>
      <c r="L83" s="219">
        <f>SUM(J83:K83)</f>
        <v>0</v>
      </c>
    </row>
    <row r="84" spans="1:12" x14ac:dyDescent="0.3">
      <c r="A84" s="385" t="s">
        <v>30</v>
      </c>
      <c r="B84" s="391"/>
      <c r="C84" s="217"/>
      <c r="D84" s="220">
        <f>SUM(D81:D83)</f>
        <v>2.4300000000000002</v>
      </c>
      <c r="E84" s="221">
        <f>SUM(E81:E83)</f>
        <v>146850.08000000002</v>
      </c>
      <c r="F84" s="221">
        <f>SUM(F81:F83)</f>
        <v>28309.5</v>
      </c>
      <c r="G84" s="221">
        <f>SUM(G81:G83)</f>
        <v>34945.913537599998</v>
      </c>
      <c r="H84" s="219">
        <f>SUM(E84:G84)</f>
        <v>210105.49353760001</v>
      </c>
      <c r="I84" s="268"/>
      <c r="J84" s="219">
        <f>SUM(J81:J83)</f>
        <v>0</v>
      </c>
      <c r="K84" s="219">
        <f>SUM(K81:K83)</f>
        <v>425.86523200000022</v>
      </c>
      <c r="L84" s="219">
        <f>SUM(L81:L83)</f>
        <v>425.86523200000022</v>
      </c>
    </row>
    <row r="85" spans="1:12" x14ac:dyDescent="0.3">
      <c r="A85" s="365"/>
      <c r="B85" s="371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3">
      <c r="A86" s="157" t="str">
        <f>"FY "&amp;'PRBA|0247-00'!FiscalYear-1</f>
        <v>FY 2022</v>
      </c>
      <c r="B86" s="158" t="s">
        <v>31</v>
      </c>
      <c r="C86" s="355">
        <v>234800</v>
      </c>
      <c r="D86" s="55">
        <v>2.63</v>
      </c>
      <c r="E86" s="223">
        <f>IF('PRBA|0247-00'!OrigApprop=0,0,(E84/H84)*'PRBA|0247-00'!OrigApprop)</f>
        <v>164109.93450692171</v>
      </c>
      <c r="F86" s="223">
        <f>IF('PRBA|0247-00'!OrigApprop=0,0,(F84/H84)*'PRBA|0247-00'!OrigApprop)</f>
        <v>31636.824378466121</v>
      </c>
      <c r="G86" s="223">
        <f>IF(E86=0,0,(G84/H84)*'PRBA|0247-00'!OrigApprop)</f>
        <v>39053.241114612159</v>
      </c>
      <c r="H86" s="223">
        <f>SUM(E86:G86)</f>
        <v>234800</v>
      </c>
      <c r="I86" s="268"/>
      <c r="J86" s="224"/>
      <c r="K86" s="224"/>
      <c r="L86" s="224"/>
    </row>
    <row r="87" spans="1:12" x14ac:dyDescent="0.3">
      <c r="A87" s="392" t="s">
        <v>32</v>
      </c>
      <c r="B87" s="393"/>
      <c r="C87" s="160" t="s">
        <v>33</v>
      </c>
      <c r="D87" s="161">
        <f>D86-D84</f>
        <v>0.19999999999999973</v>
      </c>
      <c r="E87" s="162">
        <f>E86-E84</f>
        <v>17259.854506921693</v>
      </c>
      <c r="F87" s="162">
        <f>F86-F84</f>
        <v>3327.3243784661208</v>
      </c>
      <c r="G87" s="162">
        <f>G86-G84</f>
        <v>4107.3275770121618</v>
      </c>
      <c r="H87" s="162">
        <f>H86-H84</f>
        <v>24694.506462399993</v>
      </c>
      <c r="I87" s="269"/>
      <c r="J87" s="56" t="str">
        <f>IF('PRBA|0247-00'!OrigApprop=0,"ERROR! Enter Original Appropriation amount in DU 3.00!","Calculated "&amp;IF('PRBA|0247-00'!AdjustedTotal&gt;0,"overfunding ","underfunding ")&amp;"is "&amp;TEXT('PRBA|0247-00'!AdjustedTotal/'PRBA|0247-00'!AppropTotal,"#.0%;(#.0% );0% ;")&amp;" of Original Appropriation")</f>
        <v>Calculated overfunding is 10.5% of Original Appropriation</v>
      </c>
      <c r="K87" s="163"/>
      <c r="L87" s="164"/>
    </row>
    <row r="89" spans="1:12" x14ac:dyDescent="0.3">
      <c r="A89" s="470" t="s">
        <v>1141</v>
      </c>
      <c r="B89" s="470"/>
      <c r="C89" s="470"/>
      <c r="D89" s="470"/>
      <c r="E89" s="470"/>
      <c r="F89" s="470"/>
      <c r="G89" s="470"/>
      <c r="H89" s="470"/>
      <c r="I89" s="470"/>
      <c r="J89" s="470"/>
      <c r="K89" s="470"/>
      <c r="L89" s="470"/>
    </row>
    <row r="90" spans="1:12" ht="40.200000000000003" x14ac:dyDescent="0.3">
      <c r="A90" s="387" t="s">
        <v>22</v>
      </c>
      <c r="B90" s="388"/>
      <c r="C90" s="370" t="s">
        <v>23</v>
      </c>
      <c r="D90" s="49" t="s">
        <v>24</v>
      </c>
      <c r="E90" s="50" t="str">
        <f>"FY "&amp;'PRBA|0349-00'!FiscalYear-1&amp;" SALARY"</f>
        <v>FY 2022 SALARY</v>
      </c>
      <c r="F90" s="50" t="str">
        <f>"FY "&amp;'PRBA|0349-00'!FiscalYear-1&amp;" HEALTH BENEFITS"</f>
        <v>FY 2022 HEALTH BENEFITS</v>
      </c>
      <c r="G90" s="50" t="str">
        <f>"FY "&amp;'PRBA|0349-00'!FiscalYear-1&amp;" VAR BENEFITS"</f>
        <v>FY 2022 VAR BENEFITS</v>
      </c>
      <c r="H90" s="50" t="str">
        <f>"FY "&amp;'PRBA|0349-00'!FiscalYear-1&amp;" TOTAL"</f>
        <v>FY 2022 TOTAL</v>
      </c>
      <c r="I90" s="50" t="str">
        <f>"FY "&amp;'PRBA|0349-00'!FiscalYear&amp;" SALARY CHANGE"</f>
        <v>FY 2023 SALARY CHANGE</v>
      </c>
      <c r="J90" s="50" t="str">
        <f>"FY "&amp;'PRBA|0349-00'!FiscalYear&amp;" CHG HEALTH BENEFITS"</f>
        <v>FY 2023 CHG HEALTH BENEFITS</v>
      </c>
      <c r="K90" s="50" t="str">
        <f>"FY "&amp;'PRBA|0349-00'!FiscalYear&amp;" CHG VAR BENEFITS"</f>
        <v>FY 2023 CHG VAR BENEFITS</v>
      </c>
      <c r="L90" s="50" t="s">
        <v>25</v>
      </c>
    </row>
    <row r="91" spans="1:12" x14ac:dyDescent="0.3">
      <c r="A91" s="389" t="s">
        <v>26</v>
      </c>
      <c r="B91" s="390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3">
      <c r="A92" s="385" t="s">
        <v>27</v>
      </c>
      <c r="B92" s="391"/>
      <c r="C92" s="217">
        <v>1</v>
      </c>
      <c r="D92" s="288">
        <f>[0]!PRBA034900col_INC_FTI</f>
        <v>0</v>
      </c>
      <c r="E92" s="218">
        <f>[0]!PRBA034900col_FTI_SALARY_PERM</f>
        <v>0</v>
      </c>
      <c r="F92" s="218">
        <f>[0]!PRBA034900col_HEALTH_PERM</f>
        <v>0</v>
      </c>
      <c r="G92" s="218">
        <f>[0]!PRBA034900col_TOT_VB_PERM</f>
        <v>0</v>
      </c>
      <c r="H92" s="219">
        <f>SUM(E92:G92)</f>
        <v>0</v>
      </c>
      <c r="I92" s="219">
        <f>[0]!PRBA034900col_1_27TH_PP</f>
        <v>0</v>
      </c>
      <c r="J92" s="218">
        <f>[0]!PRBA034900col_HEALTH_PERM_CHG</f>
        <v>0</v>
      </c>
      <c r="K92" s="218">
        <f>[0]!PRBA034900col_TOT_VB_PERM_CHG</f>
        <v>0</v>
      </c>
      <c r="L92" s="218">
        <f>SUM(J92:K92)</f>
        <v>0</v>
      </c>
    </row>
    <row r="93" spans="1:12" x14ac:dyDescent="0.3">
      <c r="A93" s="385" t="s">
        <v>28</v>
      </c>
      <c r="B93" s="391"/>
      <c r="C93" s="217">
        <v>2</v>
      </c>
      <c r="D93" s="288"/>
      <c r="E93" s="218">
        <f>[0]!PRBA034900col_Group_Salary</f>
        <v>0</v>
      </c>
      <c r="F93" s="218">
        <v>0</v>
      </c>
      <c r="G93" s="218">
        <f>[0]!PRBA034900col_Group_Ben</f>
        <v>0</v>
      </c>
      <c r="H93" s="219">
        <f>SUM(E93:G93)</f>
        <v>0</v>
      </c>
      <c r="I93" s="268"/>
      <c r="J93" s="218"/>
      <c r="K93" s="218"/>
      <c r="L93" s="218"/>
    </row>
    <row r="94" spans="1:12" x14ac:dyDescent="0.3">
      <c r="A94" s="385" t="s">
        <v>29</v>
      </c>
      <c r="B94" s="386"/>
      <c r="C94" s="217">
        <v>3</v>
      </c>
      <c r="D94" s="288">
        <f>[0]!PRBA034900col_TOTAL_ELECT_PCN_FTI</f>
        <v>0</v>
      </c>
      <c r="E94" s="218">
        <f>[0]!PRBA034900col_FTI_SALARY_ELECT</f>
        <v>0</v>
      </c>
      <c r="F94" s="218">
        <f>[0]!PRBA034900col_HEALTH_ELECT</f>
        <v>0</v>
      </c>
      <c r="G94" s="218">
        <f>[0]!PRBA034900col_TOT_VB_ELECT</f>
        <v>0</v>
      </c>
      <c r="H94" s="219">
        <f>SUM(E94:G94)</f>
        <v>0</v>
      </c>
      <c r="I94" s="268"/>
      <c r="J94" s="218">
        <f>[0]!PRBA034900col_HEALTH_ELECT_CHG</f>
        <v>0</v>
      </c>
      <c r="K94" s="218">
        <f>[0]!PRBA034900col_TOT_VB_ELECT_CHG</f>
        <v>0</v>
      </c>
      <c r="L94" s="219">
        <f>SUM(J94:K94)</f>
        <v>0</v>
      </c>
    </row>
    <row r="95" spans="1:12" x14ac:dyDescent="0.3">
      <c r="A95" s="385" t="s">
        <v>30</v>
      </c>
      <c r="B95" s="391"/>
      <c r="C95" s="217"/>
      <c r="D95" s="220">
        <f>SUM(D92:D94)</f>
        <v>0</v>
      </c>
      <c r="E95" s="221">
        <f>SUM(E92:E94)</f>
        <v>0</v>
      </c>
      <c r="F95" s="221">
        <f>SUM(F92:F94)</f>
        <v>0</v>
      </c>
      <c r="G95" s="221">
        <f>SUM(G92:G94)</f>
        <v>0</v>
      </c>
      <c r="H95" s="219">
        <f>SUM(E95:G95)</f>
        <v>0</v>
      </c>
      <c r="I95" s="268"/>
      <c r="J95" s="219">
        <f>SUM(J92:J94)</f>
        <v>0</v>
      </c>
      <c r="K95" s="219">
        <f>SUM(K92:K94)</f>
        <v>0</v>
      </c>
      <c r="L95" s="219">
        <f>SUM(L92:L94)</f>
        <v>0</v>
      </c>
    </row>
    <row r="96" spans="1:12" x14ac:dyDescent="0.3">
      <c r="A96" s="365"/>
      <c r="B96" s="371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3">
      <c r="A97" s="157" t="str">
        <f>"FY "&amp;'PRBA|0349-00'!FiscalYear-1</f>
        <v>FY 2022</v>
      </c>
      <c r="B97" s="158" t="s">
        <v>31</v>
      </c>
      <c r="C97" s="355">
        <v>19400</v>
      </c>
      <c r="D97" s="55">
        <v>0</v>
      </c>
      <c r="E97" s="223" t="e">
        <f>IF('PRBA|0349-00'!OrigApprop=0,0,(E95/H95)*'PRBA|0349-00'!OrigApprop)</f>
        <v>#DIV/0!</v>
      </c>
      <c r="F97" s="223" t="e">
        <f>IF('PRBA|0349-00'!OrigApprop=0,0,(F95/H95)*'PRBA|0349-00'!OrigApprop)</f>
        <v>#DIV/0!</v>
      </c>
      <c r="G97" s="223" t="e">
        <f>IF(E97=0,0,(G95/H95)*'PRBA|0349-00'!OrigApprop)</f>
        <v>#DIV/0!</v>
      </c>
      <c r="H97" s="223" t="e">
        <f>SUM(E97:G97)</f>
        <v>#DIV/0!</v>
      </c>
      <c r="I97" s="268"/>
      <c r="J97" s="224"/>
      <c r="K97" s="224"/>
      <c r="L97" s="224"/>
    </row>
    <row r="98" spans="1:12" x14ac:dyDescent="0.3">
      <c r="A98" s="392" t="s">
        <v>32</v>
      </c>
      <c r="B98" s="393"/>
      <c r="C98" s="160" t="s">
        <v>33</v>
      </c>
      <c r="D98" s="161">
        <f>D97-D95</f>
        <v>0</v>
      </c>
      <c r="E98" s="162" t="e">
        <f>E97-E95</f>
        <v>#DIV/0!</v>
      </c>
      <c r="F98" s="162" t="e">
        <f>F97-F95</f>
        <v>#DIV/0!</v>
      </c>
      <c r="G98" s="162" t="e">
        <f>G97-G95</f>
        <v>#DIV/0!</v>
      </c>
      <c r="H98" s="162" t="e">
        <f>H97-H95</f>
        <v>#DIV/0!</v>
      </c>
      <c r="I98" s="269"/>
      <c r="J98" s="56" t="e">
        <f>IF('PRBA|0349-00'!OrigApprop=0,"ERROR! Enter Original Appropriation amount in DU 3.00!","Calculated "&amp;IF('PRBA|0349-00'!AdjustedTotal&gt;0,"overfunding ","underfunding ")&amp;"is "&amp;TEXT('PRBA|0349-00'!AdjustedTotal/'PRBA|0349-00'!AppropTotal,"#.0%;(#.0% );0% ;")&amp;" of Original Appropriation")</f>
        <v>#DIV/0!</v>
      </c>
      <c r="K98" s="163"/>
      <c r="L98" s="164"/>
    </row>
    <row r="100" spans="1:12" x14ac:dyDescent="0.3">
      <c r="A100" s="470" t="s">
        <v>1150</v>
      </c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</row>
    <row r="101" spans="1:12" ht="40.200000000000003" x14ac:dyDescent="0.3">
      <c r="A101" s="387" t="s">
        <v>22</v>
      </c>
      <c r="B101" s="388"/>
      <c r="C101" s="370" t="s">
        <v>23</v>
      </c>
      <c r="D101" s="49" t="s">
        <v>24</v>
      </c>
      <c r="E101" s="50" t="str">
        <f>"FY "&amp;'PRBA|0496-00'!FiscalYear-1&amp;" SALARY"</f>
        <v>FY 2022 SALARY</v>
      </c>
      <c r="F101" s="50" t="str">
        <f>"FY "&amp;'PRBA|0496-00'!FiscalYear-1&amp;" HEALTH BENEFITS"</f>
        <v>FY 2022 HEALTH BENEFITS</v>
      </c>
      <c r="G101" s="50" t="str">
        <f>"FY "&amp;'PRBA|0496-00'!FiscalYear-1&amp;" VAR BENEFITS"</f>
        <v>FY 2022 VAR BENEFITS</v>
      </c>
      <c r="H101" s="50" t="str">
        <f>"FY "&amp;'PRBA|0496-00'!FiscalYear-1&amp;" TOTAL"</f>
        <v>FY 2022 TOTAL</v>
      </c>
      <c r="I101" s="50" t="str">
        <f>"FY "&amp;'PRBA|0496-00'!FiscalYear&amp;" SALARY CHANGE"</f>
        <v>FY 2023 SALARY CHANGE</v>
      </c>
      <c r="J101" s="50" t="str">
        <f>"FY "&amp;'PRBA|0496-00'!FiscalYear&amp;" CHG HEALTH BENEFITS"</f>
        <v>FY 2023 CHG HEALTH BENEFITS</v>
      </c>
      <c r="K101" s="50" t="str">
        <f>"FY "&amp;'PRBA|0496-00'!FiscalYear&amp;" CHG VAR BENEFITS"</f>
        <v>FY 2023 CHG VAR BENEFITS</v>
      </c>
      <c r="L101" s="50" t="s">
        <v>25</v>
      </c>
    </row>
    <row r="102" spans="1:12" x14ac:dyDescent="0.3">
      <c r="A102" s="389" t="s">
        <v>26</v>
      </c>
      <c r="B102" s="390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3">
      <c r="A103" s="385" t="s">
        <v>27</v>
      </c>
      <c r="B103" s="391"/>
      <c r="C103" s="217">
        <v>1</v>
      </c>
      <c r="D103" s="288">
        <f>[0]!PRBA049600col_INC_FTI</f>
        <v>4.4000000000000004</v>
      </c>
      <c r="E103" s="218">
        <f>[0]!PRBA049600col_FTI_SALARY_PERM</f>
        <v>207762.88</v>
      </c>
      <c r="F103" s="218">
        <f>[0]!PRBA049600col_HEALTH_PERM</f>
        <v>51260</v>
      </c>
      <c r="G103" s="218">
        <f>[0]!PRBA049600col_TOT_VB_PERM</f>
        <v>49441.332553600005</v>
      </c>
      <c r="H103" s="219">
        <f>SUM(E103:G103)</f>
        <v>308464.21255360002</v>
      </c>
      <c r="I103" s="219">
        <f>[0]!PRBA049600col_1_27TH_PP</f>
        <v>0</v>
      </c>
      <c r="J103" s="218">
        <f>[0]!PRBA049600col_HEALTH_PERM_CHG</f>
        <v>0</v>
      </c>
      <c r="K103" s="218">
        <f>[0]!PRBA049600col_TOT_VB_PERM_CHG</f>
        <v>602.51235200000042</v>
      </c>
      <c r="L103" s="218">
        <f>SUM(J103:K103)</f>
        <v>602.51235200000042</v>
      </c>
    </row>
    <row r="104" spans="1:12" x14ac:dyDescent="0.3">
      <c r="A104" s="385" t="s">
        <v>28</v>
      </c>
      <c r="B104" s="391"/>
      <c r="C104" s="217">
        <v>2</v>
      </c>
      <c r="D104" s="288"/>
      <c r="E104" s="218">
        <f>[0]!PRBA049600col_Group_Salary</f>
        <v>80033.989999999991</v>
      </c>
      <c r="F104" s="218">
        <v>0</v>
      </c>
      <c r="G104" s="218">
        <f>[0]!PRBA049600col_Group_Ben</f>
        <v>11743.330000000002</v>
      </c>
      <c r="H104" s="219">
        <f>SUM(E104:G104)</f>
        <v>91777.319999999992</v>
      </c>
      <c r="I104" s="268"/>
      <c r="J104" s="218"/>
      <c r="K104" s="218"/>
      <c r="L104" s="218"/>
    </row>
    <row r="105" spans="1:12" x14ac:dyDescent="0.3">
      <c r="A105" s="385" t="s">
        <v>29</v>
      </c>
      <c r="B105" s="386"/>
      <c r="C105" s="217">
        <v>3</v>
      </c>
      <c r="D105" s="288">
        <f>[0]!PRBA049600col_TOTAL_ELECT_PCN_FTI</f>
        <v>0</v>
      </c>
      <c r="E105" s="218">
        <f>[0]!PRBA049600col_FTI_SALARY_ELECT</f>
        <v>0</v>
      </c>
      <c r="F105" s="218">
        <f>[0]!PRBA049600col_HEALTH_ELECT</f>
        <v>0</v>
      </c>
      <c r="G105" s="218">
        <f>[0]!PRBA049600col_TOT_VB_ELECT</f>
        <v>0</v>
      </c>
      <c r="H105" s="219">
        <f>SUM(E105:G105)</f>
        <v>0</v>
      </c>
      <c r="I105" s="268"/>
      <c r="J105" s="218">
        <f>[0]!PRBA049600col_HEALTH_ELECT_CHG</f>
        <v>0</v>
      </c>
      <c r="K105" s="218">
        <f>[0]!PRBA049600col_TOT_VB_ELECT_CHG</f>
        <v>0</v>
      </c>
      <c r="L105" s="219">
        <f>SUM(J105:K105)</f>
        <v>0</v>
      </c>
    </row>
    <row r="106" spans="1:12" x14ac:dyDescent="0.3">
      <c r="A106" s="385" t="s">
        <v>30</v>
      </c>
      <c r="B106" s="391"/>
      <c r="C106" s="217"/>
      <c r="D106" s="220">
        <f>SUM(D103:D105)</f>
        <v>4.4000000000000004</v>
      </c>
      <c r="E106" s="221">
        <f>SUM(E103:E105)</f>
        <v>287796.87</v>
      </c>
      <c r="F106" s="221">
        <f>SUM(F103:F105)</f>
        <v>51260</v>
      </c>
      <c r="G106" s="221">
        <f>SUM(G103:G105)</f>
        <v>61184.662553600007</v>
      </c>
      <c r="H106" s="219">
        <f>SUM(E106:G106)</f>
        <v>400241.53255360003</v>
      </c>
      <c r="I106" s="268"/>
      <c r="J106" s="219">
        <f>SUM(J103:J105)</f>
        <v>0</v>
      </c>
      <c r="K106" s="219">
        <f>SUM(K103:K105)</f>
        <v>602.51235200000042</v>
      </c>
      <c r="L106" s="219">
        <f>SUM(L103:L105)</f>
        <v>602.51235200000042</v>
      </c>
    </row>
    <row r="107" spans="1:12" x14ac:dyDescent="0.3">
      <c r="A107" s="365"/>
      <c r="B107" s="371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3">
      <c r="A108" s="157" t="str">
        <f>"FY "&amp;'PRBA|0496-00'!FiscalYear-1</f>
        <v>FY 2022</v>
      </c>
      <c r="B108" s="158" t="s">
        <v>31</v>
      </c>
      <c r="C108" s="355">
        <v>517000</v>
      </c>
      <c r="D108" s="55">
        <v>4.7</v>
      </c>
      <c r="E108" s="223">
        <f>IF('PRBA|0496-00'!OrigApprop=0,0,(E106/H106)*'PRBA|0496-00'!OrigApprop)</f>
        <v>371752.97835957102</v>
      </c>
      <c r="F108" s="223">
        <f>IF('PRBA|0496-00'!OrigApprop=0,0,(F106/H106)*'PRBA|0496-00'!OrigApprop)</f>
        <v>66213.568169492632</v>
      </c>
      <c r="G108" s="223">
        <f>IF(E108=0,0,(G106/H106)*'PRBA|0496-00'!OrigApprop)</f>
        <v>79033.453470936351</v>
      </c>
      <c r="H108" s="223">
        <f>SUM(E108:G108)</f>
        <v>517000</v>
      </c>
      <c r="I108" s="268"/>
      <c r="J108" s="224"/>
      <c r="K108" s="224"/>
      <c r="L108" s="224"/>
    </row>
    <row r="109" spans="1:12" x14ac:dyDescent="0.3">
      <c r="A109" s="392" t="s">
        <v>32</v>
      </c>
      <c r="B109" s="393"/>
      <c r="C109" s="160" t="s">
        <v>33</v>
      </c>
      <c r="D109" s="161">
        <f>D108-D106</f>
        <v>0.29999999999999982</v>
      </c>
      <c r="E109" s="162">
        <f>E108-E106</f>
        <v>83956.108359571022</v>
      </c>
      <c r="F109" s="162">
        <f>F108-F106</f>
        <v>14953.568169492632</v>
      </c>
      <c r="G109" s="162">
        <f>G108-G106</f>
        <v>17848.790917336344</v>
      </c>
      <c r="H109" s="162">
        <f>H108-H106</f>
        <v>116758.46744639997</v>
      </c>
      <c r="I109" s="269"/>
      <c r="J109" s="56" t="str">
        <f>IF('PRBA|0496-00'!OrigApprop=0,"ERROR! Enter Original Appropriation amount in DU 3.00!","Calculated "&amp;IF('PRBA|0496-00'!AdjustedTotal&gt;0,"overfunding ","underfunding ")&amp;"is "&amp;TEXT('PRBA|0496-00'!AdjustedTotal/'PRBA|0496-00'!AppropTotal,"#.0%;(#.0% );0% ;")&amp;" of Original Appropriation")</f>
        <v>Calculated overfunding is 22.6% of Original Appropriation</v>
      </c>
      <c r="K109" s="163"/>
      <c r="L109" s="164"/>
    </row>
    <row r="111" spans="1:12" x14ac:dyDescent="0.3">
      <c r="A111" s="470" t="s">
        <v>1157</v>
      </c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</row>
    <row r="112" spans="1:12" ht="40.200000000000003" x14ac:dyDescent="0.3">
      <c r="A112" s="387" t="s">
        <v>22</v>
      </c>
      <c r="B112" s="388"/>
      <c r="C112" s="370" t="s">
        <v>23</v>
      </c>
      <c r="D112" s="49" t="s">
        <v>24</v>
      </c>
      <c r="E112" s="50" t="str">
        <f>"FY "&amp;'PRBB|0250-00'!FiscalYear-1&amp;" SALARY"</f>
        <v>FY 2022 SALARY</v>
      </c>
      <c r="F112" s="50" t="str">
        <f>"FY "&amp;'PRBB|0250-00'!FiscalYear-1&amp;" HEALTH BENEFITS"</f>
        <v>FY 2022 HEALTH BENEFITS</v>
      </c>
      <c r="G112" s="50" t="str">
        <f>"FY "&amp;'PRBB|0250-00'!FiscalYear-1&amp;" VAR BENEFITS"</f>
        <v>FY 2022 VAR BENEFITS</v>
      </c>
      <c r="H112" s="50" t="str">
        <f>"FY "&amp;'PRBB|0250-00'!FiscalYear-1&amp;" TOTAL"</f>
        <v>FY 2022 TOTAL</v>
      </c>
      <c r="I112" s="50" t="str">
        <f>"FY "&amp;'PRBB|0250-00'!FiscalYear&amp;" SALARY CHANGE"</f>
        <v>FY 2023 SALARY CHANGE</v>
      </c>
      <c r="J112" s="50" t="str">
        <f>"FY "&amp;'PRBB|0250-00'!FiscalYear&amp;" CHG HEALTH BENEFITS"</f>
        <v>FY 2023 CHG HEALTH BENEFITS</v>
      </c>
      <c r="K112" s="50" t="str">
        <f>"FY "&amp;'PRBB|0250-00'!FiscalYear&amp;" CHG VAR BENEFITS"</f>
        <v>FY 2023 CHG VAR BENEFITS</v>
      </c>
      <c r="L112" s="50" t="s">
        <v>25</v>
      </c>
    </row>
    <row r="113" spans="1:12" x14ac:dyDescent="0.3">
      <c r="A113" s="389" t="s">
        <v>26</v>
      </c>
      <c r="B113" s="390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3">
      <c r="A114" s="385" t="s">
        <v>27</v>
      </c>
      <c r="B114" s="391"/>
      <c r="C114" s="217">
        <v>1</v>
      </c>
      <c r="D114" s="288">
        <f>[0]!PRBB025000col_INC_FTI</f>
        <v>7.42</v>
      </c>
      <c r="E114" s="218">
        <f>[0]!PRBB025000col_FTI_SALARY_PERM</f>
        <v>376747.28</v>
      </c>
      <c r="F114" s="218">
        <f>[0]!PRBB025000col_HEALTH_PERM</f>
        <v>86443</v>
      </c>
      <c r="G114" s="218">
        <f>[0]!PRBB025000col_TOT_VB_PERM</f>
        <v>89654.550221599988</v>
      </c>
      <c r="H114" s="219">
        <f>SUM(E114:G114)</f>
        <v>552844.83022160002</v>
      </c>
      <c r="I114" s="219">
        <f>[0]!PRBB025000col_1_27TH_PP</f>
        <v>0</v>
      </c>
      <c r="J114" s="218">
        <f>[0]!PRBB025000col_HEALTH_PERM_CHG</f>
        <v>0</v>
      </c>
      <c r="K114" s="218">
        <f>[0]!PRBB025000col_TOT_VB_PERM_CHG</f>
        <v>1092.5671120000006</v>
      </c>
      <c r="L114" s="218">
        <f>SUM(J114:K114)</f>
        <v>1092.5671120000006</v>
      </c>
    </row>
    <row r="115" spans="1:12" x14ac:dyDescent="0.3">
      <c r="A115" s="385" t="s">
        <v>28</v>
      </c>
      <c r="B115" s="391"/>
      <c r="C115" s="217">
        <v>2</v>
      </c>
      <c r="D115" s="288"/>
      <c r="E115" s="218">
        <f>[0]!PRBB025000col_Group_Salary</f>
        <v>141658.01999999999</v>
      </c>
      <c r="F115" s="218">
        <v>0</v>
      </c>
      <c r="G115" s="218">
        <f>[0]!PRBB025000col_Group_Ben</f>
        <v>42239.88</v>
      </c>
      <c r="H115" s="219">
        <f>SUM(E115:G115)</f>
        <v>183897.9</v>
      </c>
      <c r="I115" s="268"/>
      <c r="J115" s="218"/>
      <c r="K115" s="218"/>
      <c r="L115" s="218"/>
    </row>
    <row r="116" spans="1:12" x14ac:dyDescent="0.3">
      <c r="A116" s="385" t="s">
        <v>29</v>
      </c>
      <c r="B116" s="386"/>
      <c r="C116" s="217">
        <v>3</v>
      </c>
      <c r="D116" s="288">
        <f>[0]!PRBB025000col_TOTAL_ELECT_PCN_FTI</f>
        <v>0</v>
      </c>
      <c r="E116" s="218">
        <f>[0]!PRBB025000col_FTI_SALARY_ELECT</f>
        <v>0</v>
      </c>
      <c r="F116" s="218">
        <f>[0]!PRBB025000col_HEALTH_ELECT</f>
        <v>0</v>
      </c>
      <c r="G116" s="218">
        <f>[0]!PRBB025000col_TOT_VB_ELECT</f>
        <v>0</v>
      </c>
      <c r="H116" s="219">
        <f>SUM(E116:G116)</f>
        <v>0</v>
      </c>
      <c r="I116" s="268"/>
      <c r="J116" s="218">
        <f>[0]!PRBB025000col_HEALTH_ELECT_CHG</f>
        <v>0</v>
      </c>
      <c r="K116" s="218">
        <f>[0]!PRBB025000col_TOT_VB_ELECT_CHG</f>
        <v>0</v>
      </c>
      <c r="L116" s="219">
        <f>SUM(J116:K116)</f>
        <v>0</v>
      </c>
    </row>
    <row r="117" spans="1:12" x14ac:dyDescent="0.3">
      <c r="A117" s="385" t="s">
        <v>30</v>
      </c>
      <c r="B117" s="391"/>
      <c r="C117" s="217"/>
      <c r="D117" s="220">
        <f>SUM(D114:D116)</f>
        <v>7.42</v>
      </c>
      <c r="E117" s="221">
        <f>SUM(E114:E116)</f>
        <v>518405.30000000005</v>
      </c>
      <c r="F117" s="221">
        <f>SUM(F114:F116)</f>
        <v>86443</v>
      </c>
      <c r="G117" s="221">
        <f>SUM(G114:G116)</f>
        <v>131894.43022159999</v>
      </c>
      <c r="H117" s="219">
        <f>SUM(E117:G117)</f>
        <v>736742.73022160004</v>
      </c>
      <c r="I117" s="268"/>
      <c r="J117" s="219">
        <f>SUM(J114:J116)</f>
        <v>0</v>
      </c>
      <c r="K117" s="219">
        <f>SUM(K114:K116)</f>
        <v>1092.5671120000006</v>
      </c>
      <c r="L117" s="219">
        <f>SUM(L114:L116)</f>
        <v>1092.5671120000006</v>
      </c>
    </row>
    <row r="118" spans="1:12" x14ac:dyDescent="0.3">
      <c r="A118" s="365"/>
      <c r="B118" s="371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3">
      <c r="A119" s="157" t="str">
        <f>"FY "&amp;'PRBB|0250-00'!FiscalYear-1</f>
        <v>FY 2022</v>
      </c>
      <c r="B119" s="158" t="s">
        <v>31</v>
      </c>
      <c r="C119" s="355">
        <v>1017500</v>
      </c>
      <c r="D119" s="55">
        <v>10.119999999999999</v>
      </c>
      <c r="E119" s="223">
        <f>IF('PRBB|0250-00'!OrigApprop=0,0,(E117/H117)*'PRBB|0250-00'!OrigApprop)</f>
        <v>715958.73445720132</v>
      </c>
      <c r="F119" s="223">
        <f>IF('PRBB|0250-00'!OrigApprop=0,0,(F117/H117)*'PRBB|0250-00'!OrigApprop)</f>
        <v>119384.62219171727</v>
      </c>
      <c r="G119" s="223">
        <f>IF(E119=0,0,(G117/H117)*'PRBB|0250-00'!OrigApprop)</f>
        <v>182156.64335108141</v>
      </c>
      <c r="H119" s="223">
        <f>SUM(E119:G119)</f>
        <v>1017500</v>
      </c>
      <c r="I119" s="268"/>
      <c r="J119" s="224"/>
      <c r="K119" s="224"/>
      <c r="L119" s="224"/>
    </row>
    <row r="120" spans="1:12" x14ac:dyDescent="0.3">
      <c r="A120" s="392" t="s">
        <v>32</v>
      </c>
      <c r="B120" s="393"/>
      <c r="C120" s="160" t="s">
        <v>33</v>
      </c>
      <c r="D120" s="161">
        <f>D119-D117</f>
        <v>2.6999999999999993</v>
      </c>
      <c r="E120" s="162">
        <f>E119-E117</f>
        <v>197553.43445720128</v>
      </c>
      <c r="F120" s="162">
        <f>F119-F117</f>
        <v>32941.622191717266</v>
      </c>
      <c r="G120" s="162">
        <f>G119-G117</f>
        <v>50262.213129481417</v>
      </c>
      <c r="H120" s="162">
        <f>H119-H117</f>
        <v>280757.26977839996</v>
      </c>
      <c r="I120" s="269"/>
      <c r="J120" s="56" t="str">
        <f>IF('PRBB|0250-00'!OrigApprop=0,"ERROR! Enter Original Appropriation amount in DU 3.00!","Calculated "&amp;IF('PRBB|0250-00'!AdjustedTotal&gt;0,"overfunding ","underfunding ")&amp;"is "&amp;TEXT('PRBB|0250-00'!AdjustedTotal/'PRBB|0250-00'!AppropTotal,"#.0%;(#.0% );0% ;")&amp;" of Original Appropriation")</f>
        <v>Calculated overfunding is 27.6% of Original Appropriation</v>
      </c>
      <c r="K120" s="163"/>
      <c r="L120" s="164"/>
    </row>
    <row r="122" spans="1:12" x14ac:dyDescent="0.3">
      <c r="A122" s="470" t="s">
        <v>1163</v>
      </c>
      <c r="B122" s="470"/>
      <c r="C122" s="470"/>
      <c r="D122" s="470"/>
      <c r="E122" s="470"/>
      <c r="F122" s="470"/>
      <c r="G122" s="470"/>
      <c r="H122" s="470"/>
      <c r="I122" s="470"/>
      <c r="J122" s="470"/>
      <c r="K122" s="470"/>
      <c r="L122" s="470"/>
    </row>
    <row r="123" spans="1:12" ht="40.200000000000003" x14ac:dyDescent="0.3">
      <c r="A123" s="387" t="s">
        <v>22</v>
      </c>
      <c r="B123" s="388"/>
      <c r="C123" s="370" t="s">
        <v>23</v>
      </c>
      <c r="D123" s="49" t="s">
        <v>24</v>
      </c>
      <c r="E123" s="50" t="str">
        <f>"FY "&amp;'PRBB|0348-00'!FiscalYear-1&amp;" SALARY"</f>
        <v>FY 2022 SALARY</v>
      </c>
      <c r="F123" s="50" t="str">
        <f>"FY "&amp;'PRBB|0348-00'!FiscalYear-1&amp;" HEALTH BENEFITS"</f>
        <v>FY 2022 HEALTH BENEFITS</v>
      </c>
      <c r="G123" s="50" t="str">
        <f>"FY "&amp;'PRBB|0348-00'!FiscalYear-1&amp;" VAR BENEFITS"</f>
        <v>FY 2022 VAR BENEFITS</v>
      </c>
      <c r="H123" s="50" t="str">
        <f>"FY "&amp;'PRBB|0348-00'!FiscalYear-1&amp;" TOTAL"</f>
        <v>FY 2022 TOTAL</v>
      </c>
      <c r="I123" s="50" t="str">
        <f>"FY "&amp;'PRBB|0348-00'!FiscalYear&amp;" SALARY CHANGE"</f>
        <v>FY 2023 SALARY CHANGE</v>
      </c>
      <c r="J123" s="50" t="str">
        <f>"FY "&amp;'PRBB|0348-00'!FiscalYear&amp;" CHG HEALTH BENEFITS"</f>
        <v>FY 2023 CHG HEALTH BENEFITS</v>
      </c>
      <c r="K123" s="50" t="str">
        <f>"FY "&amp;'PRBB|0348-00'!FiscalYear&amp;" CHG VAR BENEFITS"</f>
        <v>FY 2023 CHG VAR BENEFITS</v>
      </c>
      <c r="L123" s="50" t="s">
        <v>25</v>
      </c>
    </row>
    <row r="124" spans="1:12" x14ac:dyDescent="0.3">
      <c r="A124" s="389" t="s">
        <v>26</v>
      </c>
      <c r="B124" s="390"/>
      <c r="C124" s="141"/>
      <c r="D124" s="142"/>
      <c r="E124" s="143"/>
      <c r="F124" s="143"/>
      <c r="G124" s="143"/>
      <c r="H124" s="144"/>
      <c r="I124" s="144"/>
      <c r="J124" s="145"/>
      <c r="K124" s="146"/>
      <c r="L124" s="144"/>
    </row>
    <row r="125" spans="1:12" x14ac:dyDescent="0.3">
      <c r="A125" s="385" t="s">
        <v>27</v>
      </c>
      <c r="B125" s="391"/>
      <c r="C125" s="217">
        <v>1</v>
      </c>
      <c r="D125" s="288">
        <f>[0]!PRBB034800col_INC_FTI</f>
        <v>11.120000000000003</v>
      </c>
      <c r="E125" s="218">
        <f>[0]!PRBB034800col_FTI_SALARY_PERM</f>
        <v>511281.68</v>
      </c>
      <c r="F125" s="218">
        <f>[0]!PRBB034800col_HEALTH_PERM</f>
        <v>132460.5</v>
      </c>
      <c r="G125" s="218">
        <f>[0]!PRBB034800col_TOT_VB_PERM</f>
        <v>121669.70138960001</v>
      </c>
      <c r="H125" s="219">
        <f>SUM(E125:G125)</f>
        <v>765411.88138959999</v>
      </c>
      <c r="I125" s="219">
        <f>[0]!PRBB034800col_1_27TH_PP</f>
        <v>0</v>
      </c>
      <c r="J125" s="218">
        <f>[0]!PRBB034800col_HEALTH_PERM_CHG</f>
        <v>0</v>
      </c>
      <c r="K125" s="218">
        <f>[0]!PRBB034800col_TOT_VB_PERM_CHG</f>
        <v>1482.7168720000009</v>
      </c>
      <c r="L125" s="218">
        <f>SUM(J125:K125)</f>
        <v>1482.7168720000009</v>
      </c>
    </row>
    <row r="126" spans="1:12" x14ac:dyDescent="0.3">
      <c r="A126" s="385" t="s">
        <v>28</v>
      </c>
      <c r="B126" s="391"/>
      <c r="C126" s="217">
        <v>2</v>
      </c>
      <c r="D126" s="288"/>
      <c r="E126" s="218">
        <f>[0]!PRBB034800col_Group_Salary</f>
        <v>158090.68</v>
      </c>
      <c r="F126" s="218">
        <v>0</v>
      </c>
      <c r="G126" s="218">
        <f>[0]!PRBB034800col_Group_Ben</f>
        <v>40198.57</v>
      </c>
      <c r="H126" s="219">
        <f>SUM(E126:G126)</f>
        <v>198289.25</v>
      </c>
      <c r="I126" s="268"/>
      <c r="J126" s="218"/>
      <c r="K126" s="218"/>
      <c r="L126" s="218"/>
    </row>
    <row r="127" spans="1:12" x14ac:dyDescent="0.3">
      <c r="A127" s="385" t="s">
        <v>29</v>
      </c>
      <c r="B127" s="386"/>
      <c r="C127" s="217">
        <v>3</v>
      </c>
      <c r="D127" s="288">
        <f>[0]!PRBB034800col_TOTAL_ELECT_PCN_FTI</f>
        <v>0</v>
      </c>
      <c r="E127" s="218">
        <f>[0]!PRBB034800col_FTI_SALARY_ELECT</f>
        <v>0</v>
      </c>
      <c r="F127" s="218">
        <f>[0]!PRBB034800col_HEALTH_ELECT</f>
        <v>0</v>
      </c>
      <c r="G127" s="218">
        <f>[0]!PRBB034800col_TOT_VB_ELECT</f>
        <v>0</v>
      </c>
      <c r="H127" s="219">
        <f>SUM(E127:G127)</f>
        <v>0</v>
      </c>
      <c r="I127" s="268"/>
      <c r="J127" s="218">
        <f>[0]!PRBB034800col_HEALTH_ELECT_CHG</f>
        <v>0</v>
      </c>
      <c r="K127" s="218">
        <f>[0]!PRBB034800col_TOT_VB_ELECT_CHG</f>
        <v>0</v>
      </c>
      <c r="L127" s="219">
        <f>SUM(J127:K127)</f>
        <v>0</v>
      </c>
    </row>
    <row r="128" spans="1:12" x14ac:dyDescent="0.3">
      <c r="A128" s="385" t="s">
        <v>30</v>
      </c>
      <c r="B128" s="391"/>
      <c r="C128" s="217"/>
      <c r="D128" s="220">
        <f>SUM(D125:D127)</f>
        <v>11.120000000000003</v>
      </c>
      <c r="E128" s="221">
        <f>SUM(E125:E127)</f>
        <v>669372.36</v>
      </c>
      <c r="F128" s="221">
        <f>SUM(F125:F127)</f>
        <v>132460.5</v>
      </c>
      <c r="G128" s="221">
        <f>SUM(G125:G127)</f>
        <v>161868.27138960001</v>
      </c>
      <c r="H128" s="219">
        <f>SUM(E128:G128)</f>
        <v>963701.13138959999</v>
      </c>
      <c r="I128" s="268"/>
      <c r="J128" s="219">
        <f>SUM(J125:J127)</f>
        <v>0</v>
      </c>
      <c r="K128" s="219">
        <f>SUM(K125:K127)</f>
        <v>1482.7168720000009</v>
      </c>
      <c r="L128" s="219">
        <f>SUM(L125:L127)</f>
        <v>1482.7168720000009</v>
      </c>
    </row>
    <row r="129" spans="1:12" x14ac:dyDescent="0.3">
      <c r="A129" s="365"/>
      <c r="B129" s="371"/>
      <c r="C129" s="217"/>
      <c r="D129" s="220"/>
      <c r="E129" s="219"/>
      <c r="F129" s="219"/>
      <c r="G129" s="219"/>
      <c r="H129" s="219"/>
      <c r="I129" s="268"/>
      <c r="J129" s="219"/>
      <c r="K129" s="222"/>
      <c r="L129" s="222"/>
    </row>
    <row r="130" spans="1:12" x14ac:dyDescent="0.3">
      <c r="A130" s="157" t="str">
        <f>"FY "&amp;'PRBB|0348-00'!FiscalYear-1</f>
        <v>FY 2022</v>
      </c>
      <c r="B130" s="158" t="s">
        <v>31</v>
      </c>
      <c r="C130" s="355">
        <v>1089400</v>
      </c>
      <c r="D130" s="55">
        <v>12.02</v>
      </c>
      <c r="E130" s="223">
        <f>IF('PRBB|0348-00'!OrigApprop=0,0,(E128/H128)*'PRBB|0348-00'!OrigApprop)</f>
        <v>756680.90991292731</v>
      </c>
      <c r="F130" s="223">
        <f>IF('PRBB|0348-00'!OrigApprop=0,0,(F128/H128)*'PRBB|0348-00'!OrigApprop)</f>
        <v>149737.78072868337</v>
      </c>
      <c r="G130" s="223">
        <f>IF(E130=0,0,(G128/H128)*'PRBB|0348-00'!OrigApprop)</f>
        <v>182981.30935838938</v>
      </c>
      <c r="H130" s="223">
        <f>SUM(E130:G130)</f>
        <v>1089400</v>
      </c>
      <c r="I130" s="268"/>
      <c r="J130" s="224"/>
      <c r="K130" s="224"/>
      <c r="L130" s="224"/>
    </row>
    <row r="131" spans="1:12" x14ac:dyDescent="0.3">
      <c r="A131" s="392" t="s">
        <v>32</v>
      </c>
      <c r="B131" s="393"/>
      <c r="C131" s="160" t="s">
        <v>33</v>
      </c>
      <c r="D131" s="161">
        <f>D130-D128</f>
        <v>0.8999999999999968</v>
      </c>
      <c r="E131" s="162">
        <f>E130-E128</f>
        <v>87308.549912927323</v>
      </c>
      <c r="F131" s="162">
        <f>F130-F128</f>
        <v>17277.28072868337</v>
      </c>
      <c r="G131" s="162">
        <f>G130-G128</f>
        <v>21113.037968789373</v>
      </c>
      <c r="H131" s="162">
        <f>H130-H128</f>
        <v>125698.86861040001</v>
      </c>
      <c r="I131" s="269"/>
      <c r="J131" s="56" t="str">
        <f>IF('PRBB|0348-00'!OrigApprop=0,"ERROR! Enter Original Appropriation amount in DU 3.00!","Calculated "&amp;IF('PRBB|0348-00'!AdjustedTotal&gt;0,"overfunding ","underfunding ")&amp;"is "&amp;TEXT('PRBB|0348-00'!AdjustedTotal/'PRBB|0348-00'!AppropTotal,"#.0%;(#.0% );0% ;")&amp;" of Original Appropriation")</f>
        <v>Calculated overfunding is 11.5% of Original Appropriation</v>
      </c>
      <c r="K131" s="163"/>
      <c r="L131" s="164"/>
    </row>
    <row r="133" spans="1:12" x14ac:dyDescent="0.3">
      <c r="A133" s="470" t="s">
        <v>1169</v>
      </c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</row>
    <row r="134" spans="1:12" ht="40.200000000000003" x14ac:dyDescent="0.3">
      <c r="A134" s="387" t="s">
        <v>22</v>
      </c>
      <c r="B134" s="388"/>
      <c r="C134" s="370" t="s">
        <v>23</v>
      </c>
      <c r="D134" s="49" t="s">
        <v>24</v>
      </c>
      <c r="E134" s="50" t="str">
        <f>"FY "&amp;'PRBD|0410-00'!FiscalYear-1&amp;" SALARY"</f>
        <v>FY 2022 SALARY</v>
      </c>
      <c r="F134" s="50" t="str">
        <f>"FY "&amp;'PRBD|0410-00'!FiscalYear-1&amp;" HEALTH BENEFITS"</f>
        <v>FY 2022 HEALTH BENEFITS</v>
      </c>
      <c r="G134" s="50" t="str">
        <f>"FY "&amp;'PRBD|0410-00'!FiscalYear-1&amp;" VAR BENEFITS"</f>
        <v>FY 2022 VAR BENEFITS</v>
      </c>
      <c r="H134" s="50" t="str">
        <f>"FY "&amp;'PRBD|0410-00'!FiscalYear-1&amp;" TOTAL"</f>
        <v>FY 2022 TOTAL</v>
      </c>
      <c r="I134" s="50" t="str">
        <f>"FY "&amp;'PRBD|0410-00'!FiscalYear&amp;" SALARY CHANGE"</f>
        <v>FY 2023 SALARY CHANGE</v>
      </c>
      <c r="J134" s="50" t="str">
        <f>"FY "&amp;'PRBD|0410-00'!FiscalYear&amp;" CHG HEALTH BENEFITS"</f>
        <v>FY 2023 CHG HEALTH BENEFITS</v>
      </c>
      <c r="K134" s="50" t="str">
        <f>"FY "&amp;'PRBD|0410-00'!FiscalYear&amp;" CHG VAR BENEFITS"</f>
        <v>FY 2023 CHG VAR BENEFITS</v>
      </c>
      <c r="L134" s="50" t="s">
        <v>25</v>
      </c>
    </row>
    <row r="135" spans="1:12" x14ac:dyDescent="0.3">
      <c r="A135" s="389" t="s">
        <v>26</v>
      </c>
      <c r="B135" s="390"/>
      <c r="C135" s="141"/>
      <c r="D135" s="142"/>
      <c r="E135" s="143"/>
      <c r="F135" s="143"/>
      <c r="G135" s="143"/>
      <c r="H135" s="144"/>
      <c r="I135" s="144"/>
      <c r="J135" s="145"/>
      <c r="K135" s="146"/>
      <c r="L135" s="144"/>
    </row>
    <row r="136" spans="1:12" x14ac:dyDescent="0.3">
      <c r="A136" s="385" t="s">
        <v>27</v>
      </c>
      <c r="B136" s="391"/>
      <c r="C136" s="217">
        <v>1</v>
      </c>
      <c r="D136" s="288">
        <f>[0]!PRBD041001col_INC_FTI</f>
        <v>4.0625</v>
      </c>
      <c r="E136" s="218">
        <f>[0]!PRBD041001col_FTI_SALARY_PERM</f>
        <v>166114.52000000002</v>
      </c>
      <c r="F136" s="218">
        <f>[0]!PRBD041001col_HEALTH_PERM</f>
        <v>48930</v>
      </c>
      <c r="G136" s="218">
        <f>[0]!PRBD041001col_TOT_VB_PERM</f>
        <v>39530.272324400001</v>
      </c>
      <c r="H136" s="219">
        <f>SUM(E136:G136)</f>
        <v>254574.79232440001</v>
      </c>
      <c r="I136" s="219">
        <f>[0]!PRBD041001col_1_27TH_PP</f>
        <v>0</v>
      </c>
      <c r="J136" s="218">
        <f>[0]!PRBD041001col_HEALTH_PERM_CHG</f>
        <v>0</v>
      </c>
      <c r="K136" s="218">
        <f>[0]!PRBD041001col_TOT_VB_PERM_CHG</f>
        <v>481.73210800000027</v>
      </c>
      <c r="L136" s="218">
        <f>SUM(J136:K136)</f>
        <v>481.73210800000027</v>
      </c>
    </row>
    <row r="137" spans="1:12" x14ac:dyDescent="0.3">
      <c r="A137" s="385" t="s">
        <v>28</v>
      </c>
      <c r="B137" s="391"/>
      <c r="C137" s="217">
        <v>2</v>
      </c>
      <c r="D137" s="288"/>
      <c r="E137" s="218">
        <f>[0]!PRBD041001col_Group_Salary</f>
        <v>449427.45</v>
      </c>
      <c r="F137" s="218">
        <v>0</v>
      </c>
      <c r="G137" s="218">
        <f>[0]!PRBD041001col_Group_Ben</f>
        <v>59231.729999999996</v>
      </c>
      <c r="H137" s="219">
        <f>SUM(E137:G137)</f>
        <v>508659.18</v>
      </c>
      <c r="I137" s="268"/>
      <c r="J137" s="218"/>
      <c r="K137" s="218"/>
      <c r="L137" s="218"/>
    </row>
    <row r="138" spans="1:12" x14ac:dyDescent="0.3">
      <c r="A138" s="385" t="s">
        <v>29</v>
      </c>
      <c r="B138" s="386"/>
      <c r="C138" s="217">
        <v>3</v>
      </c>
      <c r="D138" s="288">
        <f>[0]!PRBD041001col_TOTAL_ELECT_PCN_FTI</f>
        <v>0</v>
      </c>
      <c r="E138" s="218">
        <f>[0]!PRBD041001col_FTI_SALARY_ELECT</f>
        <v>0</v>
      </c>
      <c r="F138" s="218">
        <f>[0]!PRBD041001col_HEALTH_ELECT</f>
        <v>0</v>
      </c>
      <c r="G138" s="218">
        <f>[0]!PRBD041001col_TOT_VB_ELECT</f>
        <v>0</v>
      </c>
      <c r="H138" s="219">
        <f>SUM(E138:G138)</f>
        <v>0</v>
      </c>
      <c r="I138" s="268"/>
      <c r="J138" s="218">
        <f>[0]!PRBD041001col_HEALTH_ELECT_CHG</f>
        <v>0</v>
      </c>
      <c r="K138" s="218">
        <f>[0]!PRBD041001col_TOT_VB_ELECT_CHG</f>
        <v>0</v>
      </c>
      <c r="L138" s="219">
        <f>SUM(J138:K138)</f>
        <v>0</v>
      </c>
    </row>
    <row r="139" spans="1:12" x14ac:dyDescent="0.3">
      <c r="A139" s="385" t="s">
        <v>30</v>
      </c>
      <c r="B139" s="391"/>
      <c r="C139" s="217"/>
      <c r="D139" s="220">
        <f>SUM(D136:D138)</f>
        <v>4.0625</v>
      </c>
      <c r="E139" s="221">
        <f>SUM(E136:E138)</f>
        <v>615541.97</v>
      </c>
      <c r="F139" s="221">
        <f>SUM(F136:F138)</f>
        <v>48930</v>
      </c>
      <c r="G139" s="221">
        <f>SUM(G136:G138)</f>
        <v>98762.002324400004</v>
      </c>
      <c r="H139" s="219">
        <f>SUM(E139:G139)</f>
        <v>763233.97232439998</v>
      </c>
      <c r="I139" s="268"/>
      <c r="J139" s="219">
        <f>SUM(J136:J138)</f>
        <v>0</v>
      </c>
      <c r="K139" s="219">
        <f>SUM(K136:K138)</f>
        <v>481.73210800000027</v>
      </c>
      <c r="L139" s="219">
        <f>SUM(L136:L138)</f>
        <v>481.73210800000027</v>
      </c>
    </row>
    <row r="140" spans="1:12" x14ac:dyDescent="0.3">
      <c r="A140" s="365"/>
      <c r="B140" s="371"/>
      <c r="C140" s="217"/>
      <c r="D140" s="220"/>
      <c r="E140" s="219"/>
      <c r="F140" s="219"/>
      <c r="G140" s="219"/>
      <c r="H140" s="219"/>
      <c r="I140" s="268"/>
      <c r="J140" s="219"/>
      <c r="K140" s="222"/>
      <c r="L140" s="222"/>
    </row>
    <row r="141" spans="1:12" x14ac:dyDescent="0.3">
      <c r="A141" s="157" t="str">
        <f>"FY "&amp;'PRBD|0410-00'!FiscalYear-1</f>
        <v>FY 2022</v>
      </c>
      <c r="B141" s="158" t="s">
        <v>31</v>
      </c>
      <c r="C141" s="355">
        <v>815300</v>
      </c>
      <c r="D141" s="55">
        <v>4.12</v>
      </c>
      <c r="E141" s="223">
        <f>IF('PRBD|0410-00'!OrigApprop=0,0,(E139/H139)*'PRBD|0410-00'!OrigApprop)</f>
        <v>657532.79641448718</v>
      </c>
      <c r="F141" s="223">
        <f>IF('PRBD|0410-00'!OrigApprop=0,0,(F139/H139)*'PRBD|0410-00'!OrigApprop)</f>
        <v>52267.889594207292</v>
      </c>
      <c r="G141" s="223">
        <f>IF(E141=0,0,(G139/H139)*'PRBD|0410-00'!OrigApprop)</f>
        <v>105499.31399130561</v>
      </c>
      <c r="H141" s="223">
        <f>SUM(E141:G141)</f>
        <v>815300.00000000012</v>
      </c>
      <c r="I141" s="268"/>
      <c r="J141" s="224"/>
      <c r="K141" s="224"/>
      <c r="L141" s="224"/>
    </row>
    <row r="142" spans="1:12" x14ac:dyDescent="0.3">
      <c r="A142" s="392" t="s">
        <v>32</v>
      </c>
      <c r="B142" s="393"/>
      <c r="C142" s="160" t="s">
        <v>33</v>
      </c>
      <c r="D142" s="161">
        <f>D141-D139</f>
        <v>5.7500000000000107E-2</v>
      </c>
      <c r="E142" s="162">
        <f>E141-E139</f>
        <v>41990.826414487208</v>
      </c>
      <c r="F142" s="162">
        <f>F141-F139</f>
        <v>3337.8895942072922</v>
      </c>
      <c r="G142" s="162">
        <f>G141-G139</f>
        <v>6737.3116669056035</v>
      </c>
      <c r="H142" s="162">
        <f>H141-H139</f>
        <v>52066.02767560014</v>
      </c>
      <c r="I142" s="269"/>
      <c r="J142" s="56" t="str">
        <f>IF('PRBD|0410-00'!OrigApprop=0,"ERROR! Enter Original Appropriation amount in DU 3.00!","Calculated "&amp;IF('PRBD|0410-00'!AdjustedTotal&gt;0,"overfunding ","underfunding ")&amp;"is "&amp;TEXT('PRBD|0410-00'!AdjustedTotal/'PRBD|0410-00'!AppropTotal,"#.0%;(#.0% );0% ;")&amp;" of Original Appropriation")</f>
        <v>Calculated overfunding is 6.4% of Original Appropriation</v>
      </c>
      <c r="K142" s="163"/>
      <c r="L142" s="164"/>
    </row>
  </sheetData>
  <mergeCells count="91">
    <mergeCell ref="A142:B142"/>
    <mergeCell ref="A134:B134"/>
    <mergeCell ref="A135:B135"/>
    <mergeCell ref="A136:B136"/>
    <mergeCell ref="A137:B137"/>
    <mergeCell ref="A138:B138"/>
    <mergeCell ref="A139:B139"/>
    <mergeCell ref="A124:B124"/>
    <mergeCell ref="A125:B125"/>
    <mergeCell ref="A126:B126"/>
    <mergeCell ref="A127:B127"/>
    <mergeCell ref="A128:B128"/>
    <mergeCell ref="A131:B131"/>
    <mergeCell ref="A114:B114"/>
    <mergeCell ref="A115:B115"/>
    <mergeCell ref="A116:B116"/>
    <mergeCell ref="A117:B117"/>
    <mergeCell ref="A120:B120"/>
    <mergeCell ref="A123:B123"/>
    <mergeCell ref="A104:B104"/>
    <mergeCell ref="A105:B105"/>
    <mergeCell ref="A106:B106"/>
    <mergeCell ref="A109:B109"/>
    <mergeCell ref="A112:B112"/>
    <mergeCell ref="A113:B113"/>
    <mergeCell ref="A94:B94"/>
    <mergeCell ref="A95:B95"/>
    <mergeCell ref="A98:B98"/>
    <mergeCell ref="A101:B101"/>
    <mergeCell ref="A102:B102"/>
    <mergeCell ref="A103:B103"/>
    <mergeCell ref="A84:B84"/>
    <mergeCell ref="A87:B87"/>
    <mergeCell ref="A90:B90"/>
    <mergeCell ref="A91:B91"/>
    <mergeCell ref="A92:B92"/>
    <mergeCell ref="A93:B93"/>
    <mergeCell ref="A76:B76"/>
    <mergeCell ref="A79:B79"/>
    <mergeCell ref="A80:B80"/>
    <mergeCell ref="A81:B81"/>
    <mergeCell ref="A82:B82"/>
    <mergeCell ref="A83:B83"/>
    <mergeCell ref="A68:B68"/>
    <mergeCell ref="A69:B69"/>
    <mergeCell ref="A70:B70"/>
    <mergeCell ref="A71:B71"/>
    <mergeCell ref="A72:B72"/>
    <mergeCell ref="A73:B73"/>
    <mergeCell ref="A58:B58"/>
    <mergeCell ref="A59:B59"/>
    <mergeCell ref="A60:B60"/>
    <mergeCell ref="A61:B61"/>
    <mergeCell ref="A62:B62"/>
    <mergeCell ref="A65:B65"/>
    <mergeCell ref="A48:B48"/>
    <mergeCell ref="A49:B49"/>
    <mergeCell ref="A50:B50"/>
    <mergeCell ref="A51:B51"/>
    <mergeCell ref="A54:B54"/>
    <mergeCell ref="A57:B57"/>
    <mergeCell ref="A38:B38"/>
    <mergeCell ref="A39:B39"/>
    <mergeCell ref="A40:B40"/>
    <mergeCell ref="A43:B43"/>
    <mergeCell ref="A46:B46"/>
    <mergeCell ref="A47:B47"/>
    <mergeCell ref="A28:B28"/>
    <mergeCell ref="A29:B29"/>
    <mergeCell ref="A32:B32"/>
    <mergeCell ref="A35:B35"/>
    <mergeCell ref="A36:B36"/>
    <mergeCell ref="A37:B37"/>
    <mergeCell ref="A18:B18"/>
    <mergeCell ref="A21:B21"/>
    <mergeCell ref="A24:B24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12" priority="13">
      <formula>$J$16&lt;0</formula>
    </cfRule>
  </conditionalFormatting>
  <conditionalFormatting sqref="J21">
    <cfRule type="expression" dxfId="11" priority="12">
      <formula>$J$16&lt;0</formula>
    </cfRule>
  </conditionalFormatting>
  <conditionalFormatting sqref="J32">
    <cfRule type="expression" dxfId="10" priority="11">
      <formula>$J$16&lt;0</formula>
    </cfRule>
  </conditionalFormatting>
  <conditionalFormatting sqref="J43">
    <cfRule type="expression" dxfId="9" priority="10">
      <formula>$J$16&lt;0</formula>
    </cfRule>
  </conditionalFormatting>
  <conditionalFormatting sqref="J54">
    <cfRule type="expression" dxfId="8" priority="9">
      <formula>$J$16&lt;0</formula>
    </cfRule>
  </conditionalFormatting>
  <conditionalFormatting sqref="J65">
    <cfRule type="expression" dxfId="7" priority="8">
      <formula>$J$16&lt;0</formula>
    </cfRule>
  </conditionalFormatting>
  <conditionalFormatting sqref="J76">
    <cfRule type="expression" dxfId="6" priority="7">
      <formula>$J$16&lt;0</formula>
    </cfRule>
  </conditionalFormatting>
  <conditionalFormatting sqref="J87">
    <cfRule type="expression" dxfId="5" priority="6">
      <formula>$J$16&lt;0</formula>
    </cfRule>
  </conditionalFormatting>
  <conditionalFormatting sqref="J98">
    <cfRule type="expression" dxfId="4" priority="5">
      <formula>$J$16&lt;0</formula>
    </cfRule>
  </conditionalFormatting>
  <conditionalFormatting sqref="J109">
    <cfRule type="expression" dxfId="3" priority="4">
      <formula>$J$16&lt;0</formula>
    </cfRule>
  </conditionalFormatting>
  <conditionalFormatting sqref="J120">
    <cfRule type="expression" dxfId="2" priority="3">
      <formula>$J$16&lt;0</formula>
    </cfRule>
  </conditionalFormatting>
  <conditionalFormatting sqref="J131">
    <cfRule type="expression" dxfId="1" priority="2">
      <formula>$J$16&lt;0</formula>
    </cfRule>
  </conditionalFormatting>
  <conditionalFormatting sqref="J142">
    <cfRule type="expression" dxfId="0" priority="1">
      <formula>$J$16&lt;0</formula>
    </cfRule>
  </conditionalFormatting>
  <pageMargins left="0.7" right="0.7" top="0.75" bottom="0.75" header="0.3" footer="0.3"/>
  <pageSetup scale="20" orientation="landscape" r:id="rId1"/>
  <headerFooter>
    <oddHeader>&amp;L&amp;"Arial"&amp;14 Department of Parks and Recreation&amp;R&amp;"Arial"&amp;10 Agency 340</oddHeader>
    <oddFooter>&amp;L&amp;"Arial"&amp;10 B6:Summary by Program, by Fund&amp;R&amp;"Arial"&amp;10 FY 2022 Request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54"/>
  <sheetViews>
    <sheetView workbookViewId="0">
      <selection activeCell="E8" sqref="E8:M54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7.6640625" bestFit="1" customWidth="1"/>
    <col min="6" max="6" width="13.44140625" bestFit="1" customWidth="1"/>
    <col min="7" max="7" width="14" bestFit="1" customWidth="1"/>
    <col min="8" max="8" width="13.44140625" bestFit="1" customWidth="1"/>
    <col min="9" max="9" width="15.44140625" bestFit="1" customWidth="1"/>
    <col min="10" max="10" width="17" bestFit="1" customWidth="1"/>
    <col min="11" max="11" width="13.4414062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5" t="s">
        <v>1173</v>
      </c>
      <c r="G5" s="455"/>
      <c r="H5" s="456" t="s">
        <v>1171</v>
      </c>
      <c r="I5" s="455" t="s">
        <v>1174</v>
      </c>
      <c r="J5" s="455"/>
      <c r="K5" s="456" t="s">
        <v>1172</v>
      </c>
      <c r="L5" s="455" t="s">
        <v>1175</v>
      </c>
      <c r="M5" s="455"/>
    </row>
    <row r="6" spans="1:13" ht="15.6" x14ac:dyDescent="0.3">
      <c r="E6" s="249"/>
      <c r="F6" s="253" t="s">
        <v>94</v>
      </c>
      <c r="G6" s="254" t="s">
        <v>96</v>
      </c>
      <c r="H6" s="457"/>
      <c r="I6" s="253" t="s">
        <v>98</v>
      </c>
      <c r="J6" s="254" t="s">
        <v>95</v>
      </c>
      <c r="K6" s="457"/>
      <c r="L6" s="278" t="s">
        <v>98</v>
      </c>
      <c r="M6" s="254" t="s">
        <v>95</v>
      </c>
    </row>
    <row r="7" spans="1:13" x14ac:dyDescent="0.3">
      <c r="A7" s="467" t="s">
        <v>1176</v>
      </c>
      <c r="D7" s="250"/>
    </row>
    <row r="8" spans="1:13" x14ac:dyDescent="0.3">
      <c r="C8" t="s">
        <v>1095</v>
      </c>
      <c r="D8" s="250"/>
      <c r="E8" s="477">
        <f>Data!AS438</f>
        <v>33.012500000000003</v>
      </c>
      <c r="F8" s="477">
        <f>Data!AT438</f>
        <v>1615583.2699999998</v>
      </c>
      <c r="G8" s="477">
        <f>Data!AU438</f>
        <v>782332.10000000009</v>
      </c>
      <c r="H8" s="477">
        <f>Data!AV438</f>
        <v>1569200.88</v>
      </c>
      <c r="I8" s="477">
        <f>Data!AW438</f>
        <v>399012.5</v>
      </c>
      <c r="J8" s="477">
        <f>Data!AX438</f>
        <v>373422.73341360001</v>
      </c>
      <c r="K8" s="477">
        <f>Data!AY438</f>
        <v>1569200.88</v>
      </c>
      <c r="L8" s="477">
        <f>Data!AZ438</f>
        <v>399012.5</v>
      </c>
      <c r="M8" s="477">
        <f>Data!BA438</f>
        <v>377973.41596560006</v>
      </c>
    </row>
    <row r="9" spans="1:13" x14ac:dyDescent="0.3">
      <c r="B9" t="s">
        <v>1177</v>
      </c>
      <c r="D9" s="250"/>
      <c r="E9" s="478">
        <f>Data!AS439</f>
        <v>33.012500000000003</v>
      </c>
      <c r="F9" s="478">
        <f>Data!AT439</f>
        <v>1615583.2699999998</v>
      </c>
      <c r="G9" s="478">
        <f>Data!AU439</f>
        <v>782332.10000000009</v>
      </c>
      <c r="H9" s="478">
        <f>Data!AV439</f>
        <v>1569200.88</v>
      </c>
      <c r="I9" s="478">
        <f>Data!AW439</f>
        <v>399012.5</v>
      </c>
      <c r="J9" s="478">
        <f>Data!AX439</f>
        <v>373422.73341360001</v>
      </c>
      <c r="K9" s="478">
        <f>Data!AY439</f>
        <v>1569200.88</v>
      </c>
      <c r="L9" s="478">
        <f>Data!AZ439</f>
        <v>399012.5</v>
      </c>
      <c r="M9" s="478">
        <f>Data!BA439</f>
        <v>377973.41596560006</v>
      </c>
    </row>
    <row r="10" spans="1:13" x14ac:dyDescent="0.3">
      <c r="C10" t="s">
        <v>1101</v>
      </c>
      <c r="D10" s="250"/>
      <c r="E10" s="477">
        <f>Data!AS440</f>
        <v>3.5475000000000003</v>
      </c>
      <c r="F10" s="477">
        <f>Data!AT440</f>
        <v>162949.52000000002</v>
      </c>
      <c r="G10" s="477">
        <f>Data!AU440</f>
        <v>77071.760000000009</v>
      </c>
      <c r="H10" s="477">
        <f>Data!AV440</f>
        <v>167438.44</v>
      </c>
      <c r="I10" s="477">
        <f>Data!AW440</f>
        <v>42289.5</v>
      </c>
      <c r="J10" s="477">
        <f>Data!AX440</f>
        <v>39845.325566800006</v>
      </c>
      <c r="K10" s="477">
        <f>Data!AY440</f>
        <v>167438.44</v>
      </c>
      <c r="L10" s="477">
        <f>Data!AZ440</f>
        <v>42289.5</v>
      </c>
      <c r="M10" s="477">
        <f>Data!BA440</f>
        <v>40330.897042800003</v>
      </c>
    </row>
    <row r="11" spans="1:13" x14ac:dyDescent="0.3">
      <c r="B11" t="s">
        <v>1178</v>
      </c>
      <c r="D11" s="250"/>
      <c r="E11" s="478">
        <f>Data!AS441</f>
        <v>3.5475000000000003</v>
      </c>
      <c r="F11" s="478">
        <f>Data!AT441</f>
        <v>162949.52000000002</v>
      </c>
      <c r="G11" s="478">
        <f>Data!AU441</f>
        <v>77071.760000000009</v>
      </c>
      <c r="H11" s="478">
        <f>Data!AV441</f>
        <v>167438.44</v>
      </c>
      <c r="I11" s="478">
        <f>Data!AW441</f>
        <v>42289.5</v>
      </c>
      <c r="J11" s="478">
        <f>Data!AX441</f>
        <v>39845.325566800006</v>
      </c>
      <c r="K11" s="478">
        <f>Data!AY441</f>
        <v>167438.44</v>
      </c>
      <c r="L11" s="478">
        <f>Data!AZ441</f>
        <v>42289.5</v>
      </c>
      <c r="M11" s="478">
        <f>Data!BA441</f>
        <v>40330.897042800003</v>
      </c>
    </row>
    <row r="12" spans="1:13" x14ac:dyDescent="0.3">
      <c r="C12" t="s">
        <v>1108</v>
      </c>
      <c r="D12" s="250"/>
      <c r="E12" s="477">
        <f>Data!AS442</f>
        <v>68.350000000000009</v>
      </c>
      <c r="F12" s="477">
        <f>Data!AT442</f>
        <v>3208306.7699999991</v>
      </c>
      <c r="G12" s="477">
        <f>Data!AU442</f>
        <v>1487204.7299999997</v>
      </c>
      <c r="H12" s="477">
        <f>Data!AV442</f>
        <v>3273828.48</v>
      </c>
      <c r="I12" s="477">
        <f>Data!AW442</f>
        <v>802685</v>
      </c>
      <c r="J12" s="477">
        <f>Data!AX442</f>
        <v>778015.33409280016</v>
      </c>
      <c r="K12" s="477">
        <f>Data!AY442</f>
        <v>3273828.48</v>
      </c>
      <c r="L12" s="477">
        <f>Data!AZ442</f>
        <v>802685</v>
      </c>
      <c r="M12" s="477">
        <f>Data!BA442</f>
        <v>787699.15668479982</v>
      </c>
    </row>
    <row r="13" spans="1:13" x14ac:dyDescent="0.3">
      <c r="C13" t="s">
        <v>1179</v>
      </c>
      <c r="D13" s="250"/>
      <c r="E13" s="477">
        <f>Data!AS443</f>
        <v>5.33</v>
      </c>
      <c r="F13" s="477">
        <f>Data!AT443</f>
        <v>189750.74999999997</v>
      </c>
      <c r="G13" s="477">
        <f>Data!AU443</f>
        <v>100721.23999999999</v>
      </c>
      <c r="H13" s="477">
        <f>Data!AV443</f>
        <v>183370.72</v>
      </c>
      <c r="I13" s="477">
        <f>Data!AW443</f>
        <v>62094.5</v>
      </c>
      <c r="J13" s="477">
        <f>Data!AX443</f>
        <v>43636.7302384</v>
      </c>
      <c r="K13" s="477">
        <f>Data!AY443</f>
        <v>183370.72</v>
      </c>
      <c r="L13" s="477">
        <f>Data!AZ443</f>
        <v>62094.5</v>
      </c>
      <c r="M13" s="477">
        <f>Data!BA443</f>
        <v>44168.505326400002</v>
      </c>
    </row>
    <row r="14" spans="1:13" x14ac:dyDescent="0.3">
      <c r="B14" t="s">
        <v>1180</v>
      </c>
      <c r="E14" s="478">
        <f>Data!AS444</f>
        <v>73.680000000000007</v>
      </c>
      <c r="F14" s="478">
        <f>Data!AT444</f>
        <v>3398057.5199999991</v>
      </c>
      <c r="G14" s="478">
        <f>Data!AU444</f>
        <v>1587925.9699999997</v>
      </c>
      <c r="H14" s="478">
        <f>Data!AV444</f>
        <v>3457199.2</v>
      </c>
      <c r="I14" s="478">
        <f>Data!AW444</f>
        <v>864779.5</v>
      </c>
      <c r="J14" s="478">
        <f>Data!AX444</f>
        <v>821652.06433120021</v>
      </c>
      <c r="K14" s="478">
        <f>Data!AY444</f>
        <v>3457199.2</v>
      </c>
      <c r="L14" s="478">
        <f>Data!AZ444</f>
        <v>864779.5</v>
      </c>
      <c r="M14" s="478">
        <f>Data!BA444</f>
        <v>831867.66201119986</v>
      </c>
    </row>
    <row r="15" spans="1:13" x14ac:dyDescent="0.3">
      <c r="C15" t="s">
        <v>1181</v>
      </c>
      <c r="E15" s="477">
        <f>Data!AS445</f>
        <v>0</v>
      </c>
      <c r="F15" s="477">
        <f>Data!AT445</f>
        <v>0</v>
      </c>
      <c r="G15" s="477">
        <f>Data!AU445</f>
        <v>-0.49</v>
      </c>
      <c r="H15" s="477">
        <f>Data!AV445</f>
        <v>0</v>
      </c>
      <c r="I15" s="477">
        <f>Data!AW445</f>
        <v>0</v>
      </c>
      <c r="J15" s="477">
        <f>Data!AX445</f>
        <v>0</v>
      </c>
      <c r="K15" s="477">
        <f>Data!AY445</f>
        <v>0</v>
      </c>
      <c r="L15" s="477">
        <f>Data!AZ445</f>
        <v>0</v>
      </c>
      <c r="M15" s="477">
        <f>Data!BA445</f>
        <v>0</v>
      </c>
    </row>
    <row r="16" spans="1:13" x14ac:dyDescent="0.3">
      <c r="C16" t="s">
        <v>1182</v>
      </c>
      <c r="E16" s="477">
        <f>Data!AS446</f>
        <v>5.7774999999999999</v>
      </c>
      <c r="F16" s="477">
        <f>Data!AT446</f>
        <v>286412.25</v>
      </c>
      <c r="G16" s="477">
        <f>Data!AU446</f>
        <v>115498.98</v>
      </c>
      <c r="H16" s="477">
        <f>Data!AV446</f>
        <v>341060.19999999995</v>
      </c>
      <c r="I16" s="477">
        <f>Data!AW446</f>
        <v>68269</v>
      </c>
      <c r="J16" s="477">
        <f>Data!AX446</f>
        <v>80935.895563600003</v>
      </c>
      <c r="K16" s="477">
        <f>Data!AY446</f>
        <v>341060.19999999995</v>
      </c>
      <c r="L16" s="477">
        <f>Data!AZ446</f>
        <v>68269</v>
      </c>
      <c r="M16" s="477">
        <f>Data!BA446</f>
        <v>82019.830143600004</v>
      </c>
    </row>
    <row r="17" spans="1:13" x14ac:dyDescent="0.3">
      <c r="B17" t="s">
        <v>1183</v>
      </c>
      <c r="E17" s="478">
        <f>Data!AS447</f>
        <v>5.7774999999999999</v>
      </c>
      <c r="F17" s="478">
        <f>Data!AT447</f>
        <v>286412.25</v>
      </c>
      <c r="G17" s="478">
        <f>Data!AU447</f>
        <v>115498.48999999999</v>
      </c>
      <c r="H17" s="478">
        <f>Data!AV447</f>
        <v>341060.19999999995</v>
      </c>
      <c r="I17" s="478">
        <f>Data!AW447</f>
        <v>68269</v>
      </c>
      <c r="J17" s="478">
        <f>Data!AX447</f>
        <v>80935.895563600003</v>
      </c>
      <c r="K17" s="478">
        <f>Data!AY447</f>
        <v>341060.19999999995</v>
      </c>
      <c r="L17" s="478">
        <f>Data!AZ447</f>
        <v>68269</v>
      </c>
      <c r="M17" s="478">
        <f>Data!BA447</f>
        <v>82019.830143600004</v>
      </c>
    </row>
    <row r="18" spans="1:13" x14ac:dyDescent="0.3">
      <c r="C18" t="s">
        <v>1184</v>
      </c>
      <c r="E18" s="477">
        <f>Data!AS448</f>
        <v>0</v>
      </c>
      <c r="F18" s="477">
        <f>Data!AT448</f>
        <v>0</v>
      </c>
      <c r="G18" s="477">
        <f>Data!AU448</f>
        <v>259.73</v>
      </c>
      <c r="H18" s="477">
        <f>Data!AV448</f>
        <v>0</v>
      </c>
      <c r="I18" s="477">
        <f>Data!AW448</f>
        <v>0</v>
      </c>
      <c r="J18" s="477">
        <f>Data!AX448</f>
        <v>0</v>
      </c>
      <c r="K18" s="477">
        <f>Data!AY448</f>
        <v>0</v>
      </c>
      <c r="L18" s="477">
        <f>Data!AZ448</f>
        <v>0</v>
      </c>
      <c r="M18" s="477">
        <f>Data!BA448</f>
        <v>0</v>
      </c>
    </row>
    <row r="19" spans="1:13" x14ac:dyDescent="0.3">
      <c r="C19" t="s">
        <v>1185</v>
      </c>
      <c r="E19" s="477">
        <f>Data!AS449</f>
        <v>1.1000000000000001</v>
      </c>
      <c r="F19" s="477">
        <f>Data!AT449</f>
        <v>66663.77</v>
      </c>
      <c r="G19" s="477">
        <f>Data!AU449</f>
        <v>29960.73</v>
      </c>
      <c r="H19" s="477">
        <f>Data!AV449</f>
        <v>59311.199999999997</v>
      </c>
      <c r="I19" s="477">
        <f>Data!AW449</f>
        <v>12815</v>
      </c>
      <c r="J19" s="477">
        <f>Data!AX449</f>
        <v>14114.286264</v>
      </c>
      <c r="K19" s="477">
        <f>Data!AY449</f>
        <v>59311.199999999997</v>
      </c>
      <c r="L19" s="477">
        <f>Data!AZ449</f>
        <v>12815</v>
      </c>
      <c r="M19" s="477">
        <f>Data!BA449</f>
        <v>14286.288743999999</v>
      </c>
    </row>
    <row r="20" spans="1:13" x14ac:dyDescent="0.3">
      <c r="C20" t="s">
        <v>1186</v>
      </c>
      <c r="E20" s="477">
        <f>Data!AS450</f>
        <v>4.6500000000000004</v>
      </c>
      <c r="F20" s="477">
        <f>Data!AT450</f>
        <v>201905.12999999998</v>
      </c>
      <c r="G20" s="477">
        <f>Data!AU450</f>
        <v>93197.88</v>
      </c>
      <c r="H20" s="477">
        <f>Data!AV450</f>
        <v>234452.40000000002</v>
      </c>
      <c r="I20" s="477">
        <f>Data!AW450</f>
        <v>54172.5</v>
      </c>
      <c r="J20" s="477">
        <f>Data!AX450</f>
        <v>55792.637627999997</v>
      </c>
      <c r="K20" s="477">
        <f>Data!AY450</f>
        <v>234452.40000000002</v>
      </c>
      <c r="L20" s="477">
        <f>Data!AZ450</f>
        <v>54172.5</v>
      </c>
      <c r="M20" s="477">
        <f>Data!BA450</f>
        <v>56472.549587999994</v>
      </c>
    </row>
    <row r="21" spans="1:13" x14ac:dyDescent="0.3">
      <c r="C21" t="s">
        <v>1187</v>
      </c>
      <c r="E21" s="477">
        <f>Data!AS451</f>
        <v>5.4249999999999989</v>
      </c>
      <c r="F21" s="477">
        <f>Data!AT451</f>
        <v>285418.51999999996</v>
      </c>
      <c r="G21" s="477">
        <f>Data!AU451</f>
        <v>121825.31999999998</v>
      </c>
      <c r="H21" s="477">
        <f>Data!AV451</f>
        <v>285454</v>
      </c>
      <c r="I21" s="477">
        <f>Data!AW451</f>
        <v>64191.5</v>
      </c>
      <c r="J21" s="477">
        <f>Data!AX451</f>
        <v>67854.088303199998</v>
      </c>
      <c r="K21" s="477">
        <f>Data!AY451</f>
        <v>285454</v>
      </c>
      <c r="L21" s="477">
        <f>Data!AZ451</f>
        <v>64191.5</v>
      </c>
      <c r="M21" s="477">
        <f>Data!BA451</f>
        <v>68713.524903199985</v>
      </c>
    </row>
    <row r="22" spans="1:13" x14ac:dyDescent="0.3">
      <c r="B22" t="s">
        <v>1188</v>
      </c>
      <c r="E22" s="478">
        <f>Data!AS452</f>
        <v>11.174999999999999</v>
      </c>
      <c r="F22" s="478">
        <f>Data!AT452</f>
        <v>553987.41999999993</v>
      </c>
      <c r="G22" s="478">
        <f>Data!AU452</f>
        <v>245243.65999999997</v>
      </c>
      <c r="H22" s="478">
        <f>Data!AV452</f>
        <v>579217.60000000009</v>
      </c>
      <c r="I22" s="478">
        <f>Data!AW452</f>
        <v>131179</v>
      </c>
      <c r="J22" s="478">
        <f>Data!AX452</f>
        <v>137761.01219519999</v>
      </c>
      <c r="K22" s="478">
        <f>Data!AY452</f>
        <v>579217.60000000009</v>
      </c>
      <c r="L22" s="478">
        <f>Data!AZ452</f>
        <v>131179</v>
      </c>
      <c r="M22" s="478">
        <f>Data!BA452</f>
        <v>139472.3632352</v>
      </c>
    </row>
    <row r="23" spans="1:13" x14ac:dyDescent="0.3">
      <c r="C23" t="s">
        <v>1161</v>
      </c>
      <c r="E23" s="477">
        <f>Data!AS453</f>
        <v>11.120000000000003</v>
      </c>
      <c r="F23" s="477">
        <f>Data!AT453</f>
        <v>522107.64</v>
      </c>
      <c r="G23" s="477">
        <f>Data!AU453</f>
        <v>248798.36000000002</v>
      </c>
      <c r="H23" s="477">
        <f>Data!AV453</f>
        <v>511281.68</v>
      </c>
      <c r="I23" s="477">
        <f>Data!AW453</f>
        <v>132460.5</v>
      </c>
      <c r="J23" s="477">
        <f>Data!AX453</f>
        <v>121669.70138960001</v>
      </c>
      <c r="K23" s="477">
        <f>Data!AY453</f>
        <v>511281.68</v>
      </c>
      <c r="L23" s="477">
        <f>Data!AZ453</f>
        <v>132460.5</v>
      </c>
      <c r="M23" s="477">
        <f>Data!BA453</f>
        <v>123152.4182616</v>
      </c>
    </row>
    <row r="24" spans="1:13" x14ac:dyDescent="0.3">
      <c r="B24" t="s">
        <v>1189</v>
      </c>
      <c r="E24" s="478">
        <f>Data!AS454</f>
        <v>11.120000000000003</v>
      </c>
      <c r="F24" s="478">
        <f>Data!AT454</f>
        <v>522107.64</v>
      </c>
      <c r="G24" s="478">
        <f>Data!AU454</f>
        <v>248798.36000000002</v>
      </c>
      <c r="H24" s="478">
        <f>Data!AV454</f>
        <v>511281.68</v>
      </c>
      <c r="I24" s="478">
        <f>Data!AW454</f>
        <v>132460.5</v>
      </c>
      <c r="J24" s="478">
        <f>Data!AX454</f>
        <v>121669.70138960001</v>
      </c>
      <c r="K24" s="478">
        <f>Data!AY454</f>
        <v>511281.68</v>
      </c>
      <c r="L24" s="478">
        <f>Data!AZ454</f>
        <v>132460.5</v>
      </c>
      <c r="M24" s="478">
        <f>Data!BA454</f>
        <v>123152.4182616</v>
      </c>
    </row>
    <row r="25" spans="1:13" x14ac:dyDescent="0.3">
      <c r="C25" t="s">
        <v>1190</v>
      </c>
      <c r="E25" s="477">
        <f>Data!AS455</f>
        <v>4.0625</v>
      </c>
      <c r="F25" s="477">
        <f>Data!AT455</f>
        <v>154532.65000000002</v>
      </c>
      <c r="G25" s="477">
        <f>Data!AU455</f>
        <v>76824.549999999988</v>
      </c>
      <c r="H25" s="477">
        <f>Data!AV455</f>
        <v>166114.52000000002</v>
      </c>
      <c r="I25" s="477">
        <f>Data!AW455</f>
        <v>48930</v>
      </c>
      <c r="J25" s="477">
        <f>Data!AX455</f>
        <v>39530.272324400001</v>
      </c>
      <c r="K25" s="477">
        <f>Data!AY455</f>
        <v>166114.52000000002</v>
      </c>
      <c r="L25" s="477">
        <f>Data!AZ455</f>
        <v>48930</v>
      </c>
      <c r="M25" s="477">
        <f>Data!BA455</f>
        <v>40012.004432400005</v>
      </c>
    </row>
    <row r="26" spans="1:13" x14ac:dyDescent="0.3">
      <c r="B26" t="s">
        <v>1191</v>
      </c>
      <c r="E26" s="478">
        <f>Data!AS456</f>
        <v>4.0625</v>
      </c>
      <c r="F26" s="478">
        <f>Data!AT456</f>
        <v>154532.65000000002</v>
      </c>
      <c r="G26" s="478">
        <f>Data!AU456</f>
        <v>76824.549999999988</v>
      </c>
      <c r="H26" s="478">
        <f>Data!AV456</f>
        <v>166114.52000000002</v>
      </c>
      <c r="I26" s="478">
        <f>Data!AW456</f>
        <v>48930</v>
      </c>
      <c r="J26" s="478">
        <f>Data!AX456</f>
        <v>39530.272324400001</v>
      </c>
      <c r="K26" s="478">
        <f>Data!AY456</f>
        <v>166114.52000000002</v>
      </c>
      <c r="L26" s="478">
        <f>Data!AZ456</f>
        <v>48930</v>
      </c>
      <c r="M26" s="478">
        <f>Data!BA456</f>
        <v>40012.004432400005</v>
      </c>
    </row>
    <row r="27" spans="1:13" x14ac:dyDescent="0.3">
      <c r="C27" t="s">
        <v>1192</v>
      </c>
      <c r="E27" s="477">
        <f>Data!AS457</f>
        <v>3</v>
      </c>
      <c r="F27" s="477">
        <f>Data!AT457</f>
        <v>109330.18000000001</v>
      </c>
      <c r="G27" s="477">
        <f>Data!AU457</f>
        <v>50118.35</v>
      </c>
      <c r="H27" s="477">
        <f>Data!AV457</f>
        <v>133432</v>
      </c>
      <c r="I27" s="477">
        <f>Data!AW457</f>
        <v>34950</v>
      </c>
      <c r="J27" s="477">
        <f>Data!AX457</f>
        <v>31752.813039999997</v>
      </c>
      <c r="K27" s="477">
        <f>Data!AY457</f>
        <v>133432</v>
      </c>
      <c r="L27" s="477">
        <f>Data!AZ457</f>
        <v>34950</v>
      </c>
      <c r="M27" s="477">
        <f>Data!BA457</f>
        <v>32139.76584</v>
      </c>
    </row>
    <row r="28" spans="1:13" x14ac:dyDescent="0.3">
      <c r="C28" t="s">
        <v>1193</v>
      </c>
      <c r="E28" s="477">
        <f>Data!AS458</f>
        <v>0.4</v>
      </c>
      <c r="F28" s="477">
        <f>Data!AT458</f>
        <v>46838.83</v>
      </c>
      <c r="G28" s="477">
        <f>Data!AU458</f>
        <v>17956.440000000002</v>
      </c>
      <c r="H28" s="477">
        <f>Data!AV458</f>
        <v>25908.48</v>
      </c>
      <c r="I28" s="477">
        <f>Data!AW458</f>
        <v>4660</v>
      </c>
      <c r="J28" s="477">
        <f>Data!AX458</f>
        <v>6165.4409855999993</v>
      </c>
      <c r="K28" s="477">
        <f>Data!AY458</f>
        <v>25908.48</v>
      </c>
      <c r="L28" s="477">
        <f>Data!AZ458</f>
        <v>4660</v>
      </c>
      <c r="M28" s="477">
        <f>Data!BA458</f>
        <v>6240.5755776000005</v>
      </c>
    </row>
    <row r="29" spans="1:13" x14ac:dyDescent="0.3">
      <c r="C29" t="s">
        <v>1194</v>
      </c>
      <c r="E29" s="477">
        <f>Data!AS459</f>
        <v>1</v>
      </c>
      <c r="F29" s="477">
        <f>Data!AT459</f>
        <v>68897.09</v>
      </c>
      <c r="G29" s="477">
        <f>Data!AU459</f>
        <v>33225.42</v>
      </c>
      <c r="H29" s="477">
        <f>Data!AV459</f>
        <v>48422.400000000001</v>
      </c>
      <c r="I29" s="477">
        <f>Data!AW459</f>
        <v>11650</v>
      </c>
      <c r="J29" s="477">
        <f>Data!AX459</f>
        <v>11523.078528000002</v>
      </c>
      <c r="K29" s="477">
        <f>Data!AY459</f>
        <v>48422.400000000001</v>
      </c>
      <c r="L29" s="477">
        <f>Data!AZ459</f>
        <v>11650</v>
      </c>
      <c r="M29" s="477">
        <f>Data!BA459</f>
        <v>11663.503488000002</v>
      </c>
    </row>
    <row r="30" spans="1:13" x14ac:dyDescent="0.3">
      <c r="B30" t="s">
        <v>1195</v>
      </c>
      <c r="E30" s="478">
        <f>Data!AS460</f>
        <v>4.4000000000000004</v>
      </c>
      <c r="F30" s="478">
        <f>Data!AT460</f>
        <v>225066.1</v>
      </c>
      <c r="G30" s="478">
        <f>Data!AU460</f>
        <v>101300.21</v>
      </c>
      <c r="H30" s="478">
        <f>Data!AV460</f>
        <v>207762.88</v>
      </c>
      <c r="I30" s="478">
        <f>Data!AW460</f>
        <v>51260</v>
      </c>
      <c r="J30" s="478">
        <f>Data!AX460</f>
        <v>49441.332553600005</v>
      </c>
      <c r="K30" s="478">
        <f>Data!AY460</f>
        <v>207762.88</v>
      </c>
      <c r="L30" s="478">
        <f>Data!AZ460</f>
        <v>51260</v>
      </c>
      <c r="M30" s="478">
        <f>Data!BA460</f>
        <v>50043.844905600003</v>
      </c>
    </row>
    <row r="31" spans="1:13" x14ac:dyDescent="0.3">
      <c r="E31" s="477">
        <f>Data!AS461</f>
        <v>0</v>
      </c>
      <c r="F31" s="477">
        <f>Data!AT461</f>
        <v>0</v>
      </c>
      <c r="G31" s="477">
        <f>Data!AU461</f>
        <v>0</v>
      </c>
      <c r="H31" s="477">
        <f>Data!AV461</f>
        <v>0</v>
      </c>
      <c r="I31" s="477">
        <f>Data!AW461</f>
        <v>0</v>
      </c>
      <c r="J31" s="477">
        <f>Data!AX461</f>
        <v>0</v>
      </c>
      <c r="K31" s="477">
        <f>Data!AY461</f>
        <v>0</v>
      </c>
      <c r="L31" s="477">
        <f>Data!AZ461</f>
        <v>0</v>
      </c>
      <c r="M31" s="477">
        <f>Data!BA461</f>
        <v>0</v>
      </c>
    </row>
    <row r="32" spans="1:13" x14ac:dyDescent="0.3">
      <c r="A32" s="471" t="s">
        <v>1196</v>
      </c>
      <c r="E32" s="479">
        <f>Data!AS462</f>
        <v>146.77500000000001</v>
      </c>
      <c r="F32" s="479">
        <f>Data!AT462</f>
        <v>6918696.3699999982</v>
      </c>
      <c r="G32" s="479">
        <f>Data!AU462</f>
        <v>3234995.1</v>
      </c>
      <c r="H32" s="479">
        <f>Data!AV462</f>
        <v>6999275.3999999994</v>
      </c>
      <c r="I32" s="479">
        <f>Data!AW462</f>
        <v>1738180</v>
      </c>
      <c r="J32" s="479">
        <f>Data!AX462</f>
        <v>1664258.3373380003</v>
      </c>
      <c r="K32" s="479">
        <f>Data!AY462</f>
        <v>6999275.3999999994</v>
      </c>
      <c r="L32" s="479">
        <f>Data!AZ462</f>
        <v>1738180</v>
      </c>
      <c r="M32" s="479">
        <f>Data!BA462</f>
        <v>1684872.4359979997</v>
      </c>
    </row>
    <row r="33" spans="1:13" x14ac:dyDescent="0.3">
      <c r="E33" s="477">
        <f>Data!AS463</f>
        <v>0</v>
      </c>
      <c r="F33" s="477">
        <f>Data!AT463</f>
        <v>0</v>
      </c>
      <c r="G33" s="477">
        <f>Data!AU463</f>
        <v>0</v>
      </c>
      <c r="H33" s="477">
        <f>Data!AV463</f>
        <v>0</v>
      </c>
      <c r="I33" s="477">
        <f>Data!AW463</f>
        <v>0</v>
      </c>
      <c r="J33" s="477">
        <f>Data!AX463</f>
        <v>0</v>
      </c>
      <c r="K33" s="477">
        <f>Data!AY463</f>
        <v>0</v>
      </c>
      <c r="L33" s="477">
        <f>Data!AZ463</f>
        <v>0</v>
      </c>
      <c r="M33" s="477">
        <f>Data!BA463</f>
        <v>0</v>
      </c>
    </row>
    <row r="34" spans="1:13" x14ac:dyDescent="0.3">
      <c r="A34" s="467" t="s">
        <v>1197</v>
      </c>
      <c r="E34" s="477">
        <f>Data!AS464</f>
        <v>0</v>
      </c>
      <c r="F34" s="477">
        <f>Data!AT464</f>
        <v>0</v>
      </c>
      <c r="G34" s="477">
        <f>Data!AU464</f>
        <v>0</v>
      </c>
      <c r="H34" s="477">
        <f>Data!AV464</f>
        <v>0</v>
      </c>
      <c r="I34" s="477">
        <f>Data!AW464</f>
        <v>0</v>
      </c>
      <c r="J34" s="477">
        <f>Data!AX464</f>
        <v>0</v>
      </c>
      <c r="K34" s="477">
        <f>Data!AY464</f>
        <v>0</v>
      </c>
      <c r="L34" s="477">
        <f>Data!AZ464</f>
        <v>0</v>
      </c>
      <c r="M34" s="477">
        <f>Data!BA464</f>
        <v>0</v>
      </c>
    </row>
    <row r="35" spans="1:13" x14ac:dyDescent="0.3">
      <c r="C35" t="s">
        <v>1095</v>
      </c>
      <c r="E35" s="477">
        <f>Data!AS465</f>
        <v>0</v>
      </c>
      <c r="F35" s="477">
        <f>Data!AT465</f>
        <v>85347.56</v>
      </c>
      <c r="G35" s="477">
        <f>Data!AU465</f>
        <v>13837.07</v>
      </c>
      <c r="H35" s="477">
        <f>Data!AV465</f>
        <v>85347.56</v>
      </c>
      <c r="I35" s="477">
        <f>Data!AW465</f>
        <v>0</v>
      </c>
      <c r="J35" s="477">
        <f>Data!AX465</f>
        <v>13837.07</v>
      </c>
      <c r="K35" s="477">
        <f>Data!AY465</f>
        <v>85347.56</v>
      </c>
      <c r="L35" s="477">
        <f>Data!AZ465</f>
        <v>0</v>
      </c>
      <c r="M35" s="477">
        <f>Data!BA465</f>
        <v>13837.07</v>
      </c>
    </row>
    <row r="36" spans="1:13" x14ac:dyDescent="0.3">
      <c r="B36" t="s">
        <v>1177</v>
      </c>
      <c r="E36" s="478">
        <f>Data!AS466</f>
        <v>0</v>
      </c>
      <c r="F36" s="478">
        <f>Data!AT466</f>
        <v>85347.56</v>
      </c>
      <c r="G36" s="478">
        <f>Data!AU466</f>
        <v>13837.07</v>
      </c>
      <c r="H36" s="478">
        <f>Data!AV466</f>
        <v>85347.56</v>
      </c>
      <c r="I36" s="478">
        <f>Data!AW466</f>
        <v>0</v>
      </c>
      <c r="J36" s="478">
        <f>Data!AX466</f>
        <v>13837.07</v>
      </c>
      <c r="K36" s="478">
        <f>Data!AY466</f>
        <v>85347.56</v>
      </c>
      <c r="L36" s="478">
        <f>Data!AZ466</f>
        <v>0</v>
      </c>
      <c r="M36" s="478">
        <f>Data!BA466</f>
        <v>13837.07</v>
      </c>
    </row>
    <row r="37" spans="1:13" x14ac:dyDescent="0.3">
      <c r="C37" t="s">
        <v>1108</v>
      </c>
      <c r="E37" s="477">
        <f>Data!AS467</f>
        <v>0</v>
      </c>
      <c r="F37" s="477">
        <f>Data!AT467</f>
        <v>1036467.83</v>
      </c>
      <c r="G37" s="477">
        <f>Data!AU467</f>
        <v>165742.44000000006</v>
      </c>
      <c r="H37" s="477">
        <f>Data!AV467</f>
        <v>1036467.83</v>
      </c>
      <c r="I37" s="477">
        <f>Data!AW467</f>
        <v>0</v>
      </c>
      <c r="J37" s="477">
        <f>Data!AX467</f>
        <v>165742.44000000006</v>
      </c>
      <c r="K37" s="477">
        <f>Data!AY467</f>
        <v>1036467.83</v>
      </c>
      <c r="L37" s="477">
        <f>Data!AZ467</f>
        <v>0</v>
      </c>
      <c r="M37" s="477">
        <f>Data!BA467</f>
        <v>165742.44000000006</v>
      </c>
    </row>
    <row r="38" spans="1:13" x14ac:dyDescent="0.3">
      <c r="B38" t="s">
        <v>1180</v>
      </c>
      <c r="E38" s="478">
        <f>Data!AS468</f>
        <v>0</v>
      </c>
      <c r="F38" s="478">
        <f>Data!AT468</f>
        <v>1036467.83</v>
      </c>
      <c r="G38" s="478">
        <f>Data!AU468</f>
        <v>165742.44000000006</v>
      </c>
      <c r="H38" s="478">
        <f>Data!AV468</f>
        <v>1036467.83</v>
      </c>
      <c r="I38" s="478">
        <f>Data!AW468</f>
        <v>0</v>
      </c>
      <c r="J38" s="478">
        <f>Data!AX468</f>
        <v>165742.44000000006</v>
      </c>
      <c r="K38" s="478">
        <f>Data!AY468</f>
        <v>1036467.83</v>
      </c>
      <c r="L38" s="478">
        <f>Data!AZ468</f>
        <v>0</v>
      </c>
      <c r="M38" s="478">
        <f>Data!BA468</f>
        <v>165742.44000000006</v>
      </c>
    </row>
    <row r="39" spans="1:13" x14ac:dyDescent="0.3">
      <c r="C39" t="s">
        <v>1184</v>
      </c>
      <c r="E39" s="477">
        <f>Data!AS469</f>
        <v>0</v>
      </c>
      <c r="F39" s="477">
        <f>Data!AT469</f>
        <v>12089.279999999999</v>
      </c>
      <c r="G39" s="477">
        <f>Data!AU469</f>
        <v>1630.24</v>
      </c>
      <c r="H39" s="477">
        <f>Data!AV469</f>
        <v>12089.279999999999</v>
      </c>
      <c r="I39" s="477">
        <f>Data!AW469</f>
        <v>0</v>
      </c>
      <c r="J39" s="477">
        <f>Data!AX469</f>
        <v>1630.24</v>
      </c>
      <c r="K39" s="477">
        <f>Data!AY469</f>
        <v>12089.279999999999</v>
      </c>
      <c r="L39" s="477">
        <f>Data!AZ469</f>
        <v>0</v>
      </c>
      <c r="M39" s="477">
        <f>Data!BA469</f>
        <v>1630.24</v>
      </c>
    </row>
    <row r="40" spans="1:13" x14ac:dyDescent="0.3">
      <c r="C40" t="s">
        <v>1186</v>
      </c>
      <c r="E40" s="477">
        <f>Data!AS470</f>
        <v>0</v>
      </c>
      <c r="F40" s="477">
        <f>Data!AT470</f>
        <v>129568.73999999999</v>
      </c>
      <c r="G40" s="477">
        <f>Data!AU470</f>
        <v>40609.64</v>
      </c>
      <c r="H40" s="477">
        <f>Data!AV470</f>
        <v>129568.73999999999</v>
      </c>
      <c r="I40" s="477">
        <f>Data!AW470</f>
        <v>0</v>
      </c>
      <c r="J40" s="477">
        <f>Data!AX470</f>
        <v>40609.64</v>
      </c>
      <c r="K40" s="477">
        <f>Data!AY470</f>
        <v>129568.73999999999</v>
      </c>
      <c r="L40" s="477">
        <f>Data!AZ470</f>
        <v>0</v>
      </c>
      <c r="M40" s="477">
        <f>Data!BA470</f>
        <v>40609.64</v>
      </c>
    </row>
    <row r="41" spans="1:13" x14ac:dyDescent="0.3">
      <c r="C41" t="s">
        <v>1187</v>
      </c>
      <c r="E41" s="477">
        <f>Data!AS471</f>
        <v>0</v>
      </c>
      <c r="F41" s="477">
        <f>Data!AT471</f>
        <v>7421.93</v>
      </c>
      <c r="G41" s="477">
        <f>Data!AU471</f>
        <v>1598.65</v>
      </c>
      <c r="H41" s="477">
        <f>Data!AV471</f>
        <v>7421.93</v>
      </c>
      <c r="I41" s="477">
        <f>Data!AW471</f>
        <v>0</v>
      </c>
      <c r="J41" s="477">
        <f>Data!AX471</f>
        <v>1598.65</v>
      </c>
      <c r="K41" s="477">
        <f>Data!AY471</f>
        <v>7421.93</v>
      </c>
      <c r="L41" s="477">
        <f>Data!AZ471</f>
        <v>0</v>
      </c>
      <c r="M41" s="477">
        <f>Data!BA471</f>
        <v>1598.65</v>
      </c>
    </row>
    <row r="42" spans="1:13" x14ac:dyDescent="0.3">
      <c r="B42" t="s">
        <v>1188</v>
      </c>
      <c r="E42" s="478">
        <f>Data!AS472</f>
        <v>0</v>
      </c>
      <c r="F42" s="478">
        <f>Data!AT472</f>
        <v>149079.94999999998</v>
      </c>
      <c r="G42" s="478">
        <f>Data!AU472</f>
        <v>43838.53</v>
      </c>
      <c r="H42" s="478">
        <f>Data!AV472</f>
        <v>149079.94999999998</v>
      </c>
      <c r="I42" s="478">
        <f>Data!AW472</f>
        <v>0</v>
      </c>
      <c r="J42" s="478">
        <f>Data!AX472</f>
        <v>43838.53</v>
      </c>
      <c r="K42" s="478">
        <f>Data!AY472</f>
        <v>149079.94999999998</v>
      </c>
      <c r="L42" s="478">
        <f>Data!AZ472</f>
        <v>0</v>
      </c>
      <c r="M42" s="478">
        <f>Data!BA472</f>
        <v>43838.53</v>
      </c>
    </row>
    <row r="43" spans="1:13" x14ac:dyDescent="0.3">
      <c r="C43" t="s">
        <v>1161</v>
      </c>
      <c r="E43" s="477">
        <f>Data!AS473</f>
        <v>0</v>
      </c>
      <c r="F43" s="477">
        <f>Data!AT473</f>
        <v>158090.68</v>
      </c>
      <c r="G43" s="477">
        <f>Data!AU473</f>
        <v>40198.57</v>
      </c>
      <c r="H43" s="477">
        <f>Data!AV473</f>
        <v>158090.68</v>
      </c>
      <c r="I43" s="477">
        <f>Data!AW473</f>
        <v>0</v>
      </c>
      <c r="J43" s="477">
        <f>Data!AX473</f>
        <v>40198.57</v>
      </c>
      <c r="K43" s="477">
        <f>Data!AY473</f>
        <v>158090.68</v>
      </c>
      <c r="L43" s="477">
        <f>Data!AZ473</f>
        <v>0</v>
      </c>
      <c r="M43" s="477">
        <f>Data!BA473</f>
        <v>40198.57</v>
      </c>
    </row>
    <row r="44" spans="1:13" x14ac:dyDescent="0.3">
      <c r="B44" t="s">
        <v>1189</v>
      </c>
      <c r="E44" s="478">
        <f>Data!AS474</f>
        <v>0</v>
      </c>
      <c r="F44" s="478">
        <f>Data!AT474</f>
        <v>158090.68</v>
      </c>
      <c r="G44" s="478">
        <f>Data!AU474</f>
        <v>40198.57</v>
      </c>
      <c r="H44" s="478">
        <f>Data!AV474</f>
        <v>158090.68</v>
      </c>
      <c r="I44" s="478">
        <f>Data!AW474</f>
        <v>0</v>
      </c>
      <c r="J44" s="478">
        <f>Data!AX474</f>
        <v>40198.57</v>
      </c>
      <c r="K44" s="478">
        <f>Data!AY474</f>
        <v>158090.68</v>
      </c>
      <c r="L44" s="478">
        <f>Data!AZ474</f>
        <v>0</v>
      </c>
      <c r="M44" s="478">
        <f>Data!BA474</f>
        <v>40198.57</v>
      </c>
    </row>
    <row r="45" spans="1:13" x14ac:dyDescent="0.3">
      <c r="C45" t="s">
        <v>1190</v>
      </c>
      <c r="E45" s="477">
        <f>Data!AS475</f>
        <v>0</v>
      </c>
      <c r="F45" s="477">
        <f>Data!AT475</f>
        <v>449427.45</v>
      </c>
      <c r="G45" s="477">
        <f>Data!AU475</f>
        <v>59231.729999999996</v>
      </c>
      <c r="H45" s="477">
        <f>Data!AV475</f>
        <v>449427.45</v>
      </c>
      <c r="I45" s="477">
        <f>Data!AW475</f>
        <v>0</v>
      </c>
      <c r="J45" s="477">
        <f>Data!AX475</f>
        <v>59231.729999999996</v>
      </c>
      <c r="K45" s="477">
        <f>Data!AY475</f>
        <v>449427.45</v>
      </c>
      <c r="L45" s="477">
        <f>Data!AZ475</f>
        <v>0</v>
      </c>
      <c r="M45" s="477">
        <f>Data!BA475</f>
        <v>59231.729999999996</v>
      </c>
    </row>
    <row r="46" spans="1:13" x14ac:dyDescent="0.3">
      <c r="B46" t="s">
        <v>1191</v>
      </c>
      <c r="E46" s="478">
        <f>Data!AS476</f>
        <v>0</v>
      </c>
      <c r="F46" s="478">
        <f>Data!AT476</f>
        <v>449427.45</v>
      </c>
      <c r="G46" s="478">
        <f>Data!AU476</f>
        <v>59231.729999999996</v>
      </c>
      <c r="H46" s="478">
        <f>Data!AV476</f>
        <v>449427.45</v>
      </c>
      <c r="I46" s="478">
        <f>Data!AW476</f>
        <v>0</v>
      </c>
      <c r="J46" s="478">
        <f>Data!AX476</f>
        <v>59231.729999999996</v>
      </c>
      <c r="K46" s="478">
        <f>Data!AY476</f>
        <v>449427.45</v>
      </c>
      <c r="L46" s="478">
        <f>Data!AZ476</f>
        <v>0</v>
      </c>
      <c r="M46" s="478">
        <f>Data!BA476</f>
        <v>59231.729999999996</v>
      </c>
    </row>
    <row r="47" spans="1:13" x14ac:dyDescent="0.3">
      <c r="C47" t="s">
        <v>1192</v>
      </c>
      <c r="E47" s="477">
        <f>Data!AS477</f>
        <v>0</v>
      </c>
      <c r="F47" s="477">
        <f>Data!AT477</f>
        <v>52931.49</v>
      </c>
      <c r="G47" s="477">
        <f>Data!AU477</f>
        <v>7195.6900000000005</v>
      </c>
      <c r="H47" s="477">
        <f>Data!AV477</f>
        <v>52931.49</v>
      </c>
      <c r="I47" s="477">
        <f>Data!AW477</f>
        <v>0</v>
      </c>
      <c r="J47" s="477">
        <f>Data!AX477</f>
        <v>7195.6900000000005</v>
      </c>
      <c r="K47" s="477">
        <f>Data!AY477</f>
        <v>52931.49</v>
      </c>
      <c r="L47" s="477">
        <f>Data!AZ477</f>
        <v>0</v>
      </c>
      <c r="M47" s="477">
        <f>Data!BA477</f>
        <v>7195.6900000000005</v>
      </c>
    </row>
    <row r="48" spans="1:13" x14ac:dyDescent="0.3">
      <c r="C48" t="s">
        <v>1193</v>
      </c>
      <c r="E48" s="477">
        <f>Data!AS478</f>
        <v>0</v>
      </c>
      <c r="F48" s="477">
        <f>Data!AT478</f>
        <v>6906.5</v>
      </c>
      <c r="G48" s="477">
        <f>Data!AU478</f>
        <v>1087.93</v>
      </c>
      <c r="H48" s="477">
        <f>Data!AV478</f>
        <v>6906.5</v>
      </c>
      <c r="I48" s="477">
        <f>Data!AW478</f>
        <v>0</v>
      </c>
      <c r="J48" s="477">
        <f>Data!AX478</f>
        <v>1087.93</v>
      </c>
      <c r="K48" s="477">
        <f>Data!AY478</f>
        <v>6906.5</v>
      </c>
      <c r="L48" s="477">
        <f>Data!AZ478</f>
        <v>0</v>
      </c>
      <c r="M48" s="477">
        <f>Data!BA478</f>
        <v>1087.93</v>
      </c>
    </row>
    <row r="49" spans="1:13" x14ac:dyDescent="0.3">
      <c r="C49" t="s">
        <v>1194</v>
      </c>
      <c r="E49" s="477">
        <f>Data!AS479</f>
        <v>0</v>
      </c>
      <c r="F49" s="477">
        <f>Data!AT479</f>
        <v>20196</v>
      </c>
      <c r="G49" s="477">
        <f>Data!AU479</f>
        <v>3459.71</v>
      </c>
      <c r="H49" s="477">
        <f>Data!AV479</f>
        <v>20196</v>
      </c>
      <c r="I49" s="477">
        <f>Data!AW479</f>
        <v>0</v>
      </c>
      <c r="J49" s="477">
        <f>Data!AX479</f>
        <v>3459.71</v>
      </c>
      <c r="K49" s="477">
        <f>Data!AY479</f>
        <v>20196</v>
      </c>
      <c r="L49" s="477">
        <f>Data!AZ479</f>
        <v>0</v>
      </c>
      <c r="M49" s="477">
        <f>Data!BA479</f>
        <v>3459.71</v>
      </c>
    </row>
    <row r="50" spans="1:13" x14ac:dyDescent="0.3">
      <c r="B50" t="s">
        <v>1195</v>
      </c>
      <c r="E50" s="478">
        <f>Data!AS480</f>
        <v>0</v>
      </c>
      <c r="F50" s="478">
        <f>Data!AT480</f>
        <v>80033.989999999991</v>
      </c>
      <c r="G50" s="478">
        <f>Data!AU480</f>
        <v>11743.330000000002</v>
      </c>
      <c r="H50" s="478">
        <f>Data!AV480</f>
        <v>80033.989999999991</v>
      </c>
      <c r="I50" s="478">
        <f>Data!AW480</f>
        <v>0</v>
      </c>
      <c r="J50" s="478">
        <f>Data!AX480</f>
        <v>11743.330000000002</v>
      </c>
      <c r="K50" s="478">
        <f>Data!AY480</f>
        <v>80033.989999999991</v>
      </c>
      <c r="L50" s="478">
        <f>Data!AZ480</f>
        <v>0</v>
      </c>
      <c r="M50" s="478">
        <f>Data!BA480</f>
        <v>11743.330000000002</v>
      </c>
    </row>
    <row r="51" spans="1:13" x14ac:dyDescent="0.3">
      <c r="E51" s="477">
        <f>Data!AS481</f>
        <v>0</v>
      </c>
      <c r="F51" s="477">
        <f>Data!AT481</f>
        <v>0</v>
      </c>
      <c r="G51" s="477">
        <f>Data!AU481</f>
        <v>0</v>
      </c>
      <c r="H51" s="477">
        <f>Data!AV481</f>
        <v>0</v>
      </c>
      <c r="I51" s="477">
        <f>Data!AW481</f>
        <v>0</v>
      </c>
      <c r="J51" s="477">
        <f>Data!AX481</f>
        <v>0</v>
      </c>
      <c r="K51" s="477">
        <f>Data!AY481</f>
        <v>0</v>
      </c>
      <c r="L51" s="477">
        <f>Data!AZ481</f>
        <v>0</v>
      </c>
      <c r="M51" s="477">
        <f>Data!BA481</f>
        <v>0</v>
      </c>
    </row>
    <row r="52" spans="1:13" x14ac:dyDescent="0.3">
      <c r="A52" s="471" t="s">
        <v>1198</v>
      </c>
      <c r="E52" s="479">
        <f>Data!AS482</f>
        <v>0</v>
      </c>
      <c r="F52" s="479">
        <f>Data!AT482</f>
        <v>1958447.4599999997</v>
      </c>
      <c r="G52" s="479">
        <f>Data!AU482</f>
        <v>334591.67000000004</v>
      </c>
      <c r="H52" s="479">
        <f>Data!AV482</f>
        <v>1958447.4599999997</v>
      </c>
      <c r="I52" s="479">
        <f>Data!AW482</f>
        <v>0</v>
      </c>
      <c r="J52" s="479">
        <f>Data!AX482</f>
        <v>334591.67000000004</v>
      </c>
      <c r="K52" s="479">
        <f>Data!AY482</f>
        <v>1958447.4599999997</v>
      </c>
      <c r="L52" s="479">
        <f>Data!AZ482</f>
        <v>0</v>
      </c>
      <c r="M52" s="479">
        <f>Data!BA482</f>
        <v>334591.67000000004</v>
      </c>
    </row>
    <row r="53" spans="1:13" x14ac:dyDescent="0.3">
      <c r="E53" s="477">
        <f>Data!AS483</f>
        <v>0</v>
      </c>
      <c r="F53" s="477">
        <f>Data!AT483</f>
        <v>0</v>
      </c>
      <c r="G53" s="477">
        <f>Data!AU483</f>
        <v>0</v>
      </c>
      <c r="H53" s="477">
        <f>Data!AV483</f>
        <v>0</v>
      </c>
      <c r="I53" s="477">
        <f>Data!AW483</f>
        <v>0</v>
      </c>
      <c r="J53" s="477">
        <f>Data!AX483</f>
        <v>0</v>
      </c>
      <c r="K53" s="477">
        <f>Data!AY483</f>
        <v>0</v>
      </c>
      <c r="L53" s="477">
        <f>Data!AZ483</f>
        <v>0</v>
      </c>
      <c r="M53" s="477">
        <f>Data!BA483</f>
        <v>0</v>
      </c>
    </row>
    <row r="54" spans="1:13" x14ac:dyDescent="0.3">
      <c r="A54" s="472" t="s">
        <v>1199</v>
      </c>
      <c r="E54" s="475">
        <f>Data!AS484</f>
        <v>146.77500000000001</v>
      </c>
      <c r="F54" s="476">
        <f>Data!AT484</f>
        <v>8877143.8299999982</v>
      </c>
      <c r="G54" s="476">
        <f>Data!AU484</f>
        <v>3569586.77</v>
      </c>
      <c r="H54" s="476">
        <f>Data!AV484</f>
        <v>8957722.8599999994</v>
      </c>
      <c r="I54" s="476">
        <f>Data!AW484</f>
        <v>1738180</v>
      </c>
      <c r="J54" s="476">
        <f>Data!AX484</f>
        <v>1998850.0073380005</v>
      </c>
      <c r="K54" s="476">
        <f>Data!AY484</f>
        <v>8957722.8599999994</v>
      </c>
      <c r="L54" s="476">
        <f>Data!AZ484</f>
        <v>1738180</v>
      </c>
      <c r="M54" s="476">
        <f>Data!BA484</f>
        <v>2019464.1059979997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63" orientation="landscape" horizontalDpi="1200" verticalDpi="1200" r:id="rId1"/>
  <headerFooter>
    <oddHeader>&amp;L&amp;"Arial"&amp;14 Department of Parks and Recreation&amp;R&amp;"Arial"&amp;10 Agency 340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8B32-B1A6-4350-8B6E-7454A120982A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1102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1093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1100</v>
      </c>
      <c r="J5" s="404"/>
      <c r="K5" s="404"/>
      <c r="L5" s="403"/>
      <c r="M5" s="352" t="s">
        <v>115</v>
      </c>
      <c r="N5" s="32" t="s">
        <v>1101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"&amp;'PRAA|0125-00'!FiscalYear-1&amp;" SALARY"</f>
        <v>FY 2022 SALARY</v>
      </c>
      <c r="H8" s="50" t="str">
        <f>"FY "&amp;'PRAA|0125-00'!FiscalYear-1&amp;" HEALTH BENEFITS"</f>
        <v>FY 2022 HEALTH BENEFITS</v>
      </c>
      <c r="I8" s="50" t="str">
        <f>"FY "&amp;'PRAA|0125-00'!FiscalYear-1&amp;" VAR BENEFITS"</f>
        <v>FY 2022 VAR BENEFITS</v>
      </c>
      <c r="J8" s="50" t="str">
        <f>"FY "&amp;'PRAA|0125-00'!FiscalYear-1&amp;" TOTAL"</f>
        <v>FY 2022 TOTAL</v>
      </c>
      <c r="K8" s="50" t="str">
        <f>"FY "&amp;'PRAA|0125-00'!FiscalYear&amp;" SALARY CHANGE"</f>
        <v>FY 2023 SALARY CHANGE</v>
      </c>
      <c r="L8" s="50" t="str">
        <f>"FY "&amp;'PRAA|0125-00'!FiscalYear&amp;" CHG HEALTH BENEFITS"</f>
        <v>FY 2023 CHG HEALTH BENEFITS</v>
      </c>
      <c r="M8" s="50" t="str">
        <f>"FY "&amp;'PRAA|0125-00'!FiscalYear&amp;"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[0]!PRAA012500col_INC_FTI</f>
        <v>3.5475000000000003</v>
      </c>
      <c r="G10" s="218">
        <f>[0]!PRAA012500col_FTI_SALARY_PERM</f>
        <v>167438.44</v>
      </c>
      <c r="H10" s="218">
        <f>[0]!PRAA012500col_HEALTH_PERM</f>
        <v>42289.5</v>
      </c>
      <c r="I10" s="218">
        <f>[0]!PRAA012500col_TOT_VB_PERM</f>
        <v>39845.325566800006</v>
      </c>
      <c r="J10" s="219">
        <f>SUM(G10:I10)</f>
        <v>249573.26556680002</v>
      </c>
      <c r="K10" s="219">
        <f>[0]!PRAA012500col_1_27TH_PP</f>
        <v>0</v>
      </c>
      <c r="L10" s="218">
        <f>[0]!PRAA012500col_HEALTH_PERM_CHG</f>
        <v>0</v>
      </c>
      <c r="M10" s="218">
        <f>[0]!PRAA012500col_TOT_VB_PERM_CHG</f>
        <v>485.5714760000003</v>
      </c>
      <c r="N10" s="218">
        <f>SUM(L10:M10)</f>
        <v>485.5714760000003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1700</v>
      </c>
      <c r="AB10" s="335">
        <f>ROUND(PermVarBen*CECPerm+(CECPerm*PermVarBenChg),-2)</f>
        <v>400</v>
      </c>
      <c r="AC10" s="335">
        <f>SUM(AA10:AB10)</f>
        <v>2100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[0]!PRAA012500col_Group_Salary</f>
        <v>0</v>
      </c>
      <c r="H11" s="218">
        <v>0</v>
      </c>
      <c r="I11" s="218">
        <f>[0]!PRAA012500col_Group_Ben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[0]!PRAA012500col_TOTAL_ELECT_PCN_FTI</f>
        <v>0</v>
      </c>
      <c r="G12" s="218">
        <f>[0]!PRAA012500col_FTI_SALARY_ELECT</f>
        <v>0</v>
      </c>
      <c r="H12" s="218">
        <f>[0]!PRAA012500col_HEALTH_ELECT</f>
        <v>0</v>
      </c>
      <c r="I12" s="218">
        <f>[0]!PRAA012500col_TOT_VB_ELECT</f>
        <v>0</v>
      </c>
      <c r="J12" s="219">
        <f>SUM(G12:I12)</f>
        <v>0</v>
      </c>
      <c r="K12" s="268"/>
      <c r="L12" s="218">
        <f>[0]!PRAA012500col_HEALTH_ELECT_CHG</f>
        <v>0</v>
      </c>
      <c r="M12" s="218">
        <f>[0]!PRAA012500col_TOT_VB_ELECT_CHG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3.5475000000000003</v>
      </c>
      <c r="G13" s="221">
        <f>SUM(G10:G12)</f>
        <v>167438.44</v>
      </c>
      <c r="H13" s="221">
        <f>SUM(H10:H12)</f>
        <v>42289.5</v>
      </c>
      <c r="I13" s="221">
        <f>SUM(I10:I12)</f>
        <v>39845.325566800006</v>
      </c>
      <c r="J13" s="219">
        <f>SUM(G13:I13)</f>
        <v>249573.26556680002</v>
      </c>
      <c r="K13" s="268"/>
      <c r="L13" s="219">
        <f>SUM(L10:L12)</f>
        <v>0</v>
      </c>
      <c r="M13" s="219">
        <f>SUM(M10:M12)</f>
        <v>485.5714760000003</v>
      </c>
      <c r="N13" s="219">
        <f>SUM(N10:N12)</f>
        <v>485.5714760000003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"&amp;'PRAA|0125-00'!FiscalYear-1</f>
        <v>FY 2022</v>
      </c>
      <c r="D15" s="158" t="s">
        <v>31</v>
      </c>
      <c r="E15" s="355">
        <v>259000</v>
      </c>
      <c r="F15" s="55">
        <v>3.55</v>
      </c>
      <c r="G15" s="223">
        <f>IF(OrigApprop=0,0,(G13/$J$13)*OrigApprop)</f>
        <v>173762.82616453822</v>
      </c>
      <c r="H15" s="223">
        <f>IF(OrigApprop=0,0,(H13/$J$13)*OrigApprop)</f>
        <v>43886.834093086618</v>
      </c>
      <c r="I15" s="223">
        <f>IF(G15=0,0,(I13/$J$13)*OrigApprop)</f>
        <v>41350.339742375159</v>
      </c>
      <c r="J15" s="223">
        <f>SUM(G15:I15)</f>
        <v>259000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2.4999999999995026E-3</v>
      </c>
      <c r="G16" s="162">
        <f>G15-G13</f>
        <v>6324.3861645382131</v>
      </c>
      <c r="H16" s="162">
        <f>H15-H13</f>
        <v>1597.3340930866179</v>
      </c>
      <c r="I16" s="162">
        <f>I15-I13</f>
        <v>1505.0141755751538</v>
      </c>
      <c r="J16" s="162">
        <f>J15-J13</f>
        <v>9426.7344331999775</v>
      </c>
      <c r="K16" s="269"/>
      <c r="L16" s="56" t="str">
        <f>IF('PRAA|0125-00'!OrigApprop=0,"ERROR! Enter Original Appropriation amount in DU 3.00!","Calculated "&amp;IF('PRAA|0125-00'!AdjustedTotal&gt;0,"overfunding ","underfunding ")&amp;"is "&amp;TEXT('PRAA|0125-00'!AdjustedTotal/'PRAA|0125-00'!AppropTotal,"#.0%;(#.0% );0% ;")&amp;" of Original Appropriation")</f>
        <v>Calculated overfunding is 3.6%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3.5475000000000003</v>
      </c>
      <c r="G38" s="191">
        <f>SUMIF($E10:$E35,$E38,$G10:$G35)</f>
        <v>167438.44</v>
      </c>
      <c r="H38" s="192">
        <f>SUMIF($E10:$E35,$E38,$H10:$H35)</f>
        <v>42289.5</v>
      </c>
      <c r="I38" s="192">
        <f>SUMIF($E10:$E35,$E38,$I10:$I35)</f>
        <v>39845.325566800006</v>
      </c>
      <c r="J38" s="192">
        <f>SUM(G38:I38)</f>
        <v>249573.26556680002</v>
      </c>
      <c r="K38" s="166"/>
      <c r="L38" s="191">
        <f>SUMIF($E10:$E35,$E38,$L10:$L35)</f>
        <v>0</v>
      </c>
      <c r="M38" s="192">
        <f>SUMIF($E10:$E35,$E38,$M10:$M35)</f>
        <v>485.5714760000003</v>
      </c>
      <c r="N38" s="192">
        <f>SUM(L38:M38)</f>
        <v>485.5714760000003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1700</v>
      </c>
      <c r="AB38" s="338">
        <f>ROUND((AdjPermVB*CECPerm+AdjPermVBBY*CECPerm),-2)</f>
        <v>400</v>
      </c>
      <c r="AC38" s="338">
        <f>SUM(AA38:AB38)</f>
        <v>2100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3.5475000000000003</v>
      </c>
      <c r="G41" s="195">
        <f>SUM($G$38:$G$40)</f>
        <v>167438.44</v>
      </c>
      <c r="H41" s="162">
        <f>SUM($H$38:$H$40)</f>
        <v>42289.5</v>
      </c>
      <c r="I41" s="162">
        <f>SUM($I$38:$I$40)</f>
        <v>39845.325566800006</v>
      </c>
      <c r="J41" s="162">
        <f>SUM($J$38:$J$40)</f>
        <v>249573.26556680002</v>
      </c>
      <c r="K41" s="259"/>
      <c r="L41" s="195">
        <f>SUM($L$38:$L$40)</f>
        <v>0</v>
      </c>
      <c r="M41" s="162">
        <f>SUM($M$38:$M$40)</f>
        <v>485.5714760000003</v>
      </c>
      <c r="N41" s="162">
        <f>SUM(L41:M41)</f>
        <v>485.5714760000003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6300</v>
      </c>
      <c r="H43" s="159">
        <f>ROUND(H51-H41,-2)</f>
        <v>1600</v>
      </c>
      <c r="I43" s="159">
        <f>ROUND(I51-I41,-2)</f>
        <v>1500</v>
      </c>
      <c r="J43" s="159">
        <f>SUM(G43:I43)</f>
        <v>9400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3.6%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6400</v>
      </c>
      <c r="H44" s="159">
        <f>ROUND(H60-H41,-2)</f>
        <v>1600</v>
      </c>
      <c r="I44" s="159">
        <f>ROUND(I60-I41,-2)</f>
        <v>1600</v>
      </c>
      <c r="J44" s="159">
        <f>SUM(G44:I44)</f>
        <v>9600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3.7%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6400</v>
      </c>
      <c r="H45" s="206">
        <f>ROUND(H67-H41-H63,-2)</f>
        <v>1600</v>
      </c>
      <c r="I45" s="206">
        <f>ROUND(I67-I41-I63,-2)</f>
        <v>1600</v>
      </c>
      <c r="J45" s="159">
        <f>SUM(G45:I45)</f>
        <v>9600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3.7%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259000</v>
      </c>
      <c r="F51" s="272">
        <f>AppropFTP</f>
        <v>3.55</v>
      </c>
      <c r="G51" s="274">
        <f>IF(E51=0,0,(G41/$J$41)*$E$51)</f>
        <v>173762.82616453822</v>
      </c>
      <c r="H51" s="274">
        <f>IF(E51=0,0,(H41/$J$41)*$E$51)</f>
        <v>43886.834093086618</v>
      </c>
      <c r="I51" s="275">
        <f>IF(E51=0,0,(I41/$J$41)*$E$51)</f>
        <v>41350.339742375159</v>
      </c>
      <c r="J51" s="90">
        <f>SUM(G51:I51)</f>
        <v>259000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3.55</v>
      </c>
      <c r="G52" s="79">
        <f>ROUND(G51,-2)</f>
        <v>173800</v>
      </c>
      <c r="H52" s="79">
        <f>ROUND(H51,-2)</f>
        <v>43900</v>
      </c>
      <c r="I52" s="266">
        <f>ROUND(I51,-2)</f>
        <v>41400</v>
      </c>
      <c r="J52" s="80">
        <f>ROUND(J51,-2)</f>
        <v>259000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3.55</v>
      </c>
      <c r="G56" s="80">
        <f>SUM(G52:G55)</f>
        <v>173800</v>
      </c>
      <c r="H56" s="80">
        <f>SUM(H52:H55)</f>
        <v>43900</v>
      </c>
      <c r="I56" s="260">
        <f>SUM(I52:I55)</f>
        <v>41400</v>
      </c>
      <c r="J56" s="80">
        <f>SUM(J52:J55)</f>
        <v>259000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3.55</v>
      </c>
      <c r="G60" s="80">
        <f>SUM(G56:G59)</f>
        <v>173800</v>
      </c>
      <c r="H60" s="80">
        <f>SUM(H56:H59)</f>
        <v>43900</v>
      </c>
      <c r="I60" s="260">
        <f>SUM(I56:I59)</f>
        <v>41400</v>
      </c>
      <c r="J60" s="80">
        <f>SUM(J56:J59)</f>
        <v>259000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3.55</v>
      </c>
      <c r="G67" s="80">
        <f>SUM(G60:G64)</f>
        <v>173800</v>
      </c>
      <c r="H67" s="80">
        <f>SUM(H60:H64)</f>
        <v>43900</v>
      </c>
      <c r="I67" s="80">
        <f>SUM(I60:I64)</f>
        <v>41400</v>
      </c>
      <c r="J67" s="80">
        <f>SUM(J60:J64)</f>
        <v>259000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500</v>
      </c>
      <c r="J69" s="287">
        <f>SUM(G69:I69)</f>
        <v>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1700</v>
      </c>
      <c r="H72" s="287"/>
      <c r="I72" s="287">
        <f>ROUND(($G72*PermVBBY+$G72*Retire1BY),-2)</f>
        <v>400</v>
      </c>
      <c r="J72" s="113">
        <f>SUM(G72:I72)</f>
        <v>2100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3.55</v>
      </c>
      <c r="G75" s="80">
        <f>SUM(G67:G74)</f>
        <v>175500</v>
      </c>
      <c r="H75" s="80">
        <f>SUM(H67:H74)</f>
        <v>43900</v>
      </c>
      <c r="I75" s="80">
        <f>SUM(I67:I74)</f>
        <v>42300</v>
      </c>
      <c r="J75" s="80">
        <f>SUM(J67:K74)</f>
        <v>261600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3.55</v>
      </c>
      <c r="G80" s="80">
        <f>SUM(G75:G79)</f>
        <v>175500</v>
      </c>
      <c r="H80" s="80">
        <f>SUM(H75:H79)</f>
        <v>43900</v>
      </c>
      <c r="I80" s="80">
        <f>SUM(I75:I79)</f>
        <v>42300</v>
      </c>
      <c r="J80" s="80">
        <f>SUM(J75:J79)</f>
        <v>261600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7" priority="5">
      <formula>$J$44&lt;0</formula>
    </cfRule>
  </conditionalFormatting>
  <conditionalFormatting sqref="K43">
    <cfRule type="expression" dxfId="76" priority="4">
      <formula>$J$43&lt;0</formula>
    </cfRule>
  </conditionalFormatting>
  <conditionalFormatting sqref="L16">
    <cfRule type="expression" dxfId="75" priority="3">
      <formula>$J$16&lt;0</formula>
    </cfRule>
  </conditionalFormatting>
  <conditionalFormatting sqref="K45">
    <cfRule type="expression" dxfId="74" priority="2">
      <formula>$J$44&lt;0</formula>
    </cfRule>
  </conditionalFormatting>
  <conditionalFormatting sqref="K43:N45">
    <cfRule type="containsText" dxfId="7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66E77C-4F8E-4DF4-852B-14F4D6170C0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3015-F263-4191-8B3B-ACE40E446F44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1109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1093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1107</v>
      </c>
      <c r="J5" s="404"/>
      <c r="K5" s="404"/>
      <c r="L5" s="403"/>
      <c r="M5" s="352" t="s">
        <v>115</v>
      </c>
      <c r="N5" s="32" t="s">
        <v>1108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"&amp;'PRAA|0243-00'!FiscalYear-1&amp;" SALARY"</f>
        <v>FY 2022 SALARY</v>
      </c>
      <c r="H8" s="50" t="str">
        <f>"FY "&amp;'PRAA|0243-00'!FiscalYear-1&amp;" HEALTH BENEFITS"</f>
        <v>FY 2022 HEALTH BENEFITS</v>
      </c>
      <c r="I8" s="50" t="str">
        <f>"FY "&amp;'PRAA|0243-00'!FiscalYear-1&amp;" VAR BENEFITS"</f>
        <v>FY 2022 VAR BENEFITS</v>
      </c>
      <c r="J8" s="50" t="str">
        <f>"FY "&amp;'PRAA|0243-00'!FiscalYear-1&amp;" TOTAL"</f>
        <v>FY 2022 TOTAL</v>
      </c>
      <c r="K8" s="50" t="str">
        <f>"FY "&amp;'PRAA|0243-00'!FiscalYear&amp;" SALARY CHANGE"</f>
        <v>FY 2023 SALARY CHANGE</v>
      </c>
      <c r="L8" s="50" t="str">
        <f>"FY "&amp;'PRAA|0243-00'!FiscalYear&amp;" CHG HEALTH BENEFITS"</f>
        <v>FY 2023 CHG HEALTH BENEFITS</v>
      </c>
      <c r="M8" s="50" t="str">
        <f>"FY "&amp;'PRAA|0243-00'!FiscalYear&amp;"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[0]!PRAA024300col_INC_FTI</f>
        <v>16.73</v>
      </c>
      <c r="G10" s="218">
        <f>[0]!PRAA024300col_FTI_SALARY_PERM</f>
        <v>829185.76000000013</v>
      </c>
      <c r="H10" s="218">
        <f>[0]!PRAA024300col_HEALTH_PERM</f>
        <v>194904.5</v>
      </c>
      <c r="I10" s="218">
        <f>[0]!PRAA024300col_TOT_VB_PERM</f>
        <v>196529.88195039998</v>
      </c>
      <c r="J10" s="219">
        <f>SUM(G10:I10)</f>
        <v>1220620.1419504001</v>
      </c>
      <c r="K10" s="219">
        <f>[0]!PRAA024300col_1_27TH_PP</f>
        <v>0</v>
      </c>
      <c r="L10" s="218">
        <f>[0]!PRAA024300col_HEALTH_PERM_CHG</f>
        <v>0</v>
      </c>
      <c r="M10" s="218">
        <f>[0]!PRAA024300col_TOT_VB_PERM_CHG</f>
        <v>2594.3587040000016</v>
      </c>
      <c r="N10" s="218">
        <f>SUM(L10:M10)</f>
        <v>2594.3587040000016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8300</v>
      </c>
      <c r="AB10" s="335">
        <f>ROUND(PermVarBen*CECPerm+(CECPerm*PermVarBenChg),-2)</f>
        <v>2000</v>
      </c>
      <c r="AC10" s="335">
        <f>SUM(AA10:AB10)</f>
        <v>10300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[0]!PRAA024300col_Group_Salary</f>
        <v>6950</v>
      </c>
      <c r="H11" s="218">
        <v>0</v>
      </c>
      <c r="I11" s="218">
        <f>[0]!PRAA024300col_Group_Ben</f>
        <v>1034.68</v>
      </c>
      <c r="J11" s="219">
        <f>SUM(G11:I11)</f>
        <v>7984.68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[0]!PRAA024300col_TOTAL_ELECT_PCN_FTI</f>
        <v>0</v>
      </c>
      <c r="G12" s="218">
        <f>[0]!PRAA024300col_FTI_SALARY_ELECT</f>
        <v>0</v>
      </c>
      <c r="H12" s="218">
        <f>[0]!PRAA024300col_HEALTH_ELECT</f>
        <v>0</v>
      </c>
      <c r="I12" s="218">
        <f>[0]!PRAA024300col_TOT_VB_ELECT</f>
        <v>0</v>
      </c>
      <c r="J12" s="219">
        <f>SUM(G12:I12)</f>
        <v>0</v>
      </c>
      <c r="K12" s="268"/>
      <c r="L12" s="218">
        <f>[0]!PRAA024300col_HEALTH_ELECT_CHG</f>
        <v>0</v>
      </c>
      <c r="M12" s="218">
        <f>[0]!PRAA024300col_TOT_VB_ELECT_CHG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16.73</v>
      </c>
      <c r="G13" s="221">
        <f>SUM(G10:G12)</f>
        <v>836135.76000000013</v>
      </c>
      <c r="H13" s="221">
        <f>SUM(H10:H12)</f>
        <v>194904.5</v>
      </c>
      <c r="I13" s="221">
        <f>SUM(I10:I12)</f>
        <v>197564.56195039998</v>
      </c>
      <c r="J13" s="219">
        <f>SUM(G13:I13)</f>
        <v>1228604.8219504</v>
      </c>
      <c r="K13" s="268"/>
      <c r="L13" s="219">
        <f>SUM(L10:L12)</f>
        <v>0</v>
      </c>
      <c r="M13" s="219">
        <f>SUM(M10:M12)</f>
        <v>2594.3587040000016</v>
      </c>
      <c r="N13" s="219">
        <f>SUM(N10:N12)</f>
        <v>2594.3587040000016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"&amp;'PRAA|0243-00'!FiscalYear-1</f>
        <v>FY 2022</v>
      </c>
      <c r="D15" s="158" t="s">
        <v>31</v>
      </c>
      <c r="E15" s="355">
        <v>1402500</v>
      </c>
      <c r="F15" s="55">
        <v>17.8</v>
      </c>
      <c r="G15" s="223">
        <f>IF(OrigApprop=0,0,(G13/$J$13)*OrigApprop)</f>
        <v>954481.36166223057</v>
      </c>
      <c r="H15" s="223">
        <f>IF(OrigApprop=0,0,(H13/$J$13)*OrigApprop)</f>
        <v>222491.03728573481</v>
      </c>
      <c r="I15" s="223">
        <f>IF(G15=0,0,(I13/$J$13)*OrigApprop)</f>
        <v>225527.6010520347</v>
      </c>
      <c r="J15" s="223">
        <f>SUM(G15:I15)</f>
        <v>1402500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1.0700000000000003</v>
      </c>
      <c r="G16" s="162">
        <f>G15-G13</f>
        <v>118345.60166223045</v>
      </c>
      <c r="H16" s="162">
        <f>H15-H13</f>
        <v>27586.537285734812</v>
      </c>
      <c r="I16" s="162">
        <f>I15-I13</f>
        <v>27963.039101634728</v>
      </c>
      <c r="J16" s="162">
        <f>J15-J13</f>
        <v>173895.17804959998</v>
      </c>
      <c r="K16" s="269"/>
      <c r="L16" s="56" t="str">
        <f>IF('PRAA|0243-00'!OrigApprop=0,"ERROR! Enter Original Appropriation amount in DU 3.00!","Calculated "&amp;IF('PRAA|0243-00'!AdjustedTotal&gt;0,"overfunding ","underfunding ")&amp;"is "&amp;TEXT('PRAA|0243-00'!AdjustedTotal/'PRAA|0243-00'!AppropTotal,"#.0%;(#.0% );0% ;")&amp;" of Original Appropriation")</f>
        <v>Calculated overfunding is 12.4%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16.73</v>
      </c>
      <c r="G38" s="191">
        <f>SUMIF($E10:$E35,$E38,$G10:$G35)</f>
        <v>829185.76000000013</v>
      </c>
      <c r="H38" s="192">
        <f>SUMIF($E10:$E35,$E38,$H10:$H35)</f>
        <v>194904.5</v>
      </c>
      <c r="I38" s="192">
        <f>SUMIF($E10:$E35,$E38,$I10:$I35)</f>
        <v>196529.88195039998</v>
      </c>
      <c r="J38" s="192">
        <f>SUM(G38:I38)</f>
        <v>1220620.1419504001</v>
      </c>
      <c r="K38" s="166"/>
      <c r="L38" s="191">
        <f>SUMIF($E10:$E35,$E38,$L10:$L35)</f>
        <v>0</v>
      </c>
      <c r="M38" s="192">
        <f>SUMIF($E10:$E35,$E38,$M10:$M35)</f>
        <v>2594.3587040000016</v>
      </c>
      <c r="N38" s="192">
        <f>SUM(L38:M38)</f>
        <v>2594.3587040000016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8300</v>
      </c>
      <c r="AB38" s="338">
        <f>ROUND((AdjPermVB*CECPerm+AdjPermVBBY*CECPerm),-2)</f>
        <v>2000</v>
      </c>
      <c r="AC38" s="338">
        <f>SUM(AA38:AB38)</f>
        <v>10300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6950</v>
      </c>
      <c r="H39" s="152">
        <f>SUMIF($E10:$E35,$E39,$H10:$H35)</f>
        <v>0</v>
      </c>
      <c r="I39" s="152">
        <f>SUMIF($E10:$E35,$E39,$I10:$I35)</f>
        <v>1034.68</v>
      </c>
      <c r="J39" s="152">
        <f>SUM(G39:I39)</f>
        <v>7984.68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16.73</v>
      </c>
      <c r="G41" s="195">
        <f>SUM($G$38:$G$40)</f>
        <v>836135.76000000013</v>
      </c>
      <c r="H41" s="162">
        <f>SUM($H$38:$H$40)</f>
        <v>194904.5</v>
      </c>
      <c r="I41" s="162">
        <f>SUM($I$38:$I$40)</f>
        <v>197564.56195039998</v>
      </c>
      <c r="J41" s="162">
        <f>SUM($J$38:$J$40)</f>
        <v>1228604.8219504</v>
      </c>
      <c r="K41" s="259"/>
      <c r="L41" s="195">
        <f>SUM($L$38:$L$40)</f>
        <v>0</v>
      </c>
      <c r="M41" s="162">
        <f>SUM($M$38:$M$40)</f>
        <v>2594.3587040000016</v>
      </c>
      <c r="N41" s="162">
        <f>SUM(L41:M41)</f>
        <v>2594.3587040000016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1.07</v>
      </c>
      <c r="G43" s="206">
        <f>ROUND(G51-G41,-2)</f>
        <v>118300</v>
      </c>
      <c r="H43" s="159">
        <f>ROUND(H51-H41,-2)</f>
        <v>27600</v>
      </c>
      <c r="I43" s="159">
        <f>ROUND(I51-I41,-2)</f>
        <v>28000</v>
      </c>
      <c r="J43" s="159">
        <f>SUM(G43:I43)</f>
        <v>173900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12.4%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1.07</v>
      </c>
      <c r="G44" s="206">
        <f>ROUND(G60-G41,-2)</f>
        <v>118400</v>
      </c>
      <c r="H44" s="159">
        <f>ROUND(H60-H41,-2)</f>
        <v>27600</v>
      </c>
      <c r="I44" s="159">
        <f>ROUND(I60-I41,-2)</f>
        <v>27900</v>
      </c>
      <c r="J44" s="159">
        <f>SUM(G44:I44)</f>
        <v>173900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12.4%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1.07</v>
      </c>
      <c r="G45" s="206">
        <f>ROUND(G67-G41-G63,-2)</f>
        <v>118400</v>
      </c>
      <c r="H45" s="206">
        <f>ROUND(H67-H41-H63,-2)</f>
        <v>27600</v>
      </c>
      <c r="I45" s="206">
        <f>ROUND(I67-I41-I63,-2)</f>
        <v>27900</v>
      </c>
      <c r="J45" s="159">
        <f>SUM(G45:I45)</f>
        <v>173900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12.4%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1402500</v>
      </c>
      <c r="F51" s="272">
        <f>AppropFTP</f>
        <v>17.8</v>
      </c>
      <c r="G51" s="274">
        <f>IF(E51=0,0,(G41/$J$41)*$E$51)</f>
        <v>954481.36166223057</v>
      </c>
      <c r="H51" s="274">
        <f>IF(E51=0,0,(H41/$J$41)*$E$51)</f>
        <v>222491.03728573481</v>
      </c>
      <c r="I51" s="275">
        <f>IF(E51=0,0,(I41/$J$41)*$E$51)</f>
        <v>225527.6010520347</v>
      </c>
      <c r="J51" s="90">
        <f>SUM(G51:I51)</f>
        <v>1402500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17.8</v>
      </c>
      <c r="G52" s="79">
        <f>ROUND(G51,-2)</f>
        <v>954500</v>
      </c>
      <c r="H52" s="79">
        <f>ROUND(H51,-2)</f>
        <v>222500</v>
      </c>
      <c r="I52" s="266">
        <f>ROUND(I51,-2)</f>
        <v>225500</v>
      </c>
      <c r="J52" s="80">
        <f>ROUND(J51,-2)</f>
        <v>1402500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17.8</v>
      </c>
      <c r="G56" s="80">
        <f>SUM(G52:G55)</f>
        <v>954500</v>
      </c>
      <c r="H56" s="80">
        <f>SUM(H52:H55)</f>
        <v>222500</v>
      </c>
      <c r="I56" s="260">
        <f>SUM(I52:I55)</f>
        <v>225500</v>
      </c>
      <c r="J56" s="80">
        <f>SUM(J52:J55)</f>
        <v>1402500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17.8</v>
      </c>
      <c r="G60" s="80">
        <f>SUM(G56:G59)</f>
        <v>954500</v>
      </c>
      <c r="H60" s="80">
        <f>SUM(H56:H59)</f>
        <v>222500</v>
      </c>
      <c r="I60" s="260">
        <f>SUM(I56:I59)</f>
        <v>225500</v>
      </c>
      <c r="J60" s="80">
        <f>SUM(J56:J59)</f>
        <v>1402500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17.8</v>
      </c>
      <c r="G67" s="80">
        <f>SUM(G60:G64)</f>
        <v>954500</v>
      </c>
      <c r="H67" s="80">
        <f>SUM(H60:H64)</f>
        <v>222500</v>
      </c>
      <c r="I67" s="80">
        <f>SUM(I60:I64)</f>
        <v>225500</v>
      </c>
      <c r="J67" s="80">
        <f>SUM(J60:J64)</f>
        <v>1402500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2600</v>
      </c>
      <c r="J69" s="287">
        <f>SUM(G69:I69)</f>
        <v>2600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8300</v>
      </c>
      <c r="H72" s="287"/>
      <c r="I72" s="287">
        <f>ROUND(($G72*PermVBBY+$G72*Retire1BY),-2)</f>
        <v>2000</v>
      </c>
      <c r="J72" s="113">
        <f>SUM(G72:I72)</f>
        <v>10300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17.8</v>
      </c>
      <c r="G75" s="80">
        <f>SUM(G67:G74)</f>
        <v>962900</v>
      </c>
      <c r="H75" s="80">
        <f>SUM(H67:H74)</f>
        <v>222500</v>
      </c>
      <c r="I75" s="80">
        <f>SUM(I67:I74)</f>
        <v>230100</v>
      </c>
      <c r="J75" s="80">
        <f>SUM(J67:K74)</f>
        <v>1415500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17.8</v>
      </c>
      <c r="G80" s="80">
        <f>SUM(G75:G79)</f>
        <v>962900</v>
      </c>
      <c r="H80" s="80">
        <f>SUM(H75:H79)</f>
        <v>222500</v>
      </c>
      <c r="I80" s="80">
        <f>SUM(I75:I79)</f>
        <v>230100</v>
      </c>
      <c r="J80" s="80">
        <f>SUM(J75:J79)</f>
        <v>1415500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2" priority="5">
      <formula>$J$44&lt;0</formula>
    </cfRule>
  </conditionalFormatting>
  <conditionalFormatting sqref="K43">
    <cfRule type="expression" dxfId="71" priority="4">
      <formula>$J$43&lt;0</formula>
    </cfRule>
  </conditionalFormatting>
  <conditionalFormatting sqref="L16">
    <cfRule type="expression" dxfId="70" priority="3">
      <formula>$J$16&lt;0</formula>
    </cfRule>
  </conditionalFormatting>
  <conditionalFormatting sqref="K45">
    <cfRule type="expression" dxfId="69" priority="2">
      <formula>$J$44&lt;0</formula>
    </cfRule>
  </conditionalFormatting>
  <conditionalFormatting sqref="K43:N45">
    <cfRule type="containsText" dxfId="6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DA4775-D48A-4C92-8063-5EE1E7138C1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5F98-C2D7-4286-BF81-A43368EF1023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1116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1093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167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1114</v>
      </c>
      <c r="J5" s="404"/>
      <c r="K5" s="404"/>
      <c r="L5" s="403"/>
      <c r="M5" s="352" t="s">
        <v>115</v>
      </c>
      <c r="N5" s="32" t="s">
        <v>1115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"&amp;'PRAA|0247-00'!FiscalYear-1&amp;" SALARY"</f>
        <v>FY 2022 SALARY</v>
      </c>
      <c r="H8" s="50" t="str">
        <f>"FY "&amp;'PRAA|0247-00'!FiscalYear-1&amp;" HEALTH BENEFITS"</f>
        <v>FY 2022 HEALTH BENEFITS</v>
      </c>
      <c r="I8" s="50" t="str">
        <f>"FY "&amp;'PRAA|0247-00'!FiscalYear-1&amp;" VAR BENEFITS"</f>
        <v>FY 2022 VAR BENEFITS</v>
      </c>
      <c r="J8" s="50" t="str">
        <f>"FY "&amp;'PRAA|0247-00'!FiscalYear-1&amp;" TOTAL"</f>
        <v>FY 2022 TOTAL</v>
      </c>
      <c r="K8" s="50" t="str">
        <f>"FY "&amp;'PRAA|0247-00'!FiscalYear&amp;" SALARY CHANGE"</f>
        <v>FY 2023 SALARY CHANGE</v>
      </c>
      <c r="L8" s="50" t="str">
        <f>"FY "&amp;'PRAA|0247-00'!FiscalYear&amp;" CHG HEALTH BENEFITS"</f>
        <v>FY 2023 CHG HEALTH BENEFITS</v>
      </c>
      <c r="M8" s="50" t="str">
        <f>"FY "&amp;'PRAA|0247-00'!FiscalYear&amp;"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[0]!PRAA024700col_INC_FTI</f>
        <v>3.3474999999999993</v>
      </c>
      <c r="G10" s="218">
        <f>[0]!PRAA024700col_FTI_SALARY_PERM</f>
        <v>194210.12</v>
      </c>
      <c r="H10" s="218">
        <f>[0]!PRAA024700col_HEALTH_PERM</f>
        <v>39959.5</v>
      </c>
      <c r="I10" s="218">
        <f>[0]!PRAA024700col_TOT_VB_PERM</f>
        <v>45989.982026000005</v>
      </c>
      <c r="J10" s="219">
        <f>SUM(G10:I10)</f>
        <v>280159.60202599998</v>
      </c>
      <c r="K10" s="219">
        <f>[0]!PRAA024700col_1_27TH_PP</f>
        <v>0</v>
      </c>
      <c r="L10" s="218">
        <f>[0]!PRAA024700col_HEALTH_PERM_CHG</f>
        <v>0</v>
      </c>
      <c r="M10" s="218">
        <f>[0]!PRAA024700col_TOT_VB_PERM_CHG</f>
        <v>658.06934800000045</v>
      </c>
      <c r="N10" s="218">
        <f>SUM(L10:M10)</f>
        <v>658.06934800000045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1900</v>
      </c>
      <c r="AB10" s="335">
        <f>ROUND(PermVarBen*CECPerm+(CECPerm*PermVarBenChg),-2)</f>
        <v>500</v>
      </c>
      <c r="AC10" s="335">
        <f>SUM(AA10:AB10)</f>
        <v>2400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[0]!PRAA024700col_Group_Salary</f>
        <v>0</v>
      </c>
      <c r="H11" s="218">
        <v>0</v>
      </c>
      <c r="I11" s="218">
        <f>[0]!PRAA024700col_Group_Ben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[0]!PRAA024700col_TOTAL_ELECT_PCN_FTI</f>
        <v>0</v>
      </c>
      <c r="G12" s="218">
        <f>[0]!PRAA024700col_FTI_SALARY_ELECT</f>
        <v>0</v>
      </c>
      <c r="H12" s="218">
        <f>[0]!PRAA024700col_HEALTH_ELECT</f>
        <v>0</v>
      </c>
      <c r="I12" s="218">
        <f>[0]!PRAA024700col_TOT_VB_ELECT</f>
        <v>0</v>
      </c>
      <c r="J12" s="219">
        <f>SUM(G12:I12)</f>
        <v>0</v>
      </c>
      <c r="K12" s="268"/>
      <c r="L12" s="218">
        <f>[0]!PRAA024700col_HEALTH_ELECT_CHG</f>
        <v>0</v>
      </c>
      <c r="M12" s="218">
        <f>[0]!PRAA024700col_TOT_VB_ELECT_CHG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3.3474999999999993</v>
      </c>
      <c r="G13" s="221">
        <f>SUM(G10:G12)</f>
        <v>194210.12</v>
      </c>
      <c r="H13" s="221">
        <f>SUM(H10:H12)</f>
        <v>39959.5</v>
      </c>
      <c r="I13" s="221">
        <f>SUM(I10:I12)</f>
        <v>45989.982026000005</v>
      </c>
      <c r="J13" s="219">
        <f>SUM(G13:I13)</f>
        <v>280159.60202599998</v>
      </c>
      <c r="K13" s="268"/>
      <c r="L13" s="219">
        <f>SUM(L10:L12)</f>
        <v>0</v>
      </c>
      <c r="M13" s="219">
        <f>SUM(M10:M12)</f>
        <v>658.06934800000045</v>
      </c>
      <c r="N13" s="219">
        <f>SUM(N10:N12)</f>
        <v>658.06934800000045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"&amp;'PRAA|0247-00'!FiscalYear-1</f>
        <v>FY 2022</v>
      </c>
      <c r="D15" s="158" t="s">
        <v>31</v>
      </c>
      <c r="E15" s="355">
        <v>324100</v>
      </c>
      <c r="F15" s="55">
        <v>3.65</v>
      </c>
      <c r="G15" s="223">
        <f>IF(OrigApprop=0,0,(G13/$J$13)*OrigApprop)</f>
        <v>224670.15028868645</v>
      </c>
      <c r="H15" s="223">
        <f>IF(OrigApprop=0,0,(H13/$J$13)*OrigApprop)</f>
        <v>46226.771655672565</v>
      </c>
      <c r="I15" s="223">
        <f>IF(G15=0,0,(I13/$J$13)*OrigApprop)</f>
        <v>53203.078055641025</v>
      </c>
      <c r="J15" s="223">
        <f>SUM(G15:I15)</f>
        <v>324100.00000000006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0.30250000000000066</v>
      </c>
      <c r="G16" s="162">
        <f>G15-G13</f>
        <v>30460.030288686452</v>
      </c>
      <c r="H16" s="162">
        <f>H15-H13</f>
        <v>6267.2716556725645</v>
      </c>
      <c r="I16" s="162">
        <f>I15-I13</f>
        <v>7213.0960296410194</v>
      </c>
      <c r="J16" s="162">
        <f>J15-J13</f>
        <v>43940.39797400008</v>
      </c>
      <c r="K16" s="269"/>
      <c r="L16" s="56" t="str">
        <f>IF('PRAA|0247-00'!OrigApprop=0,"ERROR! Enter Original Appropriation amount in DU 3.00!","Calculated "&amp;IF('PRAA|0247-00'!AdjustedTotal&gt;0,"overfunding ","underfunding ")&amp;"is "&amp;TEXT('PRAA|0247-00'!AdjustedTotal/'PRAA|0247-00'!AppropTotal,"#.0%;(#.0% );0% ;")&amp;" of Original Appropriation")</f>
        <v>Calculated overfunding is 13.6%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3.3474999999999993</v>
      </c>
      <c r="G38" s="191">
        <f>SUMIF($E10:$E35,$E38,$G10:$G35)</f>
        <v>194210.12</v>
      </c>
      <c r="H38" s="192">
        <f>SUMIF($E10:$E35,$E38,$H10:$H35)</f>
        <v>39959.5</v>
      </c>
      <c r="I38" s="192">
        <f>SUMIF($E10:$E35,$E38,$I10:$I35)</f>
        <v>45989.982026000005</v>
      </c>
      <c r="J38" s="192">
        <f>SUM(G38:I38)</f>
        <v>280159.60202599998</v>
      </c>
      <c r="K38" s="166"/>
      <c r="L38" s="191">
        <f>SUMIF($E10:$E35,$E38,$L10:$L35)</f>
        <v>0</v>
      </c>
      <c r="M38" s="192">
        <f>SUMIF($E10:$E35,$E38,$M10:$M35)</f>
        <v>658.06934800000045</v>
      </c>
      <c r="N38" s="192">
        <f>SUM(L38:M38)</f>
        <v>658.06934800000045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1900</v>
      </c>
      <c r="AB38" s="338">
        <f>ROUND((AdjPermVB*CECPerm+AdjPermVBBY*CECPerm),-2)</f>
        <v>500</v>
      </c>
      <c r="AC38" s="338">
        <f>SUM(AA38:AB38)</f>
        <v>2400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3.3474999999999993</v>
      </c>
      <c r="G41" s="195">
        <f>SUM($G$38:$G$40)</f>
        <v>194210.12</v>
      </c>
      <c r="H41" s="162">
        <f>SUM($H$38:$H$40)</f>
        <v>39959.5</v>
      </c>
      <c r="I41" s="162">
        <f>SUM($I$38:$I$40)</f>
        <v>45989.982026000005</v>
      </c>
      <c r="J41" s="162">
        <f>SUM($J$38:$J$40)</f>
        <v>280159.60202599998</v>
      </c>
      <c r="K41" s="259"/>
      <c r="L41" s="195">
        <f>SUM($L$38:$L$40)</f>
        <v>0</v>
      </c>
      <c r="M41" s="162">
        <f>SUM($M$38:$M$40)</f>
        <v>658.06934800000045</v>
      </c>
      <c r="N41" s="162">
        <f>SUM(L41:M41)</f>
        <v>658.06934800000045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0.3</v>
      </c>
      <c r="G43" s="206">
        <f>ROUND(G51-G41,-2)</f>
        <v>30500</v>
      </c>
      <c r="H43" s="159">
        <f>ROUND(H51-H41,-2)</f>
        <v>6300</v>
      </c>
      <c r="I43" s="159">
        <f>ROUND(I51-I41,-2)</f>
        <v>7200</v>
      </c>
      <c r="J43" s="159">
        <f>SUM(G43:I43)</f>
        <v>44000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13.6%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0.3</v>
      </c>
      <c r="G44" s="206">
        <f>ROUND(G60-G41,-2)</f>
        <v>30500</v>
      </c>
      <c r="H44" s="159">
        <f>ROUND(H60-H41,-2)</f>
        <v>6200</v>
      </c>
      <c r="I44" s="159">
        <f>ROUND(I60-I41,-2)</f>
        <v>7200</v>
      </c>
      <c r="J44" s="159">
        <f>SUM(G44:I44)</f>
        <v>43900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13.5%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0.3</v>
      </c>
      <c r="G45" s="206">
        <f>ROUND(G67-G41-G63,-2)</f>
        <v>30500</v>
      </c>
      <c r="H45" s="206">
        <f>ROUND(H67-H41-H63,-2)</f>
        <v>6200</v>
      </c>
      <c r="I45" s="206">
        <f>ROUND(I67-I41-I63,-2)</f>
        <v>7200</v>
      </c>
      <c r="J45" s="159">
        <f>SUM(G45:I45)</f>
        <v>43900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13.5%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324100</v>
      </c>
      <c r="F51" s="272">
        <f>AppropFTP</f>
        <v>3.65</v>
      </c>
      <c r="G51" s="274">
        <f>IF(E51=0,0,(G41/$J$41)*$E$51)</f>
        <v>224670.15028868645</v>
      </c>
      <c r="H51" s="274">
        <f>IF(E51=0,0,(H41/$J$41)*$E$51)</f>
        <v>46226.771655672565</v>
      </c>
      <c r="I51" s="275">
        <f>IF(E51=0,0,(I41/$J$41)*$E$51)</f>
        <v>53203.078055641025</v>
      </c>
      <c r="J51" s="90">
        <f>SUM(G51:I51)</f>
        <v>324100.00000000006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3.65</v>
      </c>
      <c r="G52" s="79">
        <f>ROUND(G51,-2)</f>
        <v>224700</v>
      </c>
      <c r="H52" s="79">
        <f>ROUND(H51,-2)</f>
        <v>46200</v>
      </c>
      <c r="I52" s="266">
        <f>ROUND(I51,-2)</f>
        <v>53200</v>
      </c>
      <c r="J52" s="80">
        <f>ROUND(J51,-2)</f>
        <v>324100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3.65</v>
      </c>
      <c r="G56" s="80">
        <f>SUM(G52:G55)</f>
        <v>224700</v>
      </c>
      <c r="H56" s="80">
        <f>SUM(H52:H55)</f>
        <v>46200</v>
      </c>
      <c r="I56" s="260">
        <f>SUM(I52:I55)</f>
        <v>53200</v>
      </c>
      <c r="J56" s="80">
        <f>SUM(J52:J55)</f>
        <v>324100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3.65</v>
      </c>
      <c r="G60" s="80">
        <f>SUM(G56:G59)</f>
        <v>224700</v>
      </c>
      <c r="H60" s="80">
        <f>SUM(H56:H59)</f>
        <v>46200</v>
      </c>
      <c r="I60" s="260">
        <f>SUM(I56:I59)</f>
        <v>53200</v>
      </c>
      <c r="J60" s="80">
        <f>SUM(J56:J59)</f>
        <v>324100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3.65</v>
      </c>
      <c r="G67" s="80">
        <f>SUM(G60:G64)</f>
        <v>224700</v>
      </c>
      <c r="H67" s="80">
        <f>SUM(H60:H64)</f>
        <v>46200</v>
      </c>
      <c r="I67" s="80">
        <f>SUM(I60:I64)</f>
        <v>53200</v>
      </c>
      <c r="J67" s="80">
        <f>SUM(J60:J64)</f>
        <v>324100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700</v>
      </c>
      <c r="J69" s="287">
        <f>SUM(G69:I69)</f>
        <v>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1900</v>
      </c>
      <c r="H72" s="287"/>
      <c r="I72" s="287">
        <f>ROUND(($G72*PermVBBY+$G72*Retire1BY),-2)</f>
        <v>500</v>
      </c>
      <c r="J72" s="113">
        <f>SUM(G72:I72)</f>
        <v>2400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3.65</v>
      </c>
      <c r="G75" s="80">
        <f>SUM(G67:G74)</f>
        <v>226600</v>
      </c>
      <c r="H75" s="80">
        <f>SUM(H67:H74)</f>
        <v>46200</v>
      </c>
      <c r="I75" s="80">
        <f>SUM(I67:I74)</f>
        <v>54400</v>
      </c>
      <c r="J75" s="80">
        <f>SUM(J67:K74)</f>
        <v>327200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3.65</v>
      </c>
      <c r="G80" s="80">
        <f>SUM(G75:G79)</f>
        <v>226600</v>
      </c>
      <c r="H80" s="80">
        <f>SUM(H75:H79)</f>
        <v>46200</v>
      </c>
      <c r="I80" s="80">
        <f>SUM(I75:I79)</f>
        <v>54400</v>
      </c>
      <c r="J80" s="80">
        <f>SUM(J75:J79)</f>
        <v>327200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7" priority="5">
      <formula>$J$44&lt;0</formula>
    </cfRule>
  </conditionalFormatting>
  <conditionalFormatting sqref="K43">
    <cfRule type="expression" dxfId="66" priority="4">
      <formula>$J$43&lt;0</formula>
    </cfRule>
  </conditionalFormatting>
  <conditionalFormatting sqref="L16">
    <cfRule type="expression" dxfId="65" priority="3">
      <formula>$J$16&lt;0</formula>
    </cfRule>
  </conditionalFormatting>
  <conditionalFormatting sqref="K45">
    <cfRule type="expression" dxfId="64" priority="2">
      <formula>$J$44&lt;0</formula>
    </cfRule>
  </conditionalFormatting>
  <conditionalFormatting sqref="K43:N45">
    <cfRule type="containsText" dxfId="6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50F692-E9A0-4112-AECE-DF969CD1D39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9F261-18A5-4B0B-86AE-A2D704B7109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1123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1093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423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1121</v>
      </c>
      <c r="J5" s="404"/>
      <c r="K5" s="404"/>
      <c r="L5" s="403"/>
      <c r="M5" s="352" t="s">
        <v>115</v>
      </c>
      <c r="N5" s="32" t="s">
        <v>1122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"&amp;'PRAB|0250-00'!FiscalYear-1&amp;" SALARY"</f>
        <v>FY 2022 SALARY</v>
      </c>
      <c r="H8" s="50" t="str">
        <f>"FY "&amp;'PRAB|0250-00'!FiscalYear-1&amp;" HEALTH BENEFITS"</f>
        <v>FY 2022 HEALTH BENEFITS</v>
      </c>
      <c r="I8" s="50" t="str">
        <f>"FY "&amp;'PRAB|0250-00'!FiscalYear-1&amp;" VAR BENEFITS"</f>
        <v>FY 2022 VAR BENEFITS</v>
      </c>
      <c r="J8" s="50" t="str">
        <f>"FY "&amp;'PRAB|0250-00'!FiscalYear-1&amp;" TOTAL"</f>
        <v>FY 2022 TOTAL</v>
      </c>
      <c r="K8" s="50" t="str">
        <f>"FY "&amp;'PRAB|0250-00'!FiscalYear&amp;" SALARY CHANGE"</f>
        <v>FY 2023 SALARY CHANGE</v>
      </c>
      <c r="L8" s="50" t="str">
        <f>"FY "&amp;'PRAB|0250-00'!FiscalYear&amp;" CHG HEALTH BENEFITS"</f>
        <v>FY 2023 CHG HEALTH BENEFITS</v>
      </c>
      <c r="M8" s="50" t="str">
        <f>"FY "&amp;'PRAB|0250-00'!FiscalYear&amp;"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[0]!PRAB025000col_INC_FTI</f>
        <v>3.7549999999999994</v>
      </c>
      <c r="G10" s="218">
        <f>[0]!PRAB025000col_FTI_SALARY_PERM</f>
        <v>202470.31999999998</v>
      </c>
      <c r="H10" s="218">
        <f>[0]!PRAB025000col_HEALTH_PERM</f>
        <v>44736</v>
      </c>
      <c r="I10" s="218">
        <f>[0]!PRAB025000col_TOT_VB_PERM</f>
        <v>48106.461973599995</v>
      </c>
      <c r="J10" s="219">
        <f>SUM(G10:I10)</f>
        <v>295312.78197359998</v>
      </c>
      <c r="K10" s="219">
        <f>[0]!PRAB025000col_1_27TH_PP</f>
        <v>0</v>
      </c>
      <c r="L10" s="218">
        <f>[0]!PRAB025000col_HEALTH_PERM_CHG</f>
        <v>0</v>
      </c>
      <c r="M10" s="218">
        <f>[0]!PRAB025000col_TOT_VB_PERM_CHG</f>
        <v>618.78392800000051</v>
      </c>
      <c r="N10" s="218">
        <f>SUM(L10:M10)</f>
        <v>618.78392800000051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2000</v>
      </c>
      <c r="AB10" s="335">
        <f>ROUND(PermVarBen*CECPerm+(CECPerm*PermVarBenChg),-2)</f>
        <v>500</v>
      </c>
      <c r="AC10" s="335">
        <f>SUM(AA10:AB10)</f>
        <v>2500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[0]!PRAB025000col_Group_Salary</f>
        <v>7421.93</v>
      </c>
      <c r="H11" s="218">
        <v>0</v>
      </c>
      <c r="I11" s="218">
        <f>[0]!PRAB025000col_Group_Ben</f>
        <v>1598.65</v>
      </c>
      <c r="J11" s="219">
        <f>SUM(G11:I11)</f>
        <v>9020.58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[0]!PRAB025000col_TOTAL_ELECT_PCN_FTI</f>
        <v>0</v>
      </c>
      <c r="G12" s="218">
        <f>[0]!PRAB025000col_FTI_SALARY_ELECT</f>
        <v>0</v>
      </c>
      <c r="H12" s="218">
        <f>[0]!PRAB025000col_HEALTH_ELECT</f>
        <v>0</v>
      </c>
      <c r="I12" s="218">
        <f>[0]!PRAB025000col_TOT_VB_ELECT</f>
        <v>0</v>
      </c>
      <c r="J12" s="219">
        <f>SUM(G12:I12)</f>
        <v>0</v>
      </c>
      <c r="K12" s="268"/>
      <c r="L12" s="218">
        <f>[0]!PRAB025000col_HEALTH_ELECT_CHG</f>
        <v>0</v>
      </c>
      <c r="M12" s="218">
        <f>[0]!PRAB025000col_TOT_VB_ELECT_CHG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3.7549999999999994</v>
      </c>
      <c r="G13" s="221">
        <f>SUM(G10:G12)</f>
        <v>209892.24999999997</v>
      </c>
      <c r="H13" s="221">
        <f>SUM(H10:H12)</f>
        <v>44736</v>
      </c>
      <c r="I13" s="221">
        <f>SUM(I10:I12)</f>
        <v>49705.111973599996</v>
      </c>
      <c r="J13" s="219">
        <f>SUM(G13:I13)</f>
        <v>304333.3619736</v>
      </c>
      <c r="K13" s="268"/>
      <c r="L13" s="219">
        <f>SUM(L10:L12)</f>
        <v>0</v>
      </c>
      <c r="M13" s="219">
        <f>SUM(M10:M12)</f>
        <v>618.78392800000051</v>
      </c>
      <c r="N13" s="219">
        <f>SUM(N10:N12)</f>
        <v>618.78392800000051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"&amp;'PRAB|0250-00'!FiscalYear-1</f>
        <v>FY 2022</v>
      </c>
      <c r="D15" s="158" t="s">
        <v>31</v>
      </c>
      <c r="E15" s="355">
        <v>343700</v>
      </c>
      <c r="F15" s="55">
        <v>4.05</v>
      </c>
      <c r="G15" s="223">
        <f>IF(OrigApprop=0,0,(G13/$J$13)*OrigApprop)</f>
        <v>237042.58336047269</v>
      </c>
      <c r="H15" s="223">
        <f>IF(OrigApprop=0,0,(H13/$J$13)*OrigApprop)</f>
        <v>50522.765891613955</v>
      </c>
      <c r="I15" s="223">
        <f>IF(G15=0,0,(I13/$J$13)*OrigApprop)</f>
        <v>56134.650747913314</v>
      </c>
      <c r="J15" s="223">
        <f>SUM(G15:I15)</f>
        <v>343700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0.29500000000000037</v>
      </c>
      <c r="G16" s="162">
        <f>G15-G13</f>
        <v>27150.333360472723</v>
      </c>
      <c r="H16" s="162">
        <f>H15-H13</f>
        <v>5786.7658916139553</v>
      </c>
      <c r="I16" s="162">
        <f>I15-I13</f>
        <v>6429.5387743133178</v>
      </c>
      <c r="J16" s="162">
        <f>J15-J13</f>
        <v>39366.638026400004</v>
      </c>
      <c r="K16" s="269"/>
      <c r="L16" s="56" t="str">
        <f>IF('PRAB|0250-00'!OrigApprop=0,"ERROR! Enter Original Appropriation amount in DU 3.00!","Calculated "&amp;IF('PRAB|0250-00'!AdjustedTotal&gt;0,"overfunding ","underfunding ")&amp;"is "&amp;TEXT('PRAB|0250-00'!AdjustedTotal/'PRAB|0250-00'!AppropTotal,"#.0%;(#.0% );0% ;")&amp;" of Original Appropriation")</f>
        <v>Calculated overfunding is 11.5%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3.7549999999999994</v>
      </c>
      <c r="G38" s="191">
        <f>SUMIF($E10:$E35,$E38,$G10:$G35)</f>
        <v>202470.31999999998</v>
      </c>
      <c r="H38" s="192">
        <f>SUMIF($E10:$E35,$E38,$H10:$H35)</f>
        <v>44736</v>
      </c>
      <c r="I38" s="192">
        <f>SUMIF($E10:$E35,$E38,$I10:$I35)</f>
        <v>48106.461973599995</v>
      </c>
      <c r="J38" s="192">
        <f>SUM(G38:I38)</f>
        <v>295312.78197359998</v>
      </c>
      <c r="K38" s="166"/>
      <c r="L38" s="191">
        <f>SUMIF($E10:$E35,$E38,$L10:$L35)</f>
        <v>0</v>
      </c>
      <c r="M38" s="192">
        <f>SUMIF($E10:$E35,$E38,$M10:$M35)</f>
        <v>618.78392800000051</v>
      </c>
      <c r="N38" s="192">
        <f>SUM(L38:M38)</f>
        <v>618.78392800000051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2000</v>
      </c>
      <c r="AB38" s="338">
        <f>ROUND((AdjPermVB*CECPerm+AdjPermVBBY*CECPerm),-2)</f>
        <v>500</v>
      </c>
      <c r="AC38" s="338">
        <f>SUM(AA38:AB38)</f>
        <v>2500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7421.93</v>
      </c>
      <c r="H39" s="152">
        <f>SUMIF($E10:$E35,$E39,$H10:$H35)</f>
        <v>0</v>
      </c>
      <c r="I39" s="152">
        <f>SUMIF($E10:$E35,$E39,$I10:$I35)</f>
        <v>1598.65</v>
      </c>
      <c r="J39" s="152">
        <f>SUM(G39:I39)</f>
        <v>9020.58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3.7549999999999994</v>
      </c>
      <c r="G41" s="195">
        <f>SUM($G$38:$G$40)</f>
        <v>209892.24999999997</v>
      </c>
      <c r="H41" s="162">
        <f>SUM($H$38:$H$40)</f>
        <v>44736</v>
      </c>
      <c r="I41" s="162">
        <f>SUM($I$38:$I$40)</f>
        <v>49705.111973599996</v>
      </c>
      <c r="J41" s="162">
        <f>SUM($J$38:$J$40)</f>
        <v>304333.3619736</v>
      </c>
      <c r="K41" s="259"/>
      <c r="L41" s="195">
        <f>SUM($L$38:$L$40)</f>
        <v>0</v>
      </c>
      <c r="M41" s="162">
        <f>SUM($M$38:$M$40)</f>
        <v>618.78392800000051</v>
      </c>
      <c r="N41" s="162">
        <f>SUM(L41:M41)</f>
        <v>618.78392800000051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0.3</v>
      </c>
      <c r="G43" s="206">
        <f>ROUND(G51-G41,-2)</f>
        <v>27200</v>
      </c>
      <c r="H43" s="159">
        <f>ROUND(H51-H41,-2)</f>
        <v>5800</v>
      </c>
      <c r="I43" s="159">
        <f>ROUND(I51-I41,-2)</f>
        <v>6400</v>
      </c>
      <c r="J43" s="159">
        <f>SUM(G43:I43)</f>
        <v>39400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11.5%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0.3</v>
      </c>
      <c r="G44" s="206">
        <f>ROUND(G60-G41,-2)</f>
        <v>27100</v>
      </c>
      <c r="H44" s="159">
        <f>ROUND(H60-H41,-2)</f>
        <v>5800</v>
      </c>
      <c r="I44" s="159">
        <f>ROUND(I60-I41,-2)</f>
        <v>6400</v>
      </c>
      <c r="J44" s="159">
        <f>SUM(G44:I44)</f>
        <v>39300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11.4%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0.3</v>
      </c>
      <c r="G45" s="206">
        <f>ROUND(G67-G41-G63,-2)</f>
        <v>27100</v>
      </c>
      <c r="H45" s="206">
        <f>ROUND(H67-H41-H63,-2)</f>
        <v>5800</v>
      </c>
      <c r="I45" s="206">
        <f>ROUND(I67-I41-I63,-2)</f>
        <v>6400</v>
      </c>
      <c r="J45" s="159">
        <f>SUM(G45:I45)</f>
        <v>39300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11.4%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343700</v>
      </c>
      <c r="F51" s="272">
        <f>AppropFTP</f>
        <v>4.05</v>
      </c>
      <c r="G51" s="274">
        <f>IF(E51=0,0,(G41/$J$41)*$E$51)</f>
        <v>237042.58336047269</v>
      </c>
      <c r="H51" s="274">
        <f>IF(E51=0,0,(H41/$J$41)*$E$51)</f>
        <v>50522.765891613955</v>
      </c>
      <c r="I51" s="275">
        <f>IF(E51=0,0,(I41/$J$41)*$E$51)</f>
        <v>56134.650747913314</v>
      </c>
      <c r="J51" s="90">
        <f>SUM(G51:I51)</f>
        <v>343700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4.05</v>
      </c>
      <c r="G52" s="79">
        <f>ROUND(G51,-2)</f>
        <v>237000</v>
      </c>
      <c r="H52" s="79">
        <f>ROUND(H51,-2)</f>
        <v>50500</v>
      </c>
      <c r="I52" s="266">
        <f>ROUND(I51,-2)</f>
        <v>56100</v>
      </c>
      <c r="J52" s="80">
        <f>ROUND(J51,-2)</f>
        <v>343700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4.05</v>
      </c>
      <c r="G56" s="80">
        <f>SUM(G52:G55)</f>
        <v>237000</v>
      </c>
      <c r="H56" s="80">
        <f>SUM(H52:H55)</f>
        <v>50500</v>
      </c>
      <c r="I56" s="260">
        <f>SUM(I52:I55)</f>
        <v>56100</v>
      </c>
      <c r="J56" s="80">
        <f>SUM(J52:J55)</f>
        <v>343700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4.05</v>
      </c>
      <c r="G60" s="80">
        <f>SUM(G56:G59)</f>
        <v>237000</v>
      </c>
      <c r="H60" s="80">
        <f>SUM(H56:H59)</f>
        <v>50500</v>
      </c>
      <c r="I60" s="260">
        <f>SUM(I56:I59)</f>
        <v>56100</v>
      </c>
      <c r="J60" s="80">
        <f>SUM(J56:J59)</f>
        <v>343700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4.05</v>
      </c>
      <c r="G67" s="80">
        <f>SUM(G60:G64)</f>
        <v>237000</v>
      </c>
      <c r="H67" s="80">
        <f>SUM(H60:H64)</f>
        <v>50500</v>
      </c>
      <c r="I67" s="80">
        <f>SUM(I60:I64)</f>
        <v>56100</v>
      </c>
      <c r="J67" s="80">
        <f>SUM(J60:J64)</f>
        <v>343700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600</v>
      </c>
      <c r="J69" s="287">
        <f>SUM(G69:I69)</f>
        <v>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2000</v>
      </c>
      <c r="H72" s="287"/>
      <c r="I72" s="287">
        <f>ROUND(($G72*PermVBBY+$G72*Retire1BY),-2)</f>
        <v>500</v>
      </c>
      <c r="J72" s="113">
        <f>SUM(G72:I72)</f>
        <v>2500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4.05</v>
      </c>
      <c r="G75" s="80">
        <f>SUM(G67:G74)</f>
        <v>239100</v>
      </c>
      <c r="H75" s="80">
        <f>SUM(H67:H74)</f>
        <v>50500</v>
      </c>
      <c r="I75" s="80">
        <f>SUM(I67:I74)</f>
        <v>57200</v>
      </c>
      <c r="J75" s="80">
        <f>SUM(J67:K74)</f>
        <v>346900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4.05</v>
      </c>
      <c r="G80" s="80">
        <f>SUM(G75:G79)</f>
        <v>239100</v>
      </c>
      <c r="H80" s="80">
        <f>SUM(H75:H79)</f>
        <v>50500</v>
      </c>
      <c r="I80" s="80">
        <f>SUM(I75:I79)</f>
        <v>57200</v>
      </c>
      <c r="J80" s="80">
        <f>SUM(J75:J79)</f>
        <v>346900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2" priority="5">
      <formula>$J$44&lt;0</formula>
    </cfRule>
  </conditionalFormatting>
  <conditionalFormatting sqref="K43">
    <cfRule type="expression" dxfId="61" priority="4">
      <formula>$J$43&lt;0</formula>
    </cfRule>
  </conditionalFormatting>
  <conditionalFormatting sqref="L16">
    <cfRule type="expression" dxfId="60" priority="3">
      <formula>$J$16&lt;0</formula>
    </cfRule>
  </conditionalFormatting>
  <conditionalFormatting sqref="K45">
    <cfRule type="expression" dxfId="59" priority="2">
      <formula>$J$44&lt;0</formula>
    </cfRule>
  </conditionalFormatting>
  <conditionalFormatting sqref="K43:N45">
    <cfRule type="containsText" dxfId="5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50D1D6-13FA-446D-8A8B-F8EBF291B2D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26AF-742A-4BB1-AED5-394D488EDBA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1096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432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1094</v>
      </c>
      <c r="J5" s="404"/>
      <c r="K5" s="404"/>
      <c r="L5" s="403"/>
      <c r="M5" s="352" t="s">
        <v>115</v>
      </c>
      <c r="N5" s="32" t="s">
        <v>1095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"&amp;'PRBA|0001-00'!FiscalYear-1&amp;" SALARY"</f>
        <v>FY 2022 SALARY</v>
      </c>
      <c r="H8" s="50" t="str">
        <f>"FY "&amp;'PRBA|0001-00'!FiscalYear-1&amp;" HEALTH BENEFITS"</f>
        <v>FY 2022 HEALTH BENEFITS</v>
      </c>
      <c r="I8" s="50" t="str">
        <f>"FY "&amp;'PRBA|0001-00'!FiscalYear-1&amp;" VAR BENEFITS"</f>
        <v>FY 2022 VAR BENEFITS</v>
      </c>
      <c r="J8" s="50" t="str">
        <f>"FY "&amp;'PRBA|0001-00'!FiscalYear-1&amp;" TOTAL"</f>
        <v>FY 2022 TOTAL</v>
      </c>
      <c r="K8" s="50" t="str">
        <f>"FY "&amp;'PRBA|0001-00'!FiscalYear&amp;" SALARY CHANGE"</f>
        <v>FY 2023 SALARY CHANGE</v>
      </c>
      <c r="L8" s="50" t="str">
        <f>"FY "&amp;'PRBA|0001-00'!FiscalYear&amp;" CHG HEALTH BENEFITS"</f>
        <v>FY 2023 CHG HEALTH BENEFITS</v>
      </c>
      <c r="M8" s="50" t="str">
        <f>"FY "&amp;'PRBA|0001-00'!FiscalYear&amp;"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[0]!PRBA000100col_INC_FTI</f>
        <v>28.3125</v>
      </c>
      <c r="G10" s="218">
        <f>[0]!PRBA000100col_FTI_SALARY_PERM</f>
        <v>1291529.2000000002</v>
      </c>
      <c r="H10" s="218">
        <f>[0]!PRBA000100col_HEALTH_PERM</f>
        <v>344257.5</v>
      </c>
      <c r="I10" s="218">
        <f>[0]!PRBA000100col_TOT_VB_PERM</f>
        <v>307345.20372400002</v>
      </c>
      <c r="J10" s="219">
        <f>SUM(G10:I10)</f>
        <v>1943131.9037240003</v>
      </c>
      <c r="K10" s="219">
        <f>[0]!PRBA000100col_1_27TH_PP</f>
        <v>0</v>
      </c>
      <c r="L10" s="218">
        <f>[0]!PRBA000100col_HEALTH_PERM_CHG</f>
        <v>0</v>
      </c>
      <c r="M10" s="218">
        <f>[0]!PRBA000100col_TOT_VB_PERM_CHG</f>
        <v>3745.4346800000017</v>
      </c>
      <c r="N10" s="218">
        <f>SUM(L10:M10)</f>
        <v>3745.4346800000017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12900</v>
      </c>
      <c r="AB10" s="335">
        <f>ROUND(PermVarBen*CECPerm+(CECPerm*PermVarBenChg),-2)</f>
        <v>3100</v>
      </c>
      <c r="AC10" s="335">
        <f>SUM(AA10:AB10)</f>
        <v>16000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[0]!PRBA000100col_Group_Salary</f>
        <v>75252.56</v>
      </c>
      <c r="H11" s="218">
        <v>0</v>
      </c>
      <c r="I11" s="218">
        <f>[0]!PRBA000100col_Group_Ben</f>
        <v>11635.62</v>
      </c>
      <c r="J11" s="219">
        <f>SUM(G11:I11)</f>
        <v>86888.18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800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[0]!PRBA000100col_TOTAL_ELECT_PCN_FTI</f>
        <v>0</v>
      </c>
      <c r="G12" s="218">
        <f>[0]!PRBA000100col_FTI_SALARY_ELECT</f>
        <v>0</v>
      </c>
      <c r="H12" s="218">
        <f>[0]!PRBA000100col_HEALTH_ELECT</f>
        <v>0</v>
      </c>
      <c r="I12" s="218">
        <f>[0]!PRBA000100col_TOT_VB_ELECT</f>
        <v>0</v>
      </c>
      <c r="J12" s="219">
        <f>SUM(G12:I12)</f>
        <v>0</v>
      </c>
      <c r="K12" s="268"/>
      <c r="L12" s="218">
        <f>[0]!PRBA000100col_HEALTH_ELECT_CHG</f>
        <v>0</v>
      </c>
      <c r="M12" s="218">
        <f>[0]!PRBA000100col_TOT_VB_ELECT_CHG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28.3125</v>
      </c>
      <c r="G13" s="221">
        <f>SUM(G10:G12)</f>
        <v>1366781.7600000002</v>
      </c>
      <c r="H13" s="221">
        <f>SUM(H10:H12)</f>
        <v>344257.5</v>
      </c>
      <c r="I13" s="221">
        <f>SUM(I10:I12)</f>
        <v>318980.82372400002</v>
      </c>
      <c r="J13" s="219">
        <f>SUM(G13:I13)</f>
        <v>2030020.0837240003</v>
      </c>
      <c r="K13" s="268"/>
      <c r="L13" s="219">
        <f>SUM(L10:L12)</f>
        <v>0</v>
      </c>
      <c r="M13" s="219">
        <f>SUM(M10:M12)</f>
        <v>3745.4346800000017</v>
      </c>
      <c r="N13" s="219">
        <f>SUM(N10:N12)</f>
        <v>3745.4346800000017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"&amp;'PRBA|0001-00'!FiscalYear-1</f>
        <v>FY 2022</v>
      </c>
      <c r="D15" s="158" t="s">
        <v>31</v>
      </c>
      <c r="E15" s="355">
        <v>2180300</v>
      </c>
      <c r="F15" s="55">
        <v>30.5</v>
      </c>
      <c r="G15" s="223">
        <f>IF(OrigApprop=0,0,(G13/$J$13)*OrigApprop)</f>
        <v>1467962.9503277161</v>
      </c>
      <c r="H15" s="223">
        <f>IF(OrigApprop=0,0,(H13/$J$13)*OrigApprop)</f>
        <v>369742.46376571752</v>
      </c>
      <c r="I15" s="223">
        <f>IF(G15=0,0,(I13/$J$13)*OrigApprop)</f>
        <v>342594.58590656641</v>
      </c>
      <c r="J15" s="223">
        <f>SUM(G15:I15)</f>
        <v>2180300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2.1875</v>
      </c>
      <c r="G16" s="162">
        <f>G15-G13</f>
        <v>101181.19032771583</v>
      </c>
      <c r="H16" s="162">
        <f>H15-H13</f>
        <v>25484.963765717519</v>
      </c>
      <c r="I16" s="162">
        <f>I15-I13</f>
        <v>23613.762182566395</v>
      </c>
      <c r="J16" s="162">
        <f>J15-J13</f>
        <v>150279.91627599974</v>
      </c>
      <c r="K16" s="269"/>
      <c r="L16" s="56" t="str">
        <f>IF('PRBA|0001-00'!OrigApprop=0,"ERROR! Enter Original Appropriation amount in DU 3.00!","Calculated "&amp;IF('PRBA|0001-00'!AdjustedTotal&gt;0,"overfunding ","underfunding ")&amp;"is "&amp;TEXT('PRBA|0001-00'!AdjustedTotal/'PRBA|0001-00'!AppropTotal,"#.0%;(#.0% );0% ;")&amp;" of Original Appropriation")</f>
        <v>Calculated overfunding is 6.9%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28.3125</v>
      </c>
      <c r="G38" s="191">
        <f>SUMIF($E10:$E35,$E38,$G10:$G35)</f>
        <v>1291529.2000000002</v>
      </c>
      <c r="H38" s="192">
        <f>SUMIF($E10:$E35,$E38,$H10:$H35)</f>
        <v>344257.5</v>
      </c>
      <c r="I38" s="192">
        <f>SUMIF($E10:$E35,$E38,$I10:$I35)</f>
        <v>307345.20372400002</v>
      </c>
      <c r="J38" s="192">
        <f>SUM(G38:I38)</f>
        <v>1943131.9037240003</v>
      </c>
      <c r="K38" s="166"/>
      <c r="L38" s="191">
        <f>SUMIF($E10:$E35,$E38,$L10:$L35)</f>
        <v>0</v>
      </c>
      <c r="M38" s="192">
        <f>SUMIF($E10:$E35,$E38,$M10:$M35)</f>
        <v>3745.4346800000017</v>
      </c>
      <c r="N38" s="192">
        <f>SUM(L38:M38)</f>
        <v>3745.4346800000017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12900</v>
      </c>
      <c r="AB38" s="338">
        <f>ROUND((AdjPermVB*CECPerm+AdjPermVBBY*CECPerm),-2)</f>
        <v>3100</v>
      </c>
      <c r="AC38" s="338">
        <f>SUM(AA38:AB38)</f>
        <v>16000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75252.56</v>
      </c>
      <c r="H39" s="152">
        <f>SUMIF($E10:$E35,$E39,$H10:$H35)</f>
        <v>0</v>
      </c>
      <c r="I39" s="152">
        <f>SUMIF($E10:$E35,$E39,$I10:$I35)</f>
        <v>11635.62</v>
      </c>
      <c r="J39" s="152">
        <f>SUM(G39:I39)</f>
        <v>86888.18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800</v>
      </c>
      <c r="AB39" s="338">
        <f>ROUND(AdjGroupVB*CECGroup,-2)</f>
        <v>100</v>
      </c>
      <c r="AC39" s="338">
        <f>SUM(AA39:AB39)</f>
        <v>900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28.3125</v>
      </c>
      <c r="G41" s="195">
        <f>SUM($G$38:$G$40)</f>
        <v>1366781.7600000002</v>
      </c>
      <c r="H41" s="162">
        <f>SUM($H$38:$H$40)</f>
        <v>344257.5</v>
      </c>
      <c r="I41" s="162">
        <f>SUM($I$38:$I$40)</f>
        <v>318980.82372400002</v>
      </c>
      <c r="J41" s="162">
        <f>SUM($J$38:$J$40)</f>
        <v>2030020.0837240003</v>
      </c>
      <c r="K41" s="259"/>
      <c r="L41" s="195">
        <f>SUM($L$38:$L$40)</f>
        <v>0</v>
      </c>
      <c r="M41" s="162">
        <f>SUM($M$38:$M$40)</f>
        <v>3745.4346800000017</v>
      </c>
      <c r="N41" s="162">
        <f>SUM(L41:M41)</f>
        <v>3745.4346800000017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2.19</v>
      </c>
      <c r="G43" s="206">
        <f>ROUND(G51-G41,-2)</f>
        <v>101200</v>
      </c>
      <c r="H43" s="159">
        <f>ROUND(H51-H41,-2)</f>
        <v>25500</v>
      </c>
      <c r="I43" s="159">
        <f>ROUND(I51-I41,-2)</f>
        <v>23600</v>
      </c>
      <c r="J43" s="159">
        <f>SUM(G43:I43)</f>
        <v>150300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6.9%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2.19</v>
      </c>
      <c r="G44" s="206">
        <f>ROUND(G60-G41,-2)</f>
        <v>101200</v>
      </c>
      <c r="H44" s="159">
        <f>ROUND(H60-H41,-2)</f>
        <v>25400</v>
      </c>
      <c r="I44" s="159">
        <f>ROUND(I60-I41,-2)</f>
        <v>23600</v>
      </c>
      <c r="J44" s="159">
        <f>SUM(G44:I44)</f>
        <v>150200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6.9%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2.19</v>
      </c>
      <c r="G45" s="206">
        <f>ROUND(G67-G41-G63,-2)</f>
        <v>101200</v>
      </c>
      <c r="H45" s="206">
        <f>ROUND(H67-H41-H63,-2)</f>
        <v>25400</v>
      </c>
      <c r="I45" s="206">
        <f>ROUND(I67-I41-I63,-2)</f>
        <v>23600</v>
      </c>
      <c r="J45" s="159">
        <f>SUM(G45:I45)</f>
        <v>150200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6.9%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2180300</v>
      </c>
      <c r="F51" s="272">
        <f>AppropFTP</f>
        <v>30.5</v>
      </c>
      <c r="G51" s="274">
        <f>IF(E51=0,0,(G41/$J$41)*$E$51)</f>
        <v>1467962.9503277161</v>
      </c>
      <c r="H51" s="274">
        <f>IF(E51=0,0,(H41/$J$41)*$E$51)</f>
        <v>369742.46376571752</v>
      </c>
      <c r="I51" s="275">
        <f>IF(E51=0,0,(I41/$J$41)*$E$51)</f>
        <v>342594.58590656641</v>
      </c>
      <c r="J51" s="90">
        <f>SUM(G51:I51)</f>
        <v>2180300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30.5</v>
      </c>
      <c r="G52" s="79">
        <f>ROUND(G51,-2)</f>
        <v>1468000</v>
      </c>
      <c r="H52" s="79">
        <f>ROUND(H51,-2)</f>
        <v>369700</v>
      </c>
      <c r="I52" s="266">
        <f>ROUND(I51,-2)</f>
        <v>342600</v>
      </c>
      <c r="J52" s="80">
        <f>ROUND(J51,-2)</f>
        <v>2180300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30.5</v>
      </c>
      <c r="G56" s="80">
        <f>SUM(G52:G55)</f>
        <v>1468000</v>
      </c>
      <c r="H56" s="80">
        <f>SUM(H52:H55)</f>
        <v>369700</v>
      </c>
      <c r="I56" s="260">
        <f>SUM(I52:I55)</f>
        <v>342600</v>
      </c>
      <c r="J56" s="80">
        <f>SUM(J52:J55)</f>
        <v>2180300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30.5</v>
      </c>
      <c r="G60" s="80">
        <f>SUM(G56:G59)</f>
        <v>1468000</v>
      </c>
      <c r="H60" s="80">
        <f>SUM(H56:H59)</f>
        <v>369700</v>
      </c>
      <c r="I60" s="260">
        <f>SUM(I56:I59)</f>
        <v>342600</v>
      </c>
      <c r="J60" s="80">
        <f>SUM(J56:J59)</f>
        <v>2180300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30.5</v>
      </c>
      <c r="G67" s="80">
        <f>SUM(G60:G64)</f>
        <v>1468000</v>
      </c>
      <c r="H67" s="80">
        <f>SUM(H60:H64)</f>
        <v>369700</v>
      </c>
      <c r="I67" s="80">
        <f>SUM(I60:I64)</f>
        <v>342600</v>
      </c>
      <c r="J67" s="80">
        <f>SUM(J60:J64)</f>
        <v>2180300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3700</v>
      </c>
      <c r="J69" s="287">
        <f>SUM(G69:I69)</f>
        <v>3700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12900</v>
      </c>
      <c r="H72" s="287"/>
      <c r="I72" s="287">
        <f>ROUND(($G72*PermVBBY+$G72*Retire1BY),-2)</f>
        <v>3100</v>
      </c>
      <c r="J72" s="113">
        <f>SUM(G72:I72)</f>
        <v>16000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800</v>
      </c>
      <c r="H73" s="287"/>
      <c r="I73" s="287">
        <f>ROUND(($G73*GroupVBBY),-2)</f>
        <v>100</v>
      </c>
      <c r="J73" s="113">
        <f t="shared" si="11"/>
        <v>900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30.5</v>
      </c>
      <c r="G75" s="80">
        <f>SUM(G67:G74)</f>
        <v>1481700</v>
      </c>
      <c r="H75" s="80">
        <f>SUM(H67:H74)</f>
        <v>369700</v>
      </c>
      <c r="I75" s="80">
        <f>SUM(I67:I74)</f>
        <v>349500</v>
      </c>
      <c r="J75" s="80">
        <f>SUM(J67:K74)</f>
        <v>2200900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30.5</v>
      </c>
      <c r="G80" s="80">
        <f>SUM(G75:G79)</f>
        <v>1481700</v>
      </c>
      <c r="H80" s="80">
        <f>SUM(H75:H79)</f>
        <v>369700</v>
      </c>
      <c r="I80" s="80">
        <f>SUM(I75:I79)</f>
        <v>349500</v>
      </c>
      <c r="J80" s="80">
        <f>SUM(J75:J79)</f>
        <v>2200900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7" priority="5">
      <formula>$J$44&lt;0</formula>
    </cfRule>
  </conditionalFormatting>
  <conditionalFormatting sqref="K43">
    <cfRule type="expression" dxfId="56" priority="4">
      <formula>$J$43&lt;0</formula>
    </cfRule>
  </conditionalFormatting>
  <conditionalFormatting sqref="L16">
    <cfRule type="expression" dxfId="55" priority="3">
      <formula>$J$16&lt;0</formula>
    </cfRule>
  </conditionalFormatting>
  <conditionalFormatting sqref="K45">
    <cfRule type="expression" dxfId="54" priority="2">
      <formula>$J$44&lt;0</formula>
    </cfRule>
  </conditionalFormatting>
  <conditionalFormatting sqref="K43:N45">
    <cfRule type="containsText" dxfId="5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39A232-6B5D-4A46-BAC0-337E5462056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35C7-5A94-4FB5-91AC-C67CEC69BF7E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1109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432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1107</v>
      </c>
      <c r="J5" s="404"/>
      <c r="K5" s="404"/>
      <c r="L5" s="403"/>
      <c r="M5" s="352" t="s">
        <v>115</v>
      </c>
      <c r="N5" s="32" t="s">
        <v>1108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"&amp;'PRBA|0243-00'!FiscalYear-1&amp;" SALARY"</f>
        <v>FY 2022 SALARY</v>
      </c>
      <c r="H8" s="50" t="str">
        <f>"FY "&amp;'PRBA|0243-00'!FiscalYear-1&amp;" HEALTH BENEFITS"</f>
        <v>FY 2022 HEALTH BENEFITS</v>
      </c>
      <c r="I8" s="50" t="str">
        <f>"FY "&amp;'PRBA|0243-00'!FiscalYear-1&amp;" VAR BENEFITS"</f>
        <v>FY 2022 VAR BENEFITS</v>
      </c>
      <c r="J8" s="50" t="str">
        <f>"FY "&amp;'PRBA|0243-00'!FiscalYear-1&amp;" TOTAL"</f>
        <v>FY 2022 TOTAL</v>
      </c>
      <c r="K8" s="50" t="str">
        <f>"FY "&amp;'PRBA|0243-00'!FiscalYear&amp;" SALARY CHANGE"</f>
        <v>FY 2023 SALARY CHANGE</v>
      </c>
      <c r="L8" s="50" t="str">
        <f>"FY "&amp;'PRBA|0243-00'!FiscalYear&amp;" CHG HEALTH BENEFITS"</f>
        <v>FY 2023 CHG HEALTH BENEFITS</v>
      </c>
      <c r="M8" s="50" t="str">
        <f>"FY "&amp;'PRBA|0243-00'!FiscalYear&amp;"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[0]!PRBA024300col_INC_FTI</f>
        <v>56.95000000000001</v>
      </c>
      <c r="G10" s="218">
        <f>[0]!PRBA024300col_FTI_SALARY_PERM</f>
        <v>2628013.44</v>
      </c>
      <c r="H10" s="218">
        <f>[0]!PRBA024300col_HEALTH_PERM</f>
        <v>669875</v>
      </c>
      <c r="I10" s="218">
        <f>[0]!PRBA024300col_TOT_VB_PERM</f>
        <v>625122.18238080002</v>
      </c>
      <c r="J10" s="219">
        <f>SUM(G10:I10)</f>
        <v>3923010.6223808001</v>
      </c>
      <c r="K10" s="219">
        <f>[0]!PRBA024300col_1_27TH_PP</f>
        <v>0</v>
      </c>
      <c r="L10" s="218">
        <f>[0]!PRBA024300col_HEALTH_PERM_CHG</f>
        <v>0</v>
      </c>
      <c r="M10" s="218">
        <f>[0]!PRBA024300col_TOT_VB_PERM_CHG</f>
        <v>7621.2389760000015</v>
      </c>
      <c r="N10" s="218">
        <f>SUM(L10:M10)</f>
        <v>7621.2389760000015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26300</v>
      </c>
      <c r="AB10" s="335">
        <f>ROUND(PermVarBen*CECPerm+(CECPerm*PermVarBenChg),-2)</f>
        <v>6300</v>
      </c>
      <c r="AC10" s="335">
        <f>SUM(AA10:AB10)</f>
        <v>32600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[0]!PRBA024300col_Group_Salary</f>
        <v>1029517.83</v>
      </c>
      <c r="H11" s="218">
        <v>0</v>
      </c>
      <c r="I11" s="218">
        <f>[0]!PRBA024300col_Group_Ben</f>
        <v>164707.76000000007</v>
      </c>
      <c r="J11" s="219">
        <f>SUM(G11:I11)</f>
        <v>1194225.5900000001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10300</v>
      </c>
      <c r="AB11" s="335">
        <f>ROUND((GroupSalary*GroupVBBY)*CECGroup,-2)</f>
        <v>1100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[0]!PRBA024300col_TOTAL_ELECT_PCN_FTI</f>
        <v>0</v>
      </c>
      <c r="G12" s="218">
        <f>[0]!PRBA024300col_FTI_SALARY_ELECT</f>
        <v>0</v>
      </c>
      <c r="H12" s="218">
        <f>[0]!PRBA024300col_HEALTH_ELECT</f>
        <v>0</v>
      </c>
      <c r="I12" s="218">
        <f>[0]!PRBA024300col_TOT_VB_ELECT</f>
        <v>0</v>
      </c>
      <c r="J12" s="219">
        <f>SUM(G12:I12)</f>
        <v>0</v>
      </c>
      <c r="K12" s="268"/>
      <c r="L12" s="218">
        <f>[0]!PRBA024300col_HEALTH_ELECT_CHG</f>
        <v>0</v>
      </c>
      <c r="M12" s="218">
        <f>[0]!PRBA024300col_TOT_VB_ELECT_CHG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56.95000000000001</v>
      </c>
      <c r="G13" s="221">
        <f>SUM(G10:G12)</f>
        <v>3657531.27</v>
      </c>
      <c r="H13" s="221">
        <f>SUM(H10:H12)</f>
        <v>669875</v>
      </c>
      <c r="I13" s="221">
        <f>SUM(I10:I12)</f>
        <v>789829.94238080014</v>
      </c>
      <c r="J13" s="219">
        <f>SUM(G13:I13)</f>
        <v>5117236.2123807995</v>
      </c>
      <c r="K13" s="268"/>
      <c r="L13" s="219">
        <f>SUM(L10:L12)</f>
        <v>0</v>
      </c>
      <c r="M13" s="219">
        <f>SUM(M10:M12)</f>
        <v>7621.2389760000015</v>
      </c>
      <c r="N13" s="219">
        <f>SUM(N10:N12)</f>
        <v>7621.2389760000015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"&amp;'PRBA|0243-00'!FiscalYear-1</f>
        <v>FY 2022</v>
      </c>
      <c r="D15" s="158" t="s">
        <v>31</v>
      </c>
      <c r="E15" s="355">
        <v>5457600</v>
      </c>
      <c r="F15" s="55">
        <v>61.55</v>
      </c>
      <c r="G15" s="223">
        <f>IF(OrigApprop=0,0,(G13/$J$13)*OrigApprop)</f>
        <v>3900805.4017238664</v>
      </c>
      <c r="H15" s="223">
        <f>IF(OrigApprop=0,0,(H13/$J$13)*OrigApprop)</f>
        <v>714430.53403608361</v>
      </c>
      <c r="I15" s="223">
        <f>IF(G15=0,0,(I13/$J$13)*OrigApprop)</f>
        <v>842364.06424005108</v>
      </c>
      <c r="J15" s="223">
        <f>SUM(G15:I15)</f>
        <v>5457600.0000000019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4.5999999999999872</v>
      </c>
      <c r="G16" s="162">
        <f>G15-G13</f>
        <v>243274.13172386633</v>
      </c>
      <c r="H16" s="162">
        <f>H15-H13</f>
        <v>44555.534036083613</v>
      </c>
      <c r="I16" s="162">
        <f>I15-I13</f>
        <v>52534.121859250939</v>
      </c>
      <c r="J16" s="162">
        <f>J15-J13</f>
        <v>340363.7876192024</v>
      </c>
      <c r="K16" s="269"/>
      <c r="L16" s="56" t="str">
        <f>IF('PRBA|0243-00'!OrigApprop=0,"ERROR! Enter Original Appropriation amount in DU 3.00!","Calculated "&amp;IF('PRBA|0243-00'!AdjustedTotal&gt;0,"overfunding ","underfunding ")&amp;"is "&amp;TEXT('PRBA|0243-00'!AdjustedTotal/'PRBA|0243-00'!AppropTotal,"#.0%;(#.0% );0% ;")&amp;" of Original Appropriation")</f>
        <v>Calculated overfunding is 6.2%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56.95000000000001</v>
      </c>
      <c r="G38" s="191">
        <f>SUMIF($E10:$E35,$E38,$G10:$G35)</f>
        <v>2628013.44</v>
      </c>
      <c r="H38" s="192">
        <f>SUMIF($E10:$E35,$E38,$H10:$H35)</f>
        <v>669875</v>
      </c>
      <c r="I38" s="192">
        <f>SUMIF($E10:$E35,$E38,$I10:$I35)</f>
        <v>625122.18238080002</v>
      </c>
      <c r="J38" s="192">
        <f>SUM(G38:I38)</f>
        <v>3923010.6223808001</v>
      </c>
      <c r="K38" s="166"/>
      <c r="L38" s="191">
        <f>SUMIF($E10:$E35,$E38,$L10:$L35)</f>
        <v>0</v>
      </c>
      <c r="M38" s="192">
        <f>SUMIF($E10:$E35,$E38,$M10:$M35)</f>
        <v>7621.2389760000015</v>
      </c>
      <c r="N38" s="192">
        <f>SUM(L38:M38)</f>
        <v>7621.2389760000015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26300</v>
      </c>
      <c r="AB38" s="338">
        <f>ROUND((AdjPermVB*CECPerm+AdjPermVBBY*CECPerm),-2)</f>
        <v>6300</v>
      </c>
      <c r="AC38" s="338">
        <f>SUM(AA38:AB38)</f>
        <v>32600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1029517.83</v>
      </c>
      <c r="H39" s="152">
        <f>SUMIF($E10:$E35,$E39,$H10:$H35)</f>
        <v>0</v>
      </c>
      <c r="I39" s="152">
        <f>SUMIF($E10:$E35,$E39,$I10:$I35)</f>
        <v>164707.76000000007</v>
      </c>
      <c r="J39" s="152">
        <f>SUM(G39:I39)</f>
        <v>1194225.5900000001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10300</v>
      </c>
      <c r="AB39" s="338">
        <f>ROUND(AdjGroupVB*CECGroup,-2)</f>
        <v>1600</v>
      </c>
      <c r="AC39" s="338">
        <f>SUM(AA39:AB39)</f>
        <v>11900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56.95000000000001</v>
      </c>
      <c r="G41" s="195">
        <f>SUM($G$38:$G$40)</f>
        <v>3657531.27</v>
      </c>
      <c r="H41" s="162">
        <f>SUM($H$38:$H$40)</f>
        <v>669875</v>
      </c>
      <c r="I41" s="162">
        <f>SUM($I$38:$I$40)</f>
        <v>789829.94238080014</v>
      </c>
      <c r="J41" s="162">
        <f>SUM($J$38:$J$40)</f>
        <v>5117236.2123808004</v>
      </c>
      <c r="K41" s="259"/>
      <c r="L41" s="195">
        <f>SUM($L$38:$L$40)</f>
        <v>0</v>
      </c>
      <c r="M41" s="162">
        <f>SUM($M$38:$M$40)</f>
        <v>7621.2389760000015</v>
      </c>
      <c r="N41" s="162">
        <f>SUM(L41:M41)</f>
        <v>7621.2389760000015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4.5999999999999996</v>
      </c>
      <c r="G43" s="206">
        <f>ROUND(G51-G41,-2)</f>
        <v>243300</v>
      </c>
      <c r="H43" s="159">
        <f>ROUND(H51-H41,-2)</f>
        <v>44600</v>
      </c>
      <c r="I43" s="159">
        <f>ROUND(I51-I41,-2)</f>
        <v>52500</v>
      </c>
      <c r="J43" s="159">
        <f>SUM(G43:I43)</f>
        <v>340400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6.2%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4.5999999999999996</v>
      </c>
      <c r="G44" s="206">
        <f>ROUND(G60-G41,-2)</f>
        <v>243300</v>
      </c>
      <c r="H44" s="159">
        <f>ROUND(H60-H41,-2)</f>
        <v>44500</v>
      </c>
      <c r="I44" s="159">
        <f>ROUND(I60-I41,-2)</f>
        <v>52600</v>
      </c>
      <c r="J44" s="159">
        <f>SUM(G44:I44)</f>
        <v>340400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6.2%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4.5999999999999996</v>
      </c>
      <c r="G45" s="206">
        <f>ROUND(G67-G41-G63,-2)</f>
        <v>243300</v>
      </c>
      <c r="H45" s="206">
        <f>ROUND(H67-H41-H63,-2)</f>
        <v>44500</v>
      </c>
      <c r="I45" s="206">
        <f>ROUND(I67-I41-I63,-2)</f>
        <v>52600</v>
      </c>
      <c r="J45" s="159">
        <f>SUM(G45:I45)</f>
        <v>340400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6.2%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500</v>
      </c>
      <c r="AC45" s="338">
        <f>SUM(AA45:AB45)</f>
        <v>500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5457600</v>
      </c>
      <c r="F51" s="272">
        <f>AppropFTP</f>
        <v>61.55</v>
      </c>
      <c r="G51" s="274">
        <f>IF(E51=0,0,(G41/$J$41)*$E$51)</f>
        <v>3900805.4017238654</v>
      </c>
      <c r="H51" s="274">
        <f>IF(E51=0,0,(H41/$J$41)*$E$51)</f>
        <v>714430.53403608338</v>
      </c>
      <c r="I51" s="275">
        <f>IF(E51=0,0,(I41/$J$41)*$E$51)</f>
        <v>842364.06424005085</v>
      </c>
      <c r="J51" s="90">
        <f>SUM(G51:I51)</f>
        <v>5457599.9999999991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61.55</v>
      </c>
      <c r="G52" s="79">
        <f>ROUND(G51,-2)</f>
        <v>3900800</v>
      </c>
      <c r="H52" s="79">
        <f>ROUND(H51,-2)</f>
        <v>714400</v>
      </c>
      <c r="I52" s="266">
        <f>ROUND(I51,-2)</f>
        <v>842400</v>
      </c>
      <c r="J52" s="80">
        <f>ROUND(J51,-2)</f>
        <v>5457600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61.55</v>
      </c>
      <c r="G56" s="80">
        <f>SUM(G52:G55)</f>
        <v>3900800</v>
      </c>
      <c r="H56" s="80">
        <f>SUM(H52:H55)</f>
        <v>714400</v>
      </c>
      <c r="I56" s="260">
        <f>SUM(I52:I55)</f>
        <v>842400</v>
      </c>
      <c r="J56" s="80">
        <f>SUM(J52:J55)</f>
        <v>5457600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61.55</v>
      </c>
      <c r="G60" s="80">
        <f>SUM(G56:G59)</f>
        <v>3900800</v>
      </c>
      <c r="H60" s="80">
        <f>SUM(H56:H59)</f>
        <v>714400</v>
      </c>
      <c r="I60" s="260">
        <f>SUM(I56:I59)</f>
        <v>842400</v>
      </c>
      <c r="J60" s="80">
        <f>SUM(J56:J59)</f>
        <v>5457600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61.55</v>
      </c>
      <c r="G67" s="80">
        <f>SUM(G60:G64)</f>
        <v>3900800</v>
      </c>
      <c r="H67" s="80">
        <f>SUM(H60:H64)</f>
        <v>714400</v>
      </c>
      <c r="I67" s="80">
        <f>SUM(I60:I64)</f>
        <v>842400</v>
      </c>
      <c r="J67" s="80">
        <f>SUM(J60:J64)</f>
        <v>5457600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7600</v>
      </c>
      <c r="J69" s="287">
        <f>SUM(G69:I69)</f>
        <v>7600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26300</v>
      </c>
      <c r="H72" s="287"/>
      <c r="I72" s="287">
        <f>ROUND(($G72*PermVBBY+$G72*Retire1BY),-2)</f>
        <v>6300</v>
      </c>
      <c r="J72" s="113">
        <f>SUM(G72:I72)</f>
        <v>32600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10300</v>
      </c>
      <c r="H73" s="287"/>
      <c r="I73" s="287">
        <f>ROUND(($G73*GroupVBBY),-2)</f>
        <v>1100</v>
      </c>
      <c r="J73" s="113">
        <f t="shared" si="11"/>
        <v>11400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61.55</v>
      </c>
      <c r="G75" s="80">
        <f>SUM(G67:G74)</f>
        <v>3937400</v>
      </c>
      <c r="H75" s="80">
        <f>SUM(H67:H74)</f>
        <v>714400</v>
      </c>
      <c r="I75" s="80">
        <f>SUM(I67:I74)</f>
        <v>857400</v>
      </c>
      <c r="J75" s="80">
        <f>SUM(J67:K74)</f>
        <v>5509200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61.55</v>
      </c>
      <c r="G80" s="80">
        <f>SUM(G75:G79)</f>
        <v>3937400</v>
      </c>
      <c r="H80" s="80">
        <f>SUM(H75:H79)</f>
        <v>714400</v>
      </c>
      <c r="I80" s="80">
        <f>SUM(I75:I79)</f>
        <v>857400</v>
      </c>
      <c r="J80" s="80">
        <f>SUM(J75:J79)</f>
        <v>5509200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2" priority="5">
      <formula>$J$44&lt;0</formula>
    </cfRule>
  </conditionalFormatting>
  <conditionalFormatting sqref="K43">
    <cfRule type="expression" dxfId="51" priority="4">
      <formula>$J$43&lt;0</formula>
    </cfRule>
  </conditionalFormatting>
  <conditionalFormatting sqref="L16">
    <cfRule type="expression" dxfId="50" priority="3">
      <formula>$J$16&lt;0</formula>
    </cfRule>
  </conditionalFormatting>
  <conditionalFormatting sqref="K45">
    <cfRule type="expression" dxfId="49" priority="2">
      <formula>$J$44&lt;0</formula>
    </cfRule>
  </conditionalFormatting>
  <conditionalFormatting sqref="K43:N45">
    <cfRule type="containsText" dxfId="4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ABE065-74B1-4EA7-8466-82EF6215A16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A149-D54B-4C01-84C7-A7F754FCD02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1116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432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1114</v>
      </c>
      <c r="J5" s="404"/>
      <c r="K5" s="404"/>
      <c r="L5" s="403"/>
      <c r="M5" s="352" t="s">
        <v>115</v>
      </c>
      <c r="N5" s="32" t="s">
        <v>1115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"&amp;'PRBA|0247-00'!FiscalYear-1&amp;" SALARY"</f>
        <v>FY 2022 SALARY</v>
      </c>
      <c r="H8" s="50" t="str">
        <f>"FY "&amp;'PRBA|0247-00'!FiscalYear-1&amp;" HEALTH BENEFITS"</f>
        <v>FY 2022 HEALTH BENEFITS</v>
      </c>
      <c r="I8" s="50" t="str">
        <f>"FY "&amp;'PRBA|0247-00'!FiscalYear-1&amp;" VAR BENEFITS"</f>
        <v>FY 2022 VAR BENEFITS</v>
      </c>
      <c r="J8" s="50" t="str">
        <f>"FY "&amp;'PRBA|0247-00'!FiscalYear-1&amp;" TOTAL"</f>
        <v>FY 2022 TOTAL</v>
      </c>
      <c r="K8" s="50" t="str">
        <f>"FY "&amp;'PRBA|0247-00'!FiscalYear&amp;" SALARY CHANGE"</f>
        <v>FY 2023 SALARY CHANGE</v>
      </c>
      <c r="L8" s="50" t="str">
        <f>"FY "&amp;'PRBA|0247-00'!FiscalYear&amp;" CHG HEALTH BENEFITS"</f>
        <v>FY 2023 CHG HEALTH BENEFITS</v>
      </c>
      <c r="M8" s="50" t="str">
        <f>"FY "&amp;'PRBA|0247-00'!FiscalYear&amp;"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[0]!PRBA024700col_INC_FTI</f>
        <v>2.4300000000000002</v>
      </c>
      <c r="G10" s="218">
        <f>[0]!PRBA024700col_FTI_SALARY_PERM</f>
        <v>146850.08000000002</v>
      </c>
      <c r="H10" s="218">
        <f>[0]!PRBA024700col_HEALTH_PERM</f>
        <v>28309.5</v>
      </c>
      <c r="I10" s="218">
        <f>[0]!PRBA024700col_TOT_VB_PERM</f>
        <v>34945.913537599998</v>
      </c>
      <c r="J10" s="219">
        <f>SUM(G10:I10)</f>
        <v>210105.49353760001</v>
      </c>
      <c r="K10" s="219">
        <f>[0]!PRBA024700col_1_27TH_PP</f>
        <v>0</v>
      </c>
      <c r="L10" s="218">
        <f>[0]!PRBA024700col_HEALTH_PERM_CHG</f>
        <v>0</v>
      </c>
      <c r="M10" s="218">
        <f>[0]!PRBA024700col_TOT_VB_PERM_CHG</f>
        <v>425.86523200000022</v>
      </c>
      <c r="N10" s="218">
        <f>SUM(L10:M10)</f>
        <v>425.86523200000022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1500</v>
      </c>
      <c r="AB10" s="335">
        <f>ROUND(PermVarBen*CECPerm+(CECPerm*PermVarBenChg),-2)</f>
        <v>400</v>
      </c>
      <c r="AC10" s="335">
        <f>SUM(AA10:AB10)</f>
        <v>1900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[0]!PRBA024700col_Group_Salary</f>
        <v>0</v>
      </c>
      <c r="H11" s="218">
        <v>0</v>
      </c>
      <c r="I11" s="218">
        <f>[0]!PRBA024700col_Group_Ben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[0]!PRBA024700col_TOTAL_ELECT_PCN_FTI</f>
        <v>0</v>
      </c>
      <c r="G12" s="218">
        <f>[0]!PRBA024700col_FTI_SALARY_ELECT</f>
        <v>0</v>
      </c>
      <c r="H12" s="218">
        <f>[0]!PRBA024700col_HEALTH_ELECT</f>
        <v>0</v>
      </c>
      <c r="I12" s="218">
        <f>[0]!PRBA024700col_TOT_VB_ELECT</f>
        <v>0</v>
      </c>
      <c r="J12" s="219">
        <f>SUM(G12:I12)</f>
        <v>0</v>
      </c>
      <c r="K12" s="268"/>
      <c r="L12" s="218">
        <f>[0]!PRBA024700col_HEALTH_ELECT_CHG</f>
        <v>0</v>
      </c>
      <c r="M12" s="218">
        <f>[0]!PRBA024700col_TOT_VB_ELECT_CHG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2.4300000000000002</v>
      </c>
      <c r="G13" s="221">
        <f>SUM(G10:G12)</f>
        <v>146850.08000000002</v>
      </c>
      <c r="H13" s="221">
        <f>SUM(H10:H12)</f>
        <v>28309.5</v>
      </c>
      <c r="I13" s="221">
        <f>SUM(I10:I12)</f>
        <v>34945.913537599998</v>
      </c>
      <c r="J13" s="219">
        <f>SUM(G13:I13)</f>
        <v>210105.49353760001</v>
      </c>
      <c r="K13" s="268"/>
      <c r="L13" s="219">
        <f>SUM(L10:L12)</f>
        <v>0</v>
      </c>
      <c r="M13" s="219">
        <f>SUM(M10:M12)</f>
        <v>425.86523200000022</v>
      </c>
      <c r="N13" s="219">
        <f>SUM(N10:N12)</f>
        <v>425.86523200000022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"&amp;'PRBA|0247-00'!FiscalYear-1</f>
        <v>FY 2022</v>
      </c>
      <c r="D15" s="158" t="s">
        <v>31</v>
      </c>
      <c r="E15" s="355">
        <v>234800</v>
      </c>
      <c r="F15" s="55">
        <v>2.63</v>
      </c>
      <c r="G15" s="223">
        <f>IF(OrigApprop=0,0,(G13/$J$13)*OrigApprop)</f>
        <v>164109.93450692171</v>
      </c>
      <c r="H15" s="223">
        <f>IF(OrigApprop=0,0,(H13/$J$13)*OrigApprop)</f>
        <v>31636.824378466121</v>
      </c>
      <c r="I15" s="223">
        <f>IF(G15=0,0,(I13/$J$13)*OrigApprop)</f>
        <v>39053.241114612159</v>
      </c>
      <c r="J15" s="223">
        <f>SUM(G15:I15)</f>
        <v>234800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0.19999999999999973</v>
      </c>
      <c r="G16" s="162">
        <f>G15-G13</f>
        <v>17259.854506921693</v>
      </c>
      <c r="H16" s="162">
        <f>H15-H13</f>
        <v>3327.3243784661208</v>
      </c>
      <c r="I16" s="162">
        <f>I15-I13</f>
        <v>4107.3275770121618</v>
      </c>
      <c r="J16" s="162">
        <f>J15-J13</f>
        <v>24694.506462399993</v>
      </c>
      <c r="K16" s="269"/>
      <c r="L16" s="56" t="str">
        <f>IF('PRBA|0247-00'!OrigApprop=0,"ERROR! Enter Original Appropriation amount in DU 3.00!","Calculated "&amp;IF('PRBA|0247-00'!AdjustedTotal&gt;0,"overfunding ","underfunding ")&amp;"is "&amp;TEXT('PRBA|0247-00'!AdjustedTotal/'PRBA|0247-00'!AppropTotal,"#.0%;(#.0% );0% ;")&amp;" of Original Appropriation")</f>
        <v>Calculated overfunding is 10.5%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2.4300000000000002</v>
      </c>
      <c r="G38" s="191">
        <f>SUMIF($E10:$E35,$E38,$G10:$G35)</f>
        <v>146850.08000000002</v>
      </c>
      <c r="H38" s="192">
        <f>SUMIF($E10:$E35,$E38,$H10:$H35)</f>
        <v>28309.5</v>
      </c>
      <c r="I38" s="192">
        <f>SUMIF($E10:$E35,$E38,$I10:$I35)</f>
        <v>34945.913537599998</v>
      </c>
      <c r="J38" s="192">
        <f>SUM(G38:I38)</f>
        <v>210105.49353760001</v>
      </c>
      <c r="K38" s="166"/>
      <c r="L38" s="191">
        <f>SUMIF($E10:$E35,$E38,$L10:$L35)</f>
        <v>0</v>
      </c>
      <c r="M38" s="192">
        <f>SUMIF($E10:$E35,$E38,$M10:$M35)</f>
        <v>425.86523200000022</v>
      </c>
      <c r="N38" s="192">
        <f>SUM(L38:M38)</f>
        <v>425.86523200000022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1500</v>
      </c>
      <c r="AB38" s="338">
        <f>ROUND((AdjPermVB*CECPerm+AdjPermVBBY*CECPerm),-2)</f>
        <v>400</v>
      </c>
      <c r="AC38" s="338">
        <f>SUM(AA38:AB38)</f>
        <v>1900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2.4300000000000002</v>
      </c>
      <c r="G41" s="195">
        <f>SUM($G$38:$G$40)</f>
        <v>146850.08000000002</v>
      </c>
      <c r="H41" s="162">
        <f>SUM($H$38:$H$40)</f>
        <v>28309.5</v>
      </c>
      <c r="I41" s="162">
        <f>SUM($I$38:$I$40)</f>
        <v>34945.913537599998</v>
      </c>
      <c r="J41" s="162">
        <f>SUM($J$38:$J$40)</f>
        <v>210105.49353760001</v>
      </c>
      <c r="K41" s="259"/>
      <c r="L41" s="195">
        <f>SUM($L$38:$L$40)</f>
        <v>0</v>
      </c>
      <c r="M41" s="162">
        <f>SUM($M$38:$M$40)</f>
        <v>425.86523200000022</v>
      </c>
      <c r="N41" s="162">
        <f>SUM(L41:M41)</f>
        <v>425.86523200000022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0.2</v>
      </c>
      <c r="G43" s="206">
        <f>ROUND(G51-G41,-2)</f>
        <v>17300</v>
      </c>
      <c r="H43" s="159">
        <f>ROUND(H51-H41,-2)</f>
        <v>3300</v>
      </c>
      <c r="I43" s="159">
        <f>ROUND(I51-I41,-2)</f>
        <v>4100</v>
      </c>
      <c r="J43" s="159">
        <f>SUM(G43:I43)</f>
        <v>24700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10.5%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0.2</v>
      </c>
      <c r="G44" s="206">
        <f>ROUND(G60-G41,-2)</f>
        <v>17200</v>
      </c>
      <c r="H44" s="159">
        <f>ROUND(H60-H41,-2)</f>
        <v>3300</v>
      </c>
      <c r="I44" s="159">
        <f>ROUND(I60-I41,-2)</f>
        <v>4200</v>
      </c>
      <c r="J44" s="159">
        <f>SUM(G44:I44)</f>
        <v>24700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10.5%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0.2</v>
      </c>
      <c r="G45" s="206">
        <f>ROUND(G67-G41-G63,-2)</f>
        <v>17200</v>
      </c>
      <c r="H45" s="206">
        <f>ROUND(H67-H41-H63,-2)</f>
        <v>3300</v>
      </c>
      <c r="I45" s="206">
        <f>ROUND(I67-I41-I63,-2)</f>
        <v>4200</v>
      </c>
      <c r="J45" s="159">
        <f>SUM(G45:I45)</f>
        <v>24700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10.5%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234800</v>
      </c>
      <c r="F51" s="272">
        <f>AppropFTP</f>
        <v>2.63</v>
      </c>
      <c r="G51" s="274">
        <f>IF(E51=0,0,(G41/$J$41)*$E$51)</f>
        <v>164109.93450692171</v>
      </c>
      <c r="H51" s="274">
        <f>IF(E51=0,0,(H41/$J$41)*$E$51)</f>
        <v>31636.824378466121</v>
      </c>
      <c r="I51" s="275">
        <f>IF(E51=0,0,(I41/$J$41)*$E$51)</f>
        <v>39053.241114612159</v>
      </c>
      <c r="J51" s="90">
        <f>SUM(G51:I51)</f>
        <v>234800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2.63</v>
      </c>
      <c r="G52" s="79">
        <f>ROUND(G51,-2)</f>
        <v>164100</v>
      </c>
      <c r="H52" s="79">
        <f>ROUND(H51,-2)</f>
        <v>31600</v>
      </c>
      <c r="I52" s="266">
        <f>ROUND(I51,-2)</f>
        <v>39100</v>
      </c>
      <c r="J52" s="80">
        <f>ROUND(J51,-2)</f>
        <v>234800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2.63</v>
      </c>
      <c r="G56" s="80">
        <f>SUM(G52:G55)</f>
        <v>164100</v>
      </c>
      <c r="H56" s="80">
        <f>SUM(H52:H55)</f>
        <v>31600</v>
      </c>
      <c r="I56" s="260">
        <f>SUM(I52:I55)</f>
        <v>39100</v>
      </c>
      <c r="J56" s="80">
        <f>SUM(J52:J55)</f>
        <v>234800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2.63</v>
      </c>
      <c r="G60" s="80">
        <f>SUM(G56:G59)</f>
        <v>164100</v>
      </c>
      <c r="H60" s="80">
        <f>SUM(H56:H59)</f>
        <v>31600</v>
      </c>
      <c r="I60" s="260">
        <f>SUM(I56:I59)</f>
        <v>39100</v>
      </c>
      <c r="J60" s="80">
        <f>SUM(J56:J59)</f>
        <v>234800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2.63</v>
      </c>
      <c r="G67" s="80">
        <f>SUM(G60:G64)</f>
        <v>164100</v>
      </c>
      <c r="H67" s="80">
        <f>SUM(H60:H64)</f>
        <v>31600</v>
      </c>
      <c r="I67" s="80">
        <f>SUM(I60:I64)</f>
        <v>39100</v>
      </c>
      <c r="J67" s="80">
        <f>SUM(J60:J64)</f>
        <v>234800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400</v>
      </c>
      <c r="J69" s="287">
        <f>SUM(G69:I69)</f>
        <v>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1500</v>
      </c>
      <c r="H72" s="287"/>
      <c r="I72" s="287">
        <f>ROUND(($G72*PermVBBY+$G72*Retire1BY),-2)</f>
        <v>400</v>
      </c>
      <c r="J72" s="113">
        <f>SUM(G72:I72)</f>
        <v>1900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2.63</v>
      </c>
      <c r="G75" s="80">
        <f>SUM(G67:G74)</f>
        <v>165600</v>
      </c>
      <c r="H75" s="80">
        <f>SUM(H67:H74)</f>
        <v>31600</v>
      </c>
      <c r="I75" s="80">
        <f>SUM(I67:I74)</f>
        <v>39900</v>
      </c>
      <c r="J75" s="80">
        <f>SUM(J67:K74)</f>
        <v>237100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2.63</v>
      </c>
      <c r="G80" s="80">
        <f>SUM(G75:G79)</f>
        <v>165600</v>
      </c>
      <c r="H80" s="80">
        <f>SUM(H75:H79)</f>
        <v>31600</v>
      </c>
      <c r="I80" s="80">
        <f>SUM(I75:I79)</f>
        <v>39900</v>
      </c>
      <c r="J80" s="80">
        <f>SUM(J75:J79)</f>
        <v>237100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7" priority="5">
      <formula>$J$44&lt;0</formula>
    </cfRule>
  </conditionalFormatting>
  <conditionalFormatting sqref="K43">
    <cfRule type="expression" dxfId="46" priority="4">
      <formula>$J$43&lt;0</formula>
    </cfRule>
  </conditionalFormatting>
  <conditionalFormatting sqref="L16">
    <cfRule type="expression" dxfId="45" priority="3">
      <formula>$J$16&lt;0</formula>
    </cfRule>
  </conditionalFormatting>
  <conditionalFormatting sqref="K45">
    <cfRule type="expression" dxfId="44" priority="2">
      <formula>$J$44&lt;0</formula>
    </cfRule>
  </conditionalFormatting>
  <conditionalFormatting sqref="K43:N45">
    <cfRule type="containsText" dxfId="43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5B00EE-8328-4CDC-AEC4-998E08EB1BC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36B2-7A15-4DF7-9307-C239602AF2A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1092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340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1092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1140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1127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432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1138</v>
      </c>
      <c r="J5" s="404"/>
      <c r="K5" s="404"/>
      <c r="L5" s="403"/>
      <c r="M5" s="352" t="s">
        <v>115</v>
      </c>
      <c r="N5" s="32" t="s">
        <v>1139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"&amp;'PRBA|0349-00'!FiscalYear-1&amp;" SALARY"</f>
        <v>FY 2022 SALARY</v>
      </c>
      <c r="H8" s="50" t="str">
        <f>"FY "&amp;'PRBA|0349-00'!FiscalYear-1&amp;" HEALTH BENEFITS"</f>
        <v>FY 2022 HEALTH BENEFITS</v>
      </c>
      <c r="I8" s="50" t="str">
        <f>"FY "&amp;'PRBA|0349-00'!FiscalYear-1&amp;" VAR BENEFITS"</f>
        <v>FY 2022 VAR BENEFITS</v>
      </c>
      <c r="J8" s="50" t="str">
        <f>"FY "&amp;'PRBA|0349-00'!FiscalYear-1&amp;" TOTAL"</f>
        <v>FY 2022 TOTAL</v>
      </c>
      <c r="K8" s="50" t="str">
        <f>"FY "&amp;'PRBA|0349-00'!FiscalYear&amp;" SALARY CHANGE"</f>
        <v>FY 2023 SALARY CHANGE</v>
      </c>
      <c r="L8" s="50" t="str">
        <f>"FY "&amp;'PRBA|0349-00'!FiscalYear&amp;" CHG HEALTH BENEFITS"</f>
        <v>FY 2023 CHG HEALTH BENEFITS</v>
      </c>
      <c r="M8" s="50" t="str">
        <f>"FY "&amp;'PRBA|0349-00'!FiscalYear&amp;"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[0]!PRBA034900col_INC_FTI</f>
        <v>0</v>
      </c>
      <c r="G10" s="218">
        <f>[0]!PRBA034900col_FTI_SALARY_PERM</f>
        <v>0</v>
      </c>
      <c r="H10" s="218">
        <f>[0]!PRBA034900col_HEALTH_PERM</f>
        <v>0</v>
      </c>
      <c r="I10" s="218">
        <f>[0]!PRBA034900col_TOT_VB_PERM</f>
        <v>0</v>
      </c>
      <c r="J10" s="219">
        <f>SUM(G10:I10)</f>
        <v>0</v>
      </c>
      <c r="K10" s="219">
        <f>[0]!PRBA034900col_1_27TH_PP</f>
        <v>0</v>
      </c>
      <c r="L10" s="218">
        <f>[0]!PRBA034900col_HEALTH_PERM_CHG</f>
        <v>0</v>
      </c>
      <c r="M10" s="218">
        <f>[0]!PRBA034900col_TOT_VB_PERM_CHG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[0]!PRBA034900col_Group_Salary</f>
        <v>0</v>
      </c>
      <c r="H11" s="218">
        <v>0</v>
      </c>
      <c r="I11" s="218">
        <f>[0]!PRBA034900col_Group_Ben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[0]!PRBA034900col_TOTAL_ELECT_PCN_FTI</f>
        <v>0</v>
      </c>
      <c r="G12" s="218">
        <f>[0]!PRBA034900col_FTI_SALARY_ELECT</f>
        <v>0</v>
      </c>
      <c r="H12" s="218">
        <f>[0]!PRBA034900col_HEALTH_ELECT</f>
        <v>0</v>
      </c>
      <c r="I12" s="218">
        <f>[0]!PRBA034900col_TOT_VB_ELECT</f>
        <v>0</v>
      </c>
      <c r="J12" s="219">
        <f>SUM(G12:I12)</f>
        <v>0</v>
      </c>
      <c r="K12" s="268"/>
      <c r="L12" s="218">
        <f>[0]!PRBA034900col_HEALTH_ELECT_CHG</f>
        <v>0</v>
      </c>
      <c r="M12" s="218">
        <f>[0]!PRBA034900col_TOT_VB_ELECT_CHG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"&amp;'PRBA|0349-00'!FiscalYear-1</f>
        <v>FY 2022</v>
      </c>
      <c r="D15" s="158" t="s">
        <v>31</v>
      </c>
      <c r="E15" s="355">
        <v>19400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IF('PRBA|0349-00'!OrigApprop=0,"ERROR! Enter Original Appropriation amount in DU 3.00!","Calculated "&amp;IF('PRBA|0349-00'!AdjustedTotal&gt;0,"overfunding ","underfunding ")&amp;"is "&amp;TEXT('PRBA|0349-00'!AdjustedTotal/'PRBA|0349-00'!AppropTotal,"#.0%;(#.0%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3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3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3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19400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2" priority="5">
      <formula>$J$44&lt;0</formula>
    </cfRule>
  </conditionalFormatting>
  <conditionalFormatting sqref="K43">
    <cfRule type="expression" dxfId="41" priority="4">
      <formula>$J$43&lt;0</formula>
    </cfRule>
  </conditionalFormatting>
  <conditionalFormatting sqref="L16">
    <cfRule type="expression" dxfId="40" priority="3">
      <formula>$J$16&lt;0</formula>
    </cfRule>
  </conditionalFormatting>
  <conditionalFormatting sqref="K45">
    <cfRule type="expression" dxfId="39" priority="2">
      <formula>$J$44&lt;0</formula>
    </cfRule>
  </conditionalFormatting>
  <conditionalFormatting sqref="K43:N45">
    <cfRule type="containsText" dxfId="3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C1526-CA8E-4F5B-B4D7-C457EE7EB860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1873</vt:i4>
      </vt:variant>
    </vt:vector>
  </HeadingPairs>
  <TitlesOfParts>
    <vt:vector size="1891" baseType="lpstr">
      <vt:lpstr>PRAA|0001-00</vt:lpstr>
      <vt:lpstr>PRAA|0125-00</vt:lpstr>
      <vt:lpstr>PRAA|0243-00</vt:lpstr>
      <vt:lpstr>PRAA|0247-00</vt:lpstr>
      <vt:lpstr>PRAB|0250-00</vt:lpstr>
      <vt:lpstr>PRBA|0001-00</vt:lpstr>
      <vt:lpstr>PRBA|0243-00</vt:lpstr>
      <vt:lpstr>PRBA|0247-00</vt:lpstr>
      <vt:lpstr>PRBA|0349-00</vt:lpstr>
      <vt:lpstr>PRBA|0496-00</vt:lpstr>
      <vt:lpstr>PRBB|0250-00</vt:lpstr>
      <vt:lpstr>PRBB|0348-00</vt:lpstr>
      <vt:lpstr>PRBD|0410-00</vt:lpstr>
      <vt:lpstr>Data</vt:lpstr>
      <vt:lpstr>Benefits</vt:lpstr>
      <vt:lpstr>B6</vt:lpstr>
      <vt:lpstr>Summary</vt:lpstr>
      <vt:lpstr>FundSummary</vt:lpstr>
      <vt:lpstr>'PRAA|0001-00'!AdjGroupHlth</vt:lpstr>
      <vt:lpstr>'PRAA|0125-00'!AdjGroupHlth</vt:lpstr>
      <vt:lpstr>'PRAA|0243-00'!AdjGroupHlth</vt:lpstr>
      <vt:lpstr>'PRAA|0247-00'!AdjGroupHlth</vt:lpstr>
      <vt:lpstr>'PRAB|0250-00'!AdjGroupHlth</vt:lpstr>
      <vt:lpstr>'PRBA|0001-00'!AdjGroupHlth</vt:lpstr>
      <vt:lpstr>'PRBA|0243-00'!AdjGroupHlth</vt:lpstr>
      <vt:lpstr>'PRBA|0247-00'!AdjGroupHlth</vt:lpstr>
      <vt:lpstr>'PRBA|0349-00'!AdjGroupHlth</vt:lpstr>
      <vt:lpstr>'PRBA|0496-00'!AdjGroupHlth</vt:lpstr>
      <vt:lpstr>'PRBB|0250-00'!AdjGroupHlth</vt:lpstr>
      <vt:lpstr>'PRBB|0348-00'!AdjGroupHlth</vt:lpstr>
      <vt:lpstr>'PRBD|0410-00'!AdjGroupHlth</vt:lpstr>
      <vt:lpstr>AdjGroupHlth</vt:lpstr>
      <vt:lpstr>'PRAA|0001-00'!AdjGroupSalary</vt:lpstr>
      <vt:lpstr>'PRAA|0125-00'!AdjGroupSalary</vt:lpstr>
      <vt:lpstr>'PRAA|0243-00'!AdjGroupSalary</vt:lpstr>
      <vt:lpstr>'PRAA|0247-00'!AdjGroupSalary</vt:lpstr>
      <vt:lpstr>'PRAB|0250-00'!AdjGroupSalary</vt:lpstr>
      <vt:lpstr>'PRBA|0001-00'!AdjGroupSalary</vt:lpstr>
      <vt:lpstr>'PRBA|0243-00'!AdjGroupSalary</vt:lpstr>
      <vt:lpstr>'PRBA|0247-00'!AdjGroupSalary</vt:lpstr>
      <vt:lpstr>'PRBA|0349-00'!AdjGroupSalary</vt:lpstr>
      <vt:lpstr>'PRBA|0496-00'!AdjGroupSalary</vt:lpstr>
      <vt:lpstr>'PRBB|0250-00'!AdjGroupSalary</vt:lpstr>
      <vt:lpstr>'PRBB|0348-00'!AdjGroupSalary</vt:lpstr>
      <vt:lpstr>'PRBD|0410-00'!AdjGroupSalary</vt:lpstr>
      <vt:lpstr>AdjGroupSalary</vt:lpstr>
      <vt:lpstr>'PRAA|0001-00'!AdjGroupVB</vt:lpstr>
      <vt:lpstr>'PRAA|0125-00'!AdjGroupVB</vt:lpstr>
      <vt:lpstr>'PRAA|0243-00'!AdjGroupVB</vt:lpstr>
      <vt:lpstr>'PRAA|0247-00'!AdjGroupVB</vt:lpstr>
      <vt:lpstr>'PRAB|0250-00'!AdjGroupVB</vt:lpstr>
      <vt:lpstr>'PRBA|0001-00'!AdjGroupVB</vt:lpstr>
      <vt:lpstr>'PRBA|0243-00'!AdjGroupVB</vt:lpstr>
      <vt:lpstr>'PRBA|0247-00'!AdjGroupVB</vt:lpstr>
      <vt:lpstr>'PRBA|0349-00'!AdjGroupVB</vt:lpstr>
      <vt:lpstr>'PRBA|0496-00'!AdjGroupVB</vt:lpstr>
      <vt:lpstr>'PRBB|0250-00'!AdjGroupVB</vt:lpstr>
      <vt:lpstr>'PRBB|0348-00'!AdjGroupVB</vt:lpstr>
      <vt:lpstr>'PRBD|0410-00'!AdjGroupVB</vt:lpstr>
      <vt:lpstr>AdjGroupVB</vt:lpstr>
      <vt:lpstr>'PRAA|0001-00'!AdjGroupVBBY</vt:lpstr>
      <vt:lpstr>'PRAA|0125-00'!AdjGroupVBBY</vt:lpstr>
      <vt:lpstr>'PRAA|0243-00'!AdjGroupVBBY</vt:lpstr>
      <vt:lpstr>'PRAA|0247-00'!AdjGroupVBBY</vt:lpstr>
      <vt:lpstr>'PRAB|0250-00'!AdjGroupVBBY</vt:lpstr>
      <vt:lpstr>'PRBA|0001-00'!AdjGroupVBBY</vt:lpstr>
      <vt:lpstr>'PRBA|0243-00'!AdjGroupVBBY</vt:lpstr>
      <vt:lpstr>'PRBA|0247-00'!AdjGroupVBBY</vt:lpstr>
      <vt:lpstr>'PRBA|0349-00'!AdjGroupVBBY</vt:lpstr>
      <vt:lpstr>'PRBA|0496-00'!AdjGroupVBBY</vt:lpstr>
      <vt:lpstr>'PRBB|0250-00'!AdjGroupVBBY</vt:lpstr>
      <vt:lpstr>'PRBB|0348-00'!AdjGroupVBBY</vt:lpstr>
      <vt:lpstr>'PRBD|0410-00'!AdjGroupVBBY</vt:lpstr>
      <vt:lpstr>AdjGroupVBBY</vt:lpstr>
      <vt:lpstr>'PRAA|0001-00'!AdjPermHlth</vt:lpstr>
      <vt:lpstr>'PRAA|0125-00'!AdjPermHlth</vt:lpstr>
      <vt:lpstr>'PRAA|0243-00'!AdjPermHlth</vt:lpstr>
      <vt:lpstr>'PRAA|0247-00'!AdjPermHlth</vt:lpstr>
      <vt:lpstr>'PRAB|0250-00'!AdjPermHlth</vt:lpstr>
      <vt:lpstr>'PRBA|0001-00'!AdjPermHlth</vt:lpstr>
      <vt:lpstr>'PRBA|0243-00'!AdjPermHlth</vt:lpstr>
      <vt:lpstr>'PRBA|0247-00'!AdjPermHlth</vt:lpstr>
      <vt:lpstr>'PRBA|0349-00'!AdjPermHlth</vt:lpstr>
      <vt:lpstr>'PRBA|0496-00'!AdjPermHlth</vt:lpstr>
      <vt:lpstr>'PRBB|0250-00'!AdjPermHlth</vt:lpstr>
      <vt:lpstr>'PRBB|0348-00'!AdjPermHlth</vt:lpstr>
      <vt:lpstr>'PRBD|0410-00'!AdjPermHlth</vt:lpstr>
      <vt:lpstr>AdjPermHlth</vt:lpstr>
      <vt:lpstr>'PRAA|0001-00'!AdjPermHlthBY</vt:lpstr>
      <vt:lpstr>'PRAA|0125-00'!AdjPermHlthBY</vt:lpstr>
      <vt:lpstr>'PRAA|0243-00'!AdjPermHlthBY</vt:lpstr>
      <vt:lpstr>'PRAA|0247-00'!AdjPermHlthBY</vt:lpstr>
      <vt:lpstr>'PRAB|0250-00'!AdjPermHlthBY</vt:lpstr>
      <vt:lpstr>'PRBA|0001-00'!AdjPermHlthBY</vt:lpstr>
      <vt:lpstr>'PRBA|0243-00'!AdjPermHlthBY</vt:lpstr>
      <vt:lpstr>'PRBA|0247-00'!AdjPermHlthBY</vt:lpstr>
      <vt:lpstr>'PRBA|0349-00'!AdjPermHlthBY</vt:lpstr>
      <vt:lpstr>'PRBA|0496-00'!AdjPermHlthBY</vt:lpstr>
      <vt:lpstr>'PRBB|0250-00'!AdjPermHlthBY</vt:lpstr>
      <vt:lpstr>'PRBB|0348-00'!AdjPermHlthBY</vt:lpstr>
      <vt:lpstr>'PRBD|0410-00'!AdjPermHlthBY</vt:lpstr>
      <vt:lpstr>AdjPermHlthBY</vt:lpstr>
      <vt:lpstr>'PRAA|0001-00'!AdjPermSalary</vt:lpstr>
      <vt:lpstr>'PRAA|0125-00'!AdjPermSalary</vt:lpstr>
      <vt:lpstr>'PRAA|0243-00'!AdjPermSalary</vt:lpstr>
      <vt:lpstr>'PRAA|0247-00'!AdjPermSalary</vt:lpstr>
      <vt:lpstr>'PRAB|0250-00'!AdjPermSalary</vt:lpstr>
      <vt:lpstr>'PRBA|0001-00'!AdjPermSalary</vt:lpstr>
      <vt:lpstr>'PRBA|0243-00'!AdjPermSalary</vt:lpstr>
      <vt:lpstr>'PRBA|0247-00'!AdjPermSalary</vt:lpstr>
      <vt:lpstr>'PRBA|0349-00'!AdjPermSalary</vt:lpstr>
      <vt:lpstr>'PRBA|0496-00'!AdjPermSalary</vt:lpstr>
      <vt:lpstr>'PRBB|0250-00'!AdjPermSalary</vt:lpstr>
      <vt:lpstr>'PRBB|0348-00'!AdjPermSalary</vt:lpstr>
      <vt:lpstr>'PRBD|0410-00'!AdjPermSalary</vt:lpstr>
      <vt:lpstr>AdjPermSalary</vt:lpstr>
      <vt:lpstr>'PRAA|0001-00'!AdjPermVB</vt:lpstr>
      <vt:lpstr>'PRAA|0125-00'!AdjPermVB</vt:lpstr>
      <vt:lpstr>'PRAA|0243-00'!AdjPermVB</vt:lpstr>
      <vt:lpstr>'PRAA|0247-00'!AdjPermVB</vt:lpstr>
      <vt:lpstr>'PRAB|0250-00'!AdjPermVB</vt:lpstr>
      <vt:lpstr>'PRBA|0001-00'!AdjPermVB</vt:lpstr>
      <vt:lpstr>'PRBA|0243-00'!AdjPermVB</vt:lpstr>
      <vt:lpstr>'PRBA|0247-00'!AdjPermVB</vt:lpstr>
      <vt:lpstr>'PRBA|0349-00'!AdjPermVB</vt:lpstr>
      <vt:lpstr>'PRBA|0496-00'!AdjPermVB</vt:lpstr>
      <vt:lpstr>'PRBB|0250-00'!AdjPermVB</vt:lpstr>
      <vt:lpstr>'PRBB|0348-00'!AdjPermVB</vt:lpstr>
      <vt:lpstr>'PRBD|0410-00'!AdjPermVB</vt:lpstr>
      <vt:lpstr>AdjPermVB</vt:lpstr>
      <vt:lpstr>'PRAA|0001-00'!AdjPermVBBY</vt:lpstr>
      <vt:lpstr>'PRAA|0125-00'!AdjPermVBBY</vt:lpstr>
      <vt:lpstr>'PRAA|0243-00'!AdjPermVBBY</vt:lpstr>
      <vt:lpstr>'PRAA|0247-00'!AdjPermVBBY</vt:lpstr>
      <vt:lpstr>'PRAB|0250-00'!AdjPermVBBY</vt:lpstr>
      <vt:lpstr>'PRBA|0001-00'!AdjPermVBBY</vt:lpstr>
      <vt:lpstr>'PRBA|0243-00'!AdjPermVBBY</vt:lpstr>
      <vt:lpstr>'PRBA|0247-00'!AdjPermVBBY</vt:lpstr>
      <vt:lpstr>'PRBA|0349-00'!AdjPermVBBY</vt:lpstr>
      <vt:lpstr>'PRBA|0496-00'!AdjPermVBBY</vt:lpstr>
      <vt:lpstr>'PRBB|0250-00'!AdjPermVBBY</vt:lpstr>
      <vt:lpstr>'PRBB|0348-00'!AdjPermVBBY</vt:lpstr>
      <vt:lpstr>'PRBD|0410-00'!AdjPermVBBY</vt:lpstr>
      <vt:lpstr>AdjPermVBBY</vt:lpstr>
      <vt:lpstr>'PRAA|0001-00'!AdjustedTotal</vt:lpstr>
      <vt:lpstr>'PRAA|0125-00'!AdjustedTotal</vt:lpstr>
      <vt:lpstr>'PRAA|0243-00'!AdjustedTotal</vt:lpstr>
      <vt:lpstr>'PRAA|0247-00'!AdjustedTotal</vt:lpstr>
      <vt:lpstr>'PRAB|0250-00'!AdjustedTotal</vt:lpstr>
      <vt:lpstr>'PRBA|0001-00'!AdjustedTotal</vt:lpstr>
      <vt:lpstr>'PRBA|0243-00'!AdjustedTotal</vt:lpstr>
      <vt:lpstr>'PRBA|0247-00'!AdjustedTotal</vt:lpstr>
      <vt:lpstr>'PRBA|0349-00'!AdjustedTotal</vt:lpstr>
      <vt:lpstr>'PRBA|0496-00'!AdjustedTotal</vt:lpstr>
      <vt:lpstr>'PRBB|0250-00'!AdjustedTotal</vt:lpstr>
      <vt:lpstr>'PRBB|0348-00'!AdjustedTotal</vt:lpstr>
      <vt:lpstr>'PRBD|0410-00'!AdjustedTotal</vt:lpstr>
      <vt:lpstr>AdjustedTotal</vt:lpstr>
      <vt:lpstr>'PRAA|0001-00'!AgencyNum</vt:lpstr>
      <vt:lpstr>'PRAA|0125-00'!AgencyNum</vt:lpstr>
      <vt:lpstr>'PRAA|0243-00'!AgencyNum</vt:lpstr>
      <vt:lpstr>'PRAA|0247-00'!AgencyNum</vt:lpstr>
      <vt:lpstr>'PRAB|0250-00'!AgencyNum</vt:lpstr>
      <vt:lpstr>'PRBA|0001-00'!AgencyNum</vt:lpstr>
      <vt:lpstr>'PRBA|0243-00'!AgencyNum</vt:lpstr>
      <vt:lpstr>'PRBA|0247-00'!AgencyNum</vt:lpstr>
      <vt:lpstr>'PRBA|0349-00'!AgencyNum</vt:lpstr>
      <vt:lpstr>'PRBA|0496-00'!AgencyNum</vt:lpstr>
      <vt:lpstr>'PRBB|0250-00'!AgencyNum</vt:lpstr>
      <vt:lpstr>'PRBB|0348-00'!AgencyNum</vt:lpstr>
      <vt:lpstr>'PRBD|0410-00'!AgencyNum</vt:lpstr>
      <vt:lpstr>AgencyNum</vt:lpstr>
      <vt:lpstr>'PRAA|0001-00'!AppropFTP</vt:lpstr>
      <vt:lpstr>'PRAA|0125-00'!AppropFTP</vt:lpstr>
      <vt:lpstr>'PRAA|0243-00'!AppropFTP</vt:lpstr>
      <vt:lpstr>'PRAA|0247-00'!AppropFTP</vt:lpstr>
      <vt:lpstr>'PRAB|0250-00'!AppropFTP</vt:lpstr>
      <vt:lpstr>'PRBA|0001-00'!AppropFTP</vt:lpstr>
      <vt:lpstr>'PRBA|0243-00'!AppropFTP</vt:lpstr>
      <vt:lpstr>'PRBA|0247-00'!AppropFTP</vt:lpstr>
      <vt:lpstr>'PRBA|0349-00'!AppropFTP</vt:lpstr>
      <vt:lpstr>'PRBA|0496-00'!AppropFTP</vt:lpstr>
      <vt:lpstr>'PRBB|0250-00'!AppropFTP</vt:lpstr>
      <vt:lpstr>'PRBB|0348-00'!AppropFTP</vt:lpstr>
      <vt:lpstr>'PRBD|0410-00'!AppropFTP</vt:lpstr>
      <vt:lpstr>AppropFTP</vt:lpstr>
      <vt:lpstr>'PRAA|0001-00'!AppropTotal</vt:lpstr>
      <vt:lpstr>'PRAA|0125-00'!AppropTotal</vt:lpstr>
      <vt:lpstr>'PRAA|0243-00'!AppropTotal</vt:lpstr>
      <vt:lpstr>'PRAA|0247-00'!AppropTotal</vt:lpstr>
      <vt:lpstr>'PRAB|0250-00'!AppropTotal</vt:lpstr>
      <vt:lpstr>'PRBA|0001-00'!AppropTotal</vt:lpstr>
      <vt:lpstr>'PRBA|0243-00'!AppropTotal</vt:lpstr>
      <vt:lpstr>'PRBA|0247-00'!AppropTotal</vt:lpstr>
      <vt:lpstr>'PRBA|0349-00'!AppropTotal</vt:lpstr>
      <vt:lpstr>'PRBA|0496-00'!AppropTotal</vt:lpstr>
      <vt:lpstr>'PRBB|0250-00'!AppropTotal</vt:lpstr>
      <vt:lpstr>'PRBB|0348-00'!AppropTotal</vt:lpstr>
      <vt:lpstr>'PRBD|0410-00'!AppropTotal</vt:lpstr>
      <vt:lpstr>AppropTotal</vt:lpstr>
      <vt:lpstr>'PRAA|0001-00'!AtZHealth</vt:lpstr>
      <vt:lpstr>'PRAA|0125-00'!AtZHealth</vt:lpstr>
      <vt:lpstr>'PRAA|0243-00'!AtZHealth</vt:lpstr>
      <vt:lpstr>'PRAA|0247-00'!AtZHealth</vt:lpstr>
      <vt:lpstr>'PRAB|0250-00'!AtZHealth</vt:lpstr>
      <vt:lpstr>'PRBA|0001-00'!AtZHealth</vt:lpstr>
      <vt:lpstr>'PRBA|0243-00'!AtZHealth</vt:lpstr>
      <vt:lpstr>'PRBA|0247-00'!AtZHealth</vt:lpstr>
      <vt:lpstr>'PRBA|0349-00'!AtZHealth</vt:lpstr>
      <vt:lpstr>'PRBA|0496-00'!AtZHealth</vt:lpstr>
      <vt:lpstr>'PRBB|0250-00'!AtZHealth</vt:lpstr>
      <vt:lpstr>'PRBB|0348-00'!AtZHealth</vt:lpstr>
      <vt:lpstr>'PRBD|0410-00'!AtZHealth</vt:lpstr>
      <vt:lpstr>AtZHealth</vt:lpstr>
      <vt:lpstr>'PRAA|0001-00'!AtZSalary</vt:lpstr>
      <vt:lpstr>'PRAA|0125-00'!AtZSalary</vt:lpstr>
      <vt:lpstr>'PRAA|0243-00'!AtZSalary</vt:lpstr>
      <vt:lpstr>'PRAA|0247-00'!AtZSalary</vt:lpstr>
      <vt:lpstr>'PRAB|0250-00'!AtZSalary</vt:lpstr>
      <vt:lpstr>'PRBA|0001-00'!AtZSalary</vt:lpstr>
      <vt:lpstr>'PRBA|0243-00'!AtZSalary</vt:lpstr>
      <vt:lpstr>'PRBA|0247-00'!AtZSalary</vt:lpstr>
      <vt:lpstr>'PRBA|0349-00'!AtZSalary</vt:lpstr>
      <vt:lpstr>'PRBA|0496-00'!AtZSalary</vt:lpstr>
      <vt:lpstr>'PRBB|0250-00'!AtZSalary</vt:lpstr>
      <vt:lpstr>'PRBB|0348-00'!AtZSalary</vt:lpstr>
      <vt:lpstr>'PRBD|0410-00'!AtZSalary</vt:lpstr>
      <vt:lpstr>AtZSalary</vt:lpstr>
      <vt:lpstr>'PRAA|0001-00'!AtZTotal</vt:lpstr>
      <vt:lpstr>'PRAA|0125-00'!AtZTotal</vt:lpstr>
      <vt:lpstr>'PRAA|0243-00'!AtZTotal</vt:lpstr>
      <vt:lpstr>'PRAA|0247-00'!AtZTotal</vt:lpstr>
      <vt:lpstr>'PRAB|0250-00'!AtZTotal</vt:lpstr>
      <vt:lpstr>'PRBA|0001-00'!AtZTotal</vt:lpstr>
      <vt:lpstr>'PRBA|0243-00'!AtZTotal</vt:lpstr>
      <vt:lpstr>'PRBA|0247-00'!AtZTotal</vt:lpstr>
      <vt:lpstr>'PRBA|0349-00'!AtZTotal</vt:lpstr>
      <vt:lpstr>'PRBA|0496-00'!AtZTotal</vt:lpstr>
      <vt:lpstr>'PRBB|0250-00'!AtZTotal</vt:lpstr>
      <vt:lpstr>'PRBB|0348-00'!AtZTotal</vt:lpstr>
      <vt:lpstr>'PRBD|0410-00'!AtZTotal</vt:lpstr>
      <vt:lpstr>AtZTotal</vt:lpstr>
      <vt:lpstr>'PRAA|0001-00'!AtZVarBen</vt:lpstr>
      <vt:lpstr>'PRAA|0125-00'!AtZVarBen</vt:lpstr>
      <vt:lpstr>'PRAA|0243-00'!AtZVarBen</vt:lpstr>
      <vt:lpstr>'PRAA|0247-00'!AtZVarBen</vt:lpstr>
      <vt:lpstr>'PRAB|0250-00'!AtZVarBen</vt:lpstr>
      <vt:lpstr>'PRBA|0001-00'!AtZVarBen</vt:lpstr>
      <vt:lpstr>'PRBA|0243-00'!AtZVarBen</vt:lpstr>
      <vt:lpstr>'PRBA|0247-00'!AtZVarBen</vt:lpstr>
      <vt:lpstr>'PRBA|0349-00'!AtZVarBen</vt:lpstr>
      <vt:lpstr>'PRBA|0496-00'!AtZVarBen</vt:lpstr>
      <vt:lpstr>'PRBB|0250-00'!AtZVarBen</vt:lpstr>
      <vt:lpstr>'PRBB|0348-00'!AtZVarBen</vt:lpstr>
      <vt:lpstr>'PRBD|0410-00'!AtZVarBen</vt:lpstr>
      <vt:lpstr>AtZVarBen</vt:lpstr>
      <vt:lpstr>'PRAA|0001-00'!BudgetUnit</vt:lpstr>
      <vt:lpstr>'PRAA|0125-00'!BudgetUnit</vt:lpstr>
      <vt:lpstr>'PRAA|0243-00'!BudgetUnit</vt:lpstr>
      <vt:lpstr>'PRAA|0247-00'!BudgetUnit</vt:lpstr>
      <vt:lpstr>'PRAB|0250-00'!BudgetUnit</vt:lpstr>
      <vt:lpstr>'PRBA|0001-00'!BudgetUnit</vt:lpstr>
      <vt:lpstr>'PRBA|0243-00'!BudgetUnit</vt:lpstr>
      <vt:lpstr>'PRBA|0247-00'!BudgetUnit</vt:lpstr>
      <vt:lpstr>'PRBA|0349-00'!BudgetUnit</vt:lpstr>
      <vt:lpstr>'PRBA|0496-00'!BudgetUnit</vt:lpstr>
      <vt:lpstr>'PRBB|0250-00'!BudgetUnit</vt:lpstr>
      <vt:lpstr>'PRBB|0348-00'!BudgetUnit</vt:lpstr>
      <vt:lpstr>'PRBD|0410-00'!BudgetUnit</vt:lpstr>
      <vt:lpstr>BudgetUnit</vt:lpstr>
      <vt:lpstr>BudgetYear</vt:lpstr>
      <vt:lpstr>CECGroup</vt:lpstr>
      <vt:lpstr>'PRAA|0001-00'!CECOrigElectSalary</vt:lpstr>
      <vt:lpstr>'PRAA|0125-00'!CECOrigElectSalary</vt:lpstr>
      <vt:lpstr>'PRAA|0243-00'!CECOrigElectSalary</vt:lpstr>
      <vt:lpstr>'PRAA|0247-00'!CECOrigElectSalary</vt:lpstr>
      <vt:lpstr>'PRAB|0250-00'!CECOrigElectSalary</vt:lpstr>
      <vt:lpstr>'PRBA|0001-00'!CECOrigElectSalary</vt:lpstr>
      <vt:lpstr>'PRBA|0243-00'!CECOrigElectSalary</vt:lpstr>
      <vt:lpstr>'PRBA|0247-00'!CECOrigElectSalary</vt:lpstr>
      <vt:lpstr>'PRBA|0349-00'!CECOrigElectSalary</vt:lpstr>
      <vt:lpstr>'PRBA|0496-00'!CECOrigElectSalary</vt:lpstr>
      <vt:lpstr>'PRBB|0250-00'!CECOrigElectSalary</vt:lpstr>
      <vt:lpstr>'PRBB|0348-00'!CECOrigElectSalary</vt:lpstr>
      <vt:lpstr>'PRBD|0410-00'!CECOrigElectSalary</vt:lpstr>
      <vt:lpstr>CECOrigElectSalary</vt:lpstr>
      <vt:lpstr>'PRAA|0001-00'!CECOrigElectVB</vt:lpstr>
      <vt:lpstr>'PRAA|0125-00'!CECOrigElectVB</vt:lpstr>
      <vt:lpstr>'PRAA|0243-00'!CECOrigElectVB</vt:lpstr>
      <vt:lpstr>'PRAA|0247-00'!CECOrigElectVB</vt:lpstr>
      <vt:lpstr>'PRAB|0250-00'!CECOrigElectVB</vt:lpstr>
      <vt:lpstr>'PRBA|0001-00'!CECOrigElectVB</vt:lpstr>
      <vt:lpstr>'PRBA|0243-00'!CECOrigElectVB</vt:lpstr>
      <vt:lpstr>'PRBA|0247-00'!CECOrigElectVB</vt:lpstr>
      <vt:lpstr>'PRBA|0349-00'!CECOrigElectVB</vt:lpstr>
      <vt:lpstr>'PRBA|0496-00'!CECOrigElectVB</vt:lpstr>
      <vt:lpstr>'PRBB|0250-00'!CECOrigElectVB</vt:lpstr>
      <vt:lpstr>'PRBB|0348-00'!CECOrigElectVB</vt:lpstr>
      <vt:lpstr>'PRBD|0410-00'!CECOrigElectVB</vt:lpstr>
      <vt:lpstr>CECOrigElectVB</vt:lpstr>
      <vt:lpstr>'PRAA|0001-00'!CECOrigGroupSalary</vt:lpstr>
      <vt:lpstr>'PRAA|0125-00'!CECOrigGroupSalary</vt:lpstr>
      <vt:lpstr>'PRAA|0243-00'!CECOrigGroupSalary</vt:lpstr>
      <vt:lpstr>'PRAA|0247-00'!CECOrigGroupSalary</vt:lpstr>
      <vt:lpstr>'PRAB|0250-00'!CECOrigGroupSalary</vt:lpstr>
      <vt:lpstr>'PRBA|0001-00'!CECOrigGroupSalary</vt:lpstr>
      <vt:lpstr>'PRBA|0243-00'!CECOrigGroupSalary</vt:lpstr>
      <vt:lpstr>'PRBA|0247-00'!CECOrigGroupSalary</vt:lpstr>
      <vt:lpstr>'PRBA|0349-00'!CECOrigGroupSalary</vt:lpstr>
      <vt:lpstr>'PRBA|0496-00'!CECOrigGroupSalary</vt:lpstr>
      <vt:lpstr>'PRBB|0250-00'!CECOrigGroupSalary</vt:lpstr>
      <vt:lpstr>'PRBB|0348-00'!CECOrigGroupSalary</vt:lpstr>
      <vt:lpstr>'PRBD|0410-00'!CECOrigGroupSalary</vt:lpstr>
      <vt:lpstr>CECOrigGroupSalary</vt:lpstr>
      <vt:lpstr>'PRAA|0001-00'!CECOrigGroupVB</vt:lpstr>
      <vt:lpstr>'PRAA|0125-00'!CECOrigGroupVB</vt:lpstr>
      <vt:lpstr>'PRAA|0243-00'!CECOrigGroupVB</vt:lpstr>
      <vt:lpstr>'PRAA|0247-00'!CECOrigGroupVB</vt:lpstr>
      <vt:lpstr>'PRAB|0250-00'!CECOrigGroupVB</vt:lpstr>
      <vt:lpstr>'PRBA|0001-00'!CECOrigGroupVB</vt:lpstr>
      <vt:lpstr>'PRBA|0243-00'!CECOrigGroupVB</vt:lpstr>
      <vt:lpstr>'PRBA|0247-00'!CECOrigGroupVB</vt:lpstr>
      <vt:lpstr>'PRBA|0349-00'!CECOrigGroupVB</vt:lpstr>
      <vt:lpstr>'PRBA|0496-00'!CECOrigGroupVB</vt:lpstr>
      <vt:lpstr>'PRBB|0250-00'!CECOrigGroupVB</vt:lpstr>
      <vt:lpstr>'PRBB|0348-00'!CECOrigGroupVB</vt:lpstr>
      <vt:lpstr>'PRBD|0410-00'!CECOrigGroupVB</vt:lpstr>
      <vt:lpstr>CECOrigGroupVB</vt:lpstr>
      <vt:lpstr>'PRAA|0001-00'!CECOrigPermSalary</vt:lpstr>
      <vt:lpstr>'PRAA|0125-00'!CECOrigPermSalary</vt:lpstr>
      <vt:lpstr>'PRAA|0243-00'!CECOrigPermSalary</vt:lpstr>
      <vt:lpstr>'PRAA|0247-00'!CECOrigPermSalary</vt:lpstr>
      <vt:lpstr>'PRAB|0250-00'!CECOrigPermSalary</vt:lpstr>
      <vt:lpstr>'PRBA|0001-00'!CECOrigPermSalary</vt:lpstr>
      <vt:lpstr>'PRBA|0243-00'!CECOrigPermSalary</vt:lpstr>
      <vt:lpstr>'PRBA|0247-00'!CECOrigPermSalary</vt:lpstr>
      <vt:lpstr>'PRBA|0349-00'!CECOrigPermSalary</vt:lpstr>
      <vt:lpstr>'PRBA|0496-00'!CECOrigPermSalary</vt:lpstr>
      <vt:lpstr>'PRBB|0250-00'!CECOrigPermSalary</vt:lpstr>
      <vt:lpstr>'PRBB|0348-00'!CECOrigPermSalary</vt:lpstr>
      <vt:lpstr>'PRBD|0410-00'!CECOrigPermSalary</vt:lpstr>
      <vt:lpstr>CECOrigPermSalary</vt:lpstr>
      <vt:lpstr>'PRAA|0001-00'!CECOrigPermVB</vt:lpstr>
      <vt:lpstr>'PRAA|0125-00'!CECOrigPermVB</vt:lpstr>
      <vt:lpstr>'PRAA|0243-00'!CECOrigPermVB</vt:lpstr>
      <vt:lpstr>'PRAA|0247-00'!CECOrigPermVB</vt:lpstr>
      <vt:lpstr>'PRAB|0250-00'!CECOrigPermVB</vt:lpstr>
      <vt:lpstr>'PRBA|0001-00'!CECOrigPermVB</vt:lpstr>
      <vt:lpstr>'PRBA|0243-00'!CECOrigPermVB</vt:lpstr>
      <vt:lpstr>'PRBA|0247-00'!CECOrigPermVB</vt:lpstr>
      <vt:lpstr>'PRBA|0349-00'!CECOrigPermVB</vt:lpstr>
      <vt:lpstr>'PRBA|0496-00'!CECOrigPermVB</vt:lpstr>
      <vt:lpstr>'PRBB|0250-00'!CECOrigPermVB</vt:lpstr>
      <vt:lpstr>'PRBB|0348-00'!CECOrigPermVB</vt:lpstr>
      <vt:lpstr>'PRBD|0410-00'!CECOrigPermVB</vt:lpstr>
      <vt:lpstr>CECOrigPermVB</vt:lpstr>
      <vt:lpstr>CECPerm</vt:lpstr>
      <vt:lpstr>'PRAA|0001-00'!CECpermCalc</vt:lpstr>
      <vt:lpstr>'PRAA|0125-00'!CECpermCalc</vt:lpstr>
      <vt:lpstr>'PRAA|0243-00'!CECpermCalc</vt:lpstr>
      <vt:lpstr>'PRAA|0247-00'!CECpermCalc</vt:lpstr>
      <vt:lpstr>'PRAB|0250-00'!CECpermCalc</vt:lpstr>
      <vt:lpstr>'PRBA|0001-00'!CECpermCalc</vt:lpstr>
      <vt:lpstr>'PRBA|0243-00'!CECpermCalc</vt:lpstr>
      <vt:lpstr>'PRBA|0247-00'!CECpermCalc</vt:lpstr>
      <vt:lpstr>'PRBA|0349-00'!CECpermCalc</vt:lpstr>
      <vt:lpstr>'PRBA|0496-00'!CECpermCalc</vt:lpstr>
      <vt:lpstr>'PRBB|0250-00'!CECpermCalc</vt:lpstr>
      <vt:lpstr>'PRBB|0348-00'!CECpermCalc</vt:lpstr>
      <vt:lpstr>'PRBD|0410-00'!CECpermCalc</vt:lpstr>
      <vt:lpstr>CECpermCalc</vt:lpstr>
      <vt:lpstr>'PRAA|0001-00'!Department</vt:lpstr>
      <vt:lpstr>'PRAA|0125-00'!Department</vt:lpstr>
      <vt:lpstr>'PRAA|0243-00'!Department</vt:lpstr>
      <vt:lpstr>'PRAA|0247-00'!Department</vt:lpstr>
      <vt:lpstr>'PRAB|0250-00'!Department</vt:lpstr>
      <vt:lpstr>'PRBA|0001-00'!Department</vt:lpstr>
      <vt:lpstr>'PRBA|0243-00'!Department</vt:lpstr>
      <vt:lpstr>'PRBA|0247-00'!Department</vt:lpstr>
      <vt:lpstr>'PRBA|0349-00'!Department</vt:lpstr>
      <vt:lpstr>'PRBA|0496-00'!Department</vt:lpstr>
      <vt:lpstr>'PRBB|0250-00'!Department</vt:lpstr>
      <vt:lpstr>'PRBB|0348-00'!Department</vt:lpstr>
      <vt:lpstr>'PRBD|0410-00'!Department</vt:lpstr>
      <vt:lpstr>Department</vt:lpstr>
      <vt:lpstr>DHR</vt:lpstr>
      <vt:lpstr>DHRBY</vt:lpstr>
      <vt:lpstr>DHRCHG</vt:lpstr>
      <vt:lpstr>'PRAA|0001-00'!Division</vt:lpstr>
      <vt:lpstr>'PRAA|0125-00'!Division</vt:lpstr>
      <vt:lpstr>'PRAA|0243-00'!Division</vt:lpstr>
      <vt:lpstr>'PRAA|0247-00'!Division</vt:lpstr>
      <vt:lpstr>'PRAB|0250-00'!Division</vt:lpstr>
      <vt:lpstr>'PRBA|0001-00'!Division</vt:lpstr>
      <vt:lpstr>'PRBA|0243-00'!Division</vt:lpstr>
      <vt:lpstr>'PRBA|0247-00'!Division</vt:lpstr>
      <vt:lpstr>'PRBA|0349-00'!Division</vt:lpstr>
      <vt:lpstr>'PRBA|0496-00'!Division</vt:lpstr>
      <vt:lpstr>'PRBB|0250-00'!Division</vt:lpstr>
      <vt:lpstr>'PRBB|0348-00'!Division</vt:lpstr>
      <vt:lpstr>'PRBD|0410-00'!Division</vt:lpstr>
      <vt:lpstr>Division</vt:lpstr>
      <vt:lpstr>'PRAA|0001-00'!DUCECElect</vt:lpstr>
      <vt:lpstr>'PRAA|0125-00'!DUCECElect</vt:lpstr>
      <vt:lpstr>'PRAA|0243-00'!DUCECElect</vt:lpstr>
      <vt:lpstr>'PRAA|0247-00'!DUCECElect</vt:lpstr>
      <vt:lpstr>'PRAB|0250-00'!DUCECElect</vt:lpstr>
      <vt:lpstr>'PRBA|0001-00'!DUCECElect</vt:lpstr>
      <vt:lpstr>'PRBA|0243-00'!DUCECElect</vt:lpstr>
      <vt:lpstr>'PRBA|0247-00'!DUCECElect</vt:lpstr>
      <vt:lpstr>'PRBA|0349-00'!DUCECElect</vt:lpstr>
      <vt:lpstr>'PRBA|0496-00'!DUCECElect</vt:lpstr>
      <vt:lpstr>'PRBB|0250-00'!DUCECElect</vt:lpstr>
      <vt:lpstr>'PRBB|0348-00'!DUCECElect</vt:lpstr>
      <vt:lpstr>'PRBD|0410-00'!DUCECElect</vt:lpstr>
      <vt:lpstr>DUCECElect</vt:lpstr>
      <vt:lpstr>'PRAA|0001-00'!DUCECGroup</vt:lpstr>
      <vt:lpstr>'PRAA|0125-00'!DUCECGroup</vt:lpstr>
      <vt:lpstr>'PRAA|0243-00'!DUCECGroup</vt:lpstr>
      <vt:lpstr>'PRAA|0247-00'!DUCECGroup</vt:lpstr>
      <vt:lpstr>'PRAB|0250-00'!DUCECGroup</vt:lpstr>
      <vt:lpstr>'PRBA|0001-00'!DUCECGroup</vt:lpstr>
      <vt:lpstr>'PRBA|0243-00'!DUCECGroup</vt:lpstr>
      <vt:lpstr>'PRBA|0247-00'!DUCECGroup</vt:lpstr>
      <vt:lpstr>'PRBA|0349-00'!DUCECGroup</vt:lpstr>
      <vt:lpstr>'PRBA|0496-00'!DUCECGroup</vt:lpstr>
      <vt:lpstr>'PRBB|0250-00'!DUCECGroup</vt:lpstr>
      <vt:lpstr>'PRBB|0348-00'!DUCECGroup</vt:lpstr>
      <vt:lpstr>'PRBD|0410-00'!DUCECGroup</vt:lpstr>
      <vt:lpstr>DUCECGroup</vt:lpstr>
      <vt:lpstr>'PRAA|0001-00'!DUCECPerm</vt:lpstr>
      <vt:lpstr>'PRAA|0125-00'!DUCECPerm</vt:lpstr>
      <vt:lpstr>'PRAA|0243-00'!DUCECPerm</vt:lpstr>
      <vt:lpstr>'PRAA|0247-00'!DUCECPerm</vt:lpstr>
      <vt:lpstr>'PRAB|0250-00'!DUCECPerm</vt:lpstr>
      <vt:lpstr>'PRBA|0001-00'!DUCECPerm</vt:lpstr>
      <vt:lpstr>'PRBA|0243-00'!DUCECPerm</vt:lpstr>
      <vt:lpstr>'PRBA|0247-00'!DUCECPerm</vt:lpstr>
      <vt:lpstr>'PRBA|0349-00'!DUCECPerm</vt:lpstr>
      <vt:lpstr>'PRBA|0496-00'!DUCECPerm</vt:lpstr>
      <vt:lpstr>'PRBB|0250-00'!DUCECPerm</vt:lpstr>
      <vt:lpstr>'PRBB|0348-00'!DUCECPerm</vt:lpstr>
      <vt:lpstr>'PRBD|0410-00'!DUCECPerm</vt:lpstr>
      <vt:lpstr>DUCECPerm</vt:lpstr>
      <vt:lpstr>'PRAA|0001-00'!DUEleven</vt:lpstr>
      <vt:lpstr>'PRAA|0125-00'!DUEleven</vt:lpstr>
      <vt:lpstr>'PRAA|0243-00'!DUEleven</vt:lpstr>
      <vt:lpstr>'PRAA|0247-00'!DUEleven</vt:lpstr>
      <vt:lpstr>'PRAB|0250-00'!DUEleven</vt:lpstr>
      <vt:lpstr>'PRBA|0001-00'!DUEleven</vt:lpstr>
      <vt:lpstr>'PRBA|0243-00'!DUEleven</vt:lpstr>
      <vt:lpstr>'PRBA|0247-00'!DUEleven</vt:lpstr>
      <vt:lpstr>'PRBA|0349-00'!DUEleven</vt:lpstr>
      <vt:lpstr>'PRBA|0496-00'!DUEleven</vt:lpstr>
      <vt:lpstr>'PRBB|0250-00'!DUEleven</vt:lpstr>
      <vt:lpstr>'PRBB|0348-00'!DUEleven</vt:lpstr>
      <vt:lpstr>'PRBD|0410-00'!DUEleven</vt:lpstr>
      <vt:lpstr>DUEleven</vt:lpstr>
      <vt:lpstr>'PRAA|0001-00'!DUHealthBen</vt:lpstr>
      <vt:lpstr>'PRAA|0125-00'!DUHealthBen</vt:lpstr>
      <vt:lpstr>'PRAA|0243-00'!DUHealthBen</vt:lpstr>
      <vt:lpstr>'PRAA|0247-00'!DUHealthBen</vt:lpstr>
      <vt:lpstr>'PRAB|0250-00'!DUHealthBen</vt:lpstr>
      <vt:lpstr>'PRBA|0001-00'!DUHealthBen</vt:lpstr>
      <vt:lpstr>'PRBA|0243-00'!DUHealthBen</vt:lpstr>
      <vt:lpstr>'PRBA|0247-00'!DUHealthBen</vt:lpstr>
      <vt:lpstr>'PRBA|0349-00'!DUHealthBen</vt:lpstr>
      <vt:lpstr>'PRBA|0496-00'!DUHealthBen</vt:lpstr>
      <vt:lpstr>'PRBB|0250-00'!DUHealthBen</vt:lpstr>
      <vt:lpstr>'PRBB|0348-00'!DUHealthBen</vt:lpstr>
      <vt:lpstr>'PRBD|0410-00'!DUHealthBen</vt:lpstr>
      <vt:lpstr>DUHealthBen</vt:lpstr>
      <vt:lpstr>'PRAA|0001-00'!DUNine</vt:lpstr>
      <vt:lpstr>'PRAA|0125-00'!DUNine</vt:lpstr>
      <vt:lpstr>'PRAA|0243-00'!DUNine</vt:lpstr>
      <vt:lpstr>'PRAA|0247-00'!DUNine</vt:lpstr>
      <vt:lpstr>'PRAB|0250-00'!DUNine</vt:lpstr>
      <vt:lpstr>'PRBA|0001-00'!DUNine</vt:lpstr>
      <vt:lpstr>'PRBA|0243-00'!DUNine</vt:lpstr>
      <vt:lpstr>'PRBA|0247-00'!DUNine</vt:lpstr>
      <vt:lpstr>'PRBA|0349-00'!DUNine</vt:lpstr>
      <vt:lpstr>'PRBA|0496-00'!DUNine</vt:lpstr>
      <vt:lpstr>'PRBB|0250-00'!DUNine</vt:lpstr>
      <vt:lpstr>'PRBB|0348-00'!DUNine</vt:lpstr>
      <vt:lpstr>'PRBD|0410-00'!DUNine</vt:lpstr>
      <vt:lpstr>DUNine</vt:lpstr>
      <vt:lpstr>'PRAA|0001-00'!DUThirteen</vt:lpstr>
      <vt:lpstr>'PRAA|0125-00'!DUThirteen</vt:lpstr>
      <vt:lpstr>'PRAA|0243-00'!DUThirteen</vt:lpstr>
      <vt:lpstr>'PRAA|0247-00'!DUThirteen</vt:lpstr>
      <vt:lpstr>'PRAB|0250-00'!DUThirteen</vt:lpstr>
      <vt:lpstr>'PRBA|0001-00'!DUThirteen</vt:lpstr>
      <vt:lpstr>'PRBA|0243-00'!DUThirteen</vt:lpstr>
      <vt:lpstr>'PRBA|0247-00'!DUThirteen</vt:lpstr>
      <vt:lpstr>'PRBA|0349-00'!DUThirteen</vt:lpstr>
      <vt:lpstr>'PRBA|0496-00'!DUThirteen</vt:lpstr>
      <vt:lpstr>'PRBB|0250-00'!DUThirteen</vt:lpstr>
      <vt:lpstr>'PRBB|0348-00'!DUThirteen</vt:lpstr>
      <vt:lpstr>'PRBD|0410-00'!DUThirteen</vt:lpstr>
      <vt:lpstr>DUThirteen</vt:lpstr>
      <vt:lpstr>'PRAA|0001-00'!DUVariableBen</vt:lpstr>
      <vt:lpstr>'PRAA|0125-00'!DUVariableBen</vt:lpstr>
      <vt:lpstr>'PRAA|0243-00'!DUVariableBen</vt:lpstr>
      <vt:lpstr>'PRAA|0247-00'!DUVariableBen</vt:lpstr>
      <vt:lpstr>'PRAB|0250-00'!DUVariableBen</vt:lpstr>
      <vt:lpstr>'PRBA|0001-00'!DUVariableBen</vt:lpstr>
      <vt:lpstr>'PRBA|0243-00'!DUVariableBen</vt:lpstr>
      <vt:lpstr>'PRBA|0247-00'!DUVariableBen</vt:lpstr>
      <vt:lpstr>'PRBA|0349-00'!DUVariableBen</vt:lpstr>
      <vt:lpstr>'PRBA|0496-00'!DUVariableBen</vt:lpstr>
      <vt:lpstr>'PRBB|0250-00'!DUVariableBen</vt:lpstr>
      <vt:lpstr>'PRBB|0348-00'!DUVariableBen</vt:lpstr>
      <vt:lpstr>'PRBD|0410-00'!DUVariableBen</vt:lpstr>
      <vt:lpstr>DUVariableBen</vt:lpstr>
      <vt:lpstr>'PRAA|0001-00'!Elect_chg_health</vt:lpstr>
      <vt:lpstr>'PRAA|0125-00'!Elect_chg_health</vt:lpstr>
      <vt:lpstr>'PRAA|0243-00'!Elect_chg_health</vt:lpstr>
      <vt:lpstr>'PRAA|0247-00'!Elect_chg_health</vt:lpstr>
      <vt:lpstr>'PRAB|0250-00'!Elect_chg_health</vt:lpstr>
      <vt:lpstr>'PRBA|0001-00'!Elect_chg_health</vt:lpstr>
      <vt:lpstr>'PRBA|0243-00'!Elect_chg_health</vt:lpstr>
      <vt:lpstr>'PRBA|0247-00'!Elect_chg_health</vt:lpstr>
      <vt:lpstr>'PRBA|0349-00'!Elect_chg_health</vt:lpstr>
      <vt:lpstr>'PRBA|0496-00'!Elect_chg_health</vt:lpstr>
      <vt:lpstr>'PRBB|0250-00'!Elect_chg_health</vt:lpstr>
      <vt:lpstr>'PRBB|0348-00'!Elect_chg_health</vt:lpstr>
      <vt:lpstr>'PRBD|0410-00'!Elect_chg_health</vt:lpstr>
      <vt:lpstr>Elect_chg_health</vt:lpstr>
      <vt:lpstr>'PRAA|0001-00'!Elect_chg_Var</vt:lpstr>
      <vt:lpstr>'PRAA|0125-00'!Elect_chg_Var</vt:lpstr>
      <vt:lpstr>'PRAA|0243-00'!Elect_chg_Var</vt:lpstr>
      <vt:lpstr>'PRAA|0247-00'!Elect_chg_Var</vt:lpstr>
      <vt:lpstr>'PRAB|0250-00'!Elect_chg_Var</vt:lpstr>
      <vt:lpstr>'PRBA|0001-00'!Elect_chg_Var</vt:lpstr>
      <vt:lpstr>'PRBA|0243-00'!Elect_chg_Var</vt:lpstr>
      <vt:lpstr>'PRBA|0247-00'!Elect_chg_Var</vt:lpstr>
      <vt:lpstr>'PRBA|0349-00'!Elect_chg_Var</vt:lpstr>
      <vt:lpstr>'PRBA|0496-00'!Elect_chg_Var</vt:lpstr>
      <vt:lpstr>'PRBB|0250-00'!Elect_chg_Var</vt:lpstr>
      <vt:lpstr>'PRBB|0348-00'!Elect_chg_Var</vt:lpstr>
      <vt:lpstr>'PRBD|0410-00'!Elect_chg_Var</vt:lpstr>
      <vt:lpstr>Elect_chg_Var</vt:lpstr>
      <vt:lpstr>'PRAA|0001-00'!elect_FTP</vt:lpstr>
      <vt:lpstr>'PRAA|0125-00'!elect_FTP</vt:lpstr>
      <vt:lpstr>'PRAA|0243-00'!elect_FTP</vt:lpstr>
      <vt:lpstr>'PRAA|0247-00'!elect_FTP</vt:lpstr>
      <vt:lpstr>'PRAB|0250-00'!elect_FTP</vt:lpstr>
      <vt:lpstr>'PRBA|0001-00'!elect_FTP</vt:lpstr>
      <vt:lpstr>'PRBA|0243-00'!elect_FTP</vt:lpstr>
      <vt:lpstr>'PRBA|0247-00'!elect_FTP</vt:lpstr>
      <vt:lpstr>'PRBA|0349-00'!elect_FTP</vt:lpstr>
      <vt:lpstr>'PRBA|0496-00'!elect_FTP</vt:lpstr>
      <vt:lpstr>'PRBB|0250-00'!elect_FTP</vt:lpstr>
      <vt:lpstr>'PRBB|0348-00'!elect_FTP</vt:lpstr>
      <vt:lpstr>'PRBD|0410-00'!elect_FTP</vt:lpstr>
      <vt:lpstr>elect_FTP</vt:lpstr>
      <vt:lpstr>'PRAA|0001-00'!Elect_health</vt:lpstr>
      <vt:lpstr>'PRAA|0125-00'!Elect_health</vt:lpstr>
      <vt:lpstr>'PRAA|0243-00'!Elect_health</vt:lpstr>
      <vt:lpstr>'PRAA|0247-00'!Elect_health</vt:lpstr>
      <vt:lpstr>'PRAB|0250-00'!Elect_health</vt:lpstr>
      <vt:lpstr>'PRBA|0001-00'!Elect_health</vt:lpstr>
      <vt:lpstr>'PRBA|0243-00'!Elect_health</vt:lpstr>
      <vt:lpstr>'PRBA|0247-00'!Elect_health</vt:lpstr>
      <vt:lpstr>'PRBA|0349-00'!Elect_health</vt:lpstr>
      <vt:lpstr>'PRBA|0496-00'!Elect_health</vt:lpstr>
      <vt:lpstr>'PRBB|0250-00'!Elect_health</vt:lpstr>
      <vt:lpstr>'PRBB|0348-00'!Elect_health</vt:lpstr>
      <vt:lpstr>'PRBD|0410-00'!Elect_health</vt:lpstr>
      <vt:lpstr>Elect_health</vt:lpstr>
      <vt:lpstr>'PRAA|0001-00'!Elect_name</vt:lpstr>
      <vt:lpstr>'PRAA|0125-00'!Elect_name</vt:lpstr>
      <vt:lpstr>'PRAA|0243-00'!Elect_name</vt:lpstr>
      <vt:lpstr>'PRAA|0247-00'!Elect_name</vt:lpstr>
      <vt:lpstr>'PRAB|0250-00'!Elect_name</vt:lpstr>
      <vt:lpstr>'PRBA|0001-00'!Elect_name</vt:lpstr>
      <vt:lpstr>'PRBA|0243-00'!Elect_name</vt:lpstr>
      <vt:lpstr>'PRBA|0247-00'!Elect_name</vt:lpstr>
      <vt:lpstr>'PRBA|0349-00'!Elect_name</vt:lpstr>
      <vt:lpstr>'PRBA|0496-00'!Elect_name</vt:lpstr>
      <vt:lpstr>'PRBB|0250-00'!Elect_name</vt:lpstr>
      <vt:lpstr>'PRBB|0348-00'!Elect_name</vt:lpstr>
      <vt:lpstr>'PRBD|0410-00'!Elect_name</vt:lpstr>
      <vt:lpstr>Elect_name</vt:lpstr>
      <vt:lpstr>'PRAA|0001-00'!Elect_salary</vt:lpstr>
      <vt:lpstr>'PRAA|0125-00'!Elect_salary</vt:lpstr>
      <vt:lpstr>'PRAA|0243-00'!Elect_salary</vt:lpstr>
      <vt:lpstr>'PRAA|0247-00'!Elect_salary</vt:lpstr>
      <vt:lpstr>'PRAB|0250-00'!Elect_salary</vt:lpstr>
      <vt:lpstr>'PRBA|0001-00'!Elect_salary</vt:lpstr>
      <vt:lpstr>'PRBA|0243-00'!Elect_salary</vt:lpstr>
      <vt:lpstr>'PRBA|0247-00'!Elect_salary</vt:lpstr>
      <vt:lpstr>'PRBA|0349-00'!Elect_salary</vt:lpstr>
      <vt:lpstr>'PRBA|0496-00'!Elect_salary</vt:lpstr>
      <vt:lpstr>'PRBB|0250-00'!Elect_salary</vt:lpstr>
      <vt:lpstr>'PRBB|0348-00'!Elect_salary</vt:lpstr>
      <vt:lpstr>'PRBD|0410-00'!Elect_salary</vt:lpstr>
      <vt:lpstr>Elect_salary</vt:lpstr>
      <vt:lpstr>'PRAA|0001-00'!Elect_Var</vt:lpstr>
      <vt:lpstr>'PRAA|0125-00'!Elect_Var</vt:lpstr>
      <vt:lpstr>'PRAA|0243-00'!Elect_Var</vt:lpstr>
      <vt:lpstr>'PRAA|0247-00'!Elect_Var</vt:lpstr>
      <vt:lpstr>'PRAB|0250-00'!Elect_Var</vt:lpstr>
      <vt:lpstr>'PRBA|0001-00'!Elect_Var</vt:lpstr>
      <vt:lpstr>'PRBA|0243-00'!Elect_Var</vt:lpstr>
      <vt:lpstr>'PRBA|0247-00'!Elect_Var</vt:lpstr>
      <vt:lpstr>'PRBA|0349-00'!Elect_Var</vt:lpstr>
      <vt:lpstr>'PRBA|0496-00'!Elect_Var</vt:lpstr>
      <vt:lpstr>'PRBB|0250-00'!Elect_Var</vt:lpstr>
      <vt:lpstr>'PRBB|0348-00'!Elect_Var</vt:lpstr>
      <vt:lpstr>'PRBD|0410-00'!Elect_Var</vt:lpstr>
      <vt:lpstr>Elect_Var</vt:lpstr>
      <vt:lpstr>'PRAA|0001-00'!Elect_VarBen</vt:lpstr>
      <vt:lpstr>'PRAA|0125-00'!Elect_VarBen</vt:lpstr>
      <vt:lpstr>'PRAA|0243-00'!Elect_VarBen</vt:lpstr>
      <vt:lpstr>'PRAA|0247-00'!Elect_VarBen</vt:lpstr>
      <vt:lpstr>'PRAB|0250-00'!Elect_VarBen</vt:lpstr>
      <vt:lpstr>'PRBA|0001-00'!Elect_VarBen</vt:lpstr>
      <vt:lpstr>'PRBA|0243-00'!Elect_VarBen</vt:lpstr>
      <vt:lpstr>'PRBA|0247-00'!Elect_VarBen</vt:lpstr>
      <vt:lpstr>'PRBA|0349-00'!Elect_VarBen</vt:lpstr>
      <vt:lpstr>'PRBA|0496-00'!Elect_VarBen</vt:lpstr>
      <vt:lpstr>'PRBB|0250-00'!Elect_VarBen</vt:lpstr>
      <vt:lpstr>'PRBB|0348-00'!Elect_VarBen</vt:lpstr>
      <vt:lpstr>'PRBD|0410-00'!Elect_VarBen</vt:lpstr>
      <vt:lpstr>Elect_VarBen</vt:lpstr>
      <vt:lpstr>ElectVB</vt:lpstr>
      <vt:lpstr>ElectVBBY</vt:lpstr>
      <vt:lpstr>ElectVBCHG</vt:lpstr>
      <vt:lpstr>FillRate_Avg</vt:lpstr>
      <vt:lpstr>'PRAA|0001-00'!FiscalYear</vt:lpstr>
      <vt:lpstr>'PRAA|0125-00'!FiscalYear</vt:lpstr>
      <vt:lpstr>'PRAA|0243-00'!FiscalYear</vt:lpstr>
      <vt:lpstr>'PRAA|0247-00'!FiscalYear</vt:lpstr>
      <vt:lpstr>'PRAB|0250-00'!FiscalYear</vt:lpstr>
      <vt:lpstr>'PRBA|0001-00'!FiscalYear</vt:lpstr>
      <vt:lpstr>'PRBA|0243-00'!FiscalYear</vt:lpstr>
      <vt:lpstr>'PRBA|0247-00'!FiscalYear</vt:lpstr>
      <vt:lpstr>'PRBA|0349-00'!FiscalYear</vt:lpstr>
      <vt:lpstr>'PRBA|0496-00'!FiscalYear</vt:lpstr>
      <vt:lpstr>'PRBB|0250-00'!FiscalYear</vt:lpstr>
      <vt:lpstr>'PRBB|0348-00'!FiscalYear</vt:lpstr>
      <vt:lpstr>'PRBD|0410-00'!FiscalYear</vt:lpstr>
      <vt:lpstr>FiscalYear</vt:lpstr>
      <vt:lpstr>'PRAA|0001-00'!FundName</vt:lpstr>
      <vt:lpstr>'PRAA|0125-00'!FundName</vt:lpstr>
      <vt:lpstr>'PRAA|0243-00'!FundName</vt:lpstr>
      <vt:lpstr>'PRAA|0247-00'!FundName</vt:lpstr>
      <vt:lpstr>'PRAB|0250-00'!FundName</vt:lpstr>
      <vt:lpstr>'PRBA|0001-00'!FundName</vt:lpstr>
      <vt:lpstr>'PRBA|0243-00'!FundName</vt:lpstr>
      <vt:lpstr>'PRBA|0247-00'!FundName</vt:lpstr>
      <vt:lpstr>'PRBA|0349-00'!FundName</vt:lpstr>
      <vt:lpstr>'PRBA|0496-00'!FundName</vt:lpstr>
      <vt:lpstr>'PRBB|0250-00'!FundName</vt:lpstr>
      <vt:lpstr>'PRBB|0348-00'!FundName</vt:lpstr>
      <vt:lpstr>'PRBD|0410-00'!FundName</vt:lpstr>
      <vt:lpstr>FundName</vt:lpstr>
      <vt:lpstr>'PRAA|0001-00'!FundNum</vt:lpstr>
      <vt:lpstr>'PRAA|0125-00'!FundNum</vt:lpstr>
      <vt:lpstr>'PRAA|0243-00'!FundNum</vt:lpstr>
      <vt:lpstr>'PRAA|0247-00'!FundNum</vt:lpstr>
      <vt:lpstr>'PRAB|0250-00'!FundNum</vt:lpstr>
      <vt:lpstr>'PRBA|0001-00'!FundNum</vt:lpstr>
      <vt:lpstr>'PRBA|0243-00'!FundNum</vt:lpstr>
      <vt:lpstr>'PRBA|0247-00'!FundNum</vt:lpstr>
      <vt:lpstr>'PRBA|0349-00'!FundNum</vt:lpstr>
      <vt:lpstr>'PRBA|0496-00'!FundNum</vt:lpstr>
      <vt:lpstr>'PRBB|0250-00'!FundNum</vt:lpstr>
      <vt:lpstr>'PRBB|0348-00'!FundNum</vt:lpstr>
      <vt:lpstr>'PRBD|0410-00'!FundNum</vt:lpstr>
      <vt:lpstr>FundNum</vt:lpstr>
      <vt:lpstr>'PRAA|0001-00'!FundNumber</vt:lpstr>
      <vt:lpstr>'PRAA|0125-00'!FundNumber</vt:lpstr>
      <vt:lpstr>'PRAA|0243-00'!FundNumber</vt:lpstr>
      <vt:lpstr>'PRAA|0247-00'!FundNumber</vt:lpstr>
      <vt:lpstr>'PRAB|0250-00'!FundNumber</vt:lpstr>
      <vt:lpstr>'PRBA|0001-00'!FundNumber</vt:lpstr>
      <vt:lpstr>'PRBA|0243-00'!FundNumber</vt:lpstr>
      <vt:lpstr>'PRBA|0247-00'!FundNumber</vt:lpstr>
      <vt:lpstr>'PRBA|0349-00'!FundNumber</vt:lpstr>
      <vt:lpstr>'PRBA|0496-00'!FundNumber</vt:lpstr>
      <vt:lpstr>'PRBB|0250-00'!FundNumber</vt:lpstr>
      <vt:lpstr>'PRBB|0348-00'!FundNumber</vt:lpstr>
      <vt:lpstr>'PRBD|0410-00'!FundNumber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'PRAA|0001-00'!Group_name</vt:lpstr>
      <vt:lpstr>'PRAA|0125-00'!Group_name</vt:lpstr>
      <vt:lpstr>'PRAA|0243-00'!Group_name</vt:lpstr>
      <vt:lpstr>'PRAA|0247-00'!Group_name</vt:lpstr>
      <vt:lpstr>'PRAB|0250-00'!Group_name</vt:lpstr>
      <vt:lpstr>'PRBA|0001-00'!Group_name</vt:lpstr>
      <vt:lpstr>'PRBA|0243-00'!Group_name</vt:lpstr>
      <vt:lpstr>'PRBA|0247-00'!Group_name</vt:lpstr>
      <vt:lpstr>'PRBA|0349-00'!Group_name</vt:lpstr>
      <vt:lpstr>'PRBA|0496-00'!Group_name</vt:lpstr>
      <vt:lpstr>'PRBB|0250-00'!Group_name</vt:lpstr>
      <vt:lpstr>'PRBB|0348-00'!Group_name</vt:lpstr>
      <vt:lpstr>'PRBD|0410-00'!Group_name</vt:lpstr>
      <vt:lpstr>Group_name</vt:lpstr>
      <vt:lpstr>'PRAA|0001-00'!GroupFxdBen</vt:lpstr>
      <vt:lpstr>'PRAA|0125-00'!GroupFxdBen</vt:lpstr>
      <vt:lpstr>'PRAA|0243-00'!GroupFxdBen</vt:lpstr>
      <vt:lpstr>'PRAA|0247-00'!GroupFxdBen</vt:lpstr>
      <vt:lpstr>'PRAB|0250-00'!GroupFxdBen</vt:lpstr>
      <vt:lpstr>'PRBA|0001-00'!GroupFxdBen</vt:lpstr>
      <vt:lpstr>'PRBA|0243-00'!GroupFxdBen</vt:lpstr>
      <vt:lpstr>'PRBA|0247-00'!GroupFxdBen</vt:lpstr>
      <vt:lpstr>'PRBA|0349-00'!GroupFxdBen</vt:lpstr>
      <vt:lpstr>'PRBA|0496-00'!GroupFxdBen</vt:lpstr>
      <vt:lpstr>'PRBB|0250-00'!GroupFxdBen</vt:lpstr>
      <vt:lpstr>'PRBB|0348-00'!GroupFxdBen</vt:lpstr>
      <vt:lpstr>'PRBD|0410-00'!GroupFxdBen</vt:lpstr>
      <vt:lpstr>GroupFxdBen</vt:lpstr>
      <vt:lpstr>'PRAA|0001-00'!GroupSalary</vt:lpstr>
      <vt:lpstr>'PRAA|0125-00'!GroupSalary</vt:lpstr>
      <vt:lpstr>'PRAA|0243-00'!GroupSalary</vt:lpstr>
      <vt:lpstr>'PRAA|0247-00'!GroupSalary</vt:lpstr>
      <vt:lpstr>'PRAB|0250-00'!GroupSalary</vt:lpstr>
      <vt:lpstr>'PRBA|0001-00'!GroupSalary</vt:lpstr>
      <vt:lpstr>'PRBA|0243-00'!GroupSalary</vt:lpstr>
      <vt:lpstr>'PRBA|0247-00'!GroupSalary</vt:lpstr>
      <vt:lpstr>'PRBA|0349-00'!GroupSalary</vt:lpstr>
      <vt:lpstr>'PRBA|0496-00'!GroupSalary</vt:lpstr>
      <vt:lpstr>'PRBB|0250-00'!GroupSalary</vt:lpstr>
      <vt:lpstr>'PRBB|0348-00'!GroupSalary</vt:lpstr>
      <vt:lpstr>'PRBD|0410-00'!GroupSalary</vt:lpstr>
      <vt:lpstr>GroupSalary</vt:lpstr>
      <vt:lpstr>'PRAA|0001-00'!GroupVarBen</vt:lpstr>
      <vt:lpstr>'PRAA|0125-00'!GroupVarBen</vt:lpstr>
      <vt:lpstr>'PRAA|0243-00'!GroupVarBen</vt:lpstr>
      <vt:lpstr>'PRAA|0247-00'!GroupVarBen</vt:lpstr>
      <vt:lpstr>'PRAB|0250-00'!GroupVarBen</vt:lpstr>
      <vt:lpstr>'PRBA|0001-00'!GroupVarBen</vt:lpstr>
      <vt:lpstr>'PRBA|0243-00'!GroupVarBen</vt:lpstr>
      <vt:lpstr>'PRBA|0247-00'!GroupVarBen</vt:lpstr>
      <vt:lpstr>'PRBA|0349-00'!GroupVarBen</vt:lpstr>
      <vt:lpstr>'PRBA|0496-00'!GroupVarBen</vt:lpstr>
      <vt:lpstr>'PRBB|0250-00'!GroupVarBen</vt:lpstr>
      <vt:lpstr>'PRBB|0348-00'!GroupVarBen</vt:lpstr>
      <vt:lpstr>'PRBD|0410-00'!GroupVarBen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'PRAA|0001-00'!LUMAFund</vt:lpstr>
      <vt:lpstr>'PRAA|0125-00'!LUMAFund</vt:lpstr>
      <vt:lpstr>'PRAA|0243-00'!LUMAFund</vt:lpstr>
      <vt:lpstr>'PRAA|0247-00'!LUMAFund</vt:lpstr>
      <vt:lpstr>'PRAB|0250-00'!LUMAFund</vt:lpstr>
      <vt:lpstr>'PRBA|0001-00'!LUMAFund</vt:lpstr>
      <vt:lpstr>'PRBA|0243-00'!LUMAFund</vt:lpstr>
      <vt:lpstr>'PRBA|0247-00'!LUMAFund</vt:lpstr>
      <vt:lpstr>'PRBA|0349-00'!LUMAFund</vt:lpstr>
      <vt:lpstr>'PRBA|0496-00'!LUMAFund</vt:lpstr>
      <vt:lpstr>'PRBB|0250-00'!LUMAFund</vt:lpstr>
      <vt:lpstr>'PRBB|0348-00'!LUMAFund</vt:lpstr>
      <vt:lpstr>'PRBD|0410-00'!LUMAFund</vt:lpstr>
      <vt:lpstr>LUMAFund</vt:lpstr>
      <vt:lpstr>MAXSSDI</vt:lpstr>
      <vt:lpstr>MAXSSDIBY</vt:lpstr>
      <vt:lpstr>'PRAA|0001-00'!NEW_AdjGroup</vt:lpstr>
      <vt:lpstr>'PRAA|0125-00'!NEW_AdjGroup</vt:lpstr>
      <vt:lpstr>'PRAA|0243-00'!NEW_AdjGroup</vt:lpstr>
      <vt:lpstr>'PRAA|0247-00'!NEW_AdjGroup</vt:lpstr>
      <vt:lpstr>'PRAB|0250-00'!NEW_AdjGroup</vt:lpstr>
      <vt:lpstr>'PRBA|0001-00'!NEW_AdjGroup</vt:lpstr>
      <vt:lpstr>'PRBA|0243-00'!NEW_AdjGroup</vt:lpstr>
      <vt:lpstr>'PRBA|0247-00'!NEW_AdjGroup</vt:lpstr>
      <vt:lpstr>'PRBA|0349-00'!NEW_AdjGroup</vt:lpstr>
      <vt:lpstr>'PRBA|0496-00'!NEW_AdjGroup</vt:lpstr>
      <vt:lpstr>'PRBB|0250-00'!NEW_AdjGroup</vt:lpstr>
      <vt:lpstr>'PRBB|0348-00'!NEW_AdjGroup</vt:lpstr>
      <vt:lpstr>'PRBD|0410-00'!NEW_AdjGroup</vt:lpstr>
      <vt:lpstr>NEW_AdjGroup</vt:lpstr>
      <vt:lpstr>'PRAA|0001-00'!NEW_AdjGroupSalary</vt:lpstr>
      <vt:lpstr>'PRAA|0125-00'!NEW_AdjGroupSalary</vt:lpstr>
      <vt:lpstr>'PRAA|0243-00'!NEW_AdjGroupSalary</vt:lpstr>
      <vt:lpstr>'PRAA|0247-00'!NEW_AdjGroupSalary</vt:lpstr>
      <vt:lpstr>'PRAB|0250-00'!NEW_AdjGroupSalary</vt:lpstr>
      <vt:lpstr>'PRBA|0001-00'!NEW_AdjGroupSalary</vt:lpstr>
      <vt:lpstr>'PRBA|0243-00'!NEW_AdjGroupSalary</vt:lpstr>
      <vt:lpstr>'PRBA|0247-00'!NEW_AdjGroupSalary</vt:lpstr>
      <vt:lpstr>'PRBA|0349-00'!NEW_AdjGroupSalary</vt:lpstr>
      <vt:lpstr>'PRBA|0496-00'!NEW_AdjGroupSalary</vt:lpstr>
      <vt:lpstr>'PRBB|0250-00'!NEW_AdjGroupSalary</vt:lpstr>
      <vt:lpstr>'PRBB|0348-00'!NEW_AdjGroupSalary</vt:lpstr>
      <vt:lpstr>'PRBD|0410-00'!NEW_AdjGroupSalary</vt:lpstr>
      <vt:lpstr>NEW_AdjGroupSalary</vt:lpstr>
      <vt:lpstr>'PRAA|0001-00'!NEW_AdjGroupVB</vt:lpstr>
      <vt:lpstr>'PRAA|0125-00'!NEW_AdjGroupVB</vt:lpstr>
      <vt:lpstr>'PRAA|0243-00'!NEW_AdjGroupVB</vt:lpstr>
      <vt:lpstr>'PRAA|0247-00'!NEW_AdjGroupVB</vt:lpstr>
      <vt:lpstr>'PRAB|0250-00'!NEW_AdjGroupVB</vt:lpstr>
      <vt:lpstr>'PRBA|0001-00'!NEW_AdjGroupVB</vt:lpstr>
      <vt:lpstr>'PRBA|0243-00'!NEW_AdjGroupVB</vt:lpstr>
      <vt:lpstr>'PRBA|0247-00'!NEW_AdjGroupVB</vt:lpstr>
      <vt:lpstr>'PRBA|0349-00'!NEW_AdjGroupVB</vt:lpstr>
      <vt:lpstr>'PRBA|0496-00'!NEW_AdjGroupVB</vt:lpstr>
      <vt:lpstr>'PRBB|0250-00'!NEW_AdjGroupVB</vt:lpstr>
      <vt:lpstr>'PRBB|0348-00'!NEW_AdjGroupVB</vt:lpstr>
      <vt:lpstr>'PRBD|0410-00'!NEW_AdjGroupVB</vt:lpstr>
      <vt:lpstr>NEW_AdjGroupVB</vt:lpstr>
      <vt:lpstr>'PRAA|0001-00'!NEW_AdjONLYGroup</vt:lpstr>
      <vt:lpstr>'PRAA|0125-00'!NEW_AdjONLYGroup</vt:lpstr>
      <vt:lpstr>'PRAA|0243-00'!NEW_AdjONLYGroup</vt:lpstr>
      <vt:lpstr>'PRAA|0247-00'!NEW_AdjONLYGroup</vt:lpstr>
      <vt:lpstr>'PRAB|0250-00'!NEW_AdjONLYGroup</vt:lpstr>
      <vt:lpstr>'PRBA|0001-00'!NEW_AdjONLYGroup</vt:lpstr>
      <vt:lpstr>'PRBA|0243-00'!NEW_AdjONLYGroup</vt:lpstr>
      <vt:lpstr>'PRBA|0247-00'!NEW_AdjONLYGroup</vt:lpstr>
      <vt:lpstr>'PRBA|0349-00'!NEW_AdjONLYGroup</vt:lpstr>
      <vt:lpstr>'PRBA|0496-00'!NEW_AdjONLYGroup</vt:lpstr>
      <vt:lpstr>'PRBB|0250-00'!NEW_AdjONLYGroup</vt:lpstr>
      <vt:lpstr>'PRBB|0348-00'!NEW_AdjONLYGroup</vt:lpstr>
      <vt:lpstr>'PRBD|0410-00'!NEW_AdjONLYGroup</vt:lpstr>
      <vt:lpstr>NEW_AdjONLYGroup</vt:lpstr>
      <vt:lpstr>'PRAA|0001-00'!NEW_AdjONLYGroupSalary</vt:lpstr>
      <vt:lpstr>'PRAA|0125-00'!NEW_AdjONLYGroupSalary</vt:lpstr>
      <vt:lpstr>'PRAA|0243-00'!NEW_AdjONLYGroupSalary</vt:lpstr>
      <vt:lpstr>'PRAA|0247-00'!NEW_AdjONLYGroupSalary</vt:lpstr>
      <vt:lpstr>'PRAB|0250-00'!NEW_AdjONLYGroupSalary</vt:lpstr>
      <vt:lpstr>'PRBA|0001-00'!NEW_AdjONLYGroupSalary</vt:lpstr>
      <vt:lpstr>'PRBA|0243-00'!NEW_AdjONLYGroupSalary</vt:lpstr>
      <vt:lpstr>'PRBA|0247-00'!NEW_AdjONLYGroupSalary</vt:lpstr>
      <vt:lpstr>'PRBA|0349-00'!NEW_AdjONLYGroupSalary</vt:lpstr>
      <vt:lpstr>'PRBA|0496-00'!NEW_AdjONLYGroupSalary</vt:lpstr>
      <vt:lpstr>'PRBB|0250-00'!NEW_AdjONLYGroupSalary</vt:lpstr>
      <vt:lpstr>'PRBB|0348-00'!NEW_AdjONLYGroupSalary</vt:lpstr>
      <vt:lpstr>'PRBD|0410-00'!NEW_AdjONLYGroupSalary</vt:lpstr>
      <vt:lpstr>NEW_AdjONLYGroupSalary</vt:lpstr>
      <vt:lpstr>'PRAA|0001-00'!NEW_AdjONLYGroupVB</vt:lpstr>
      <vt:lpstr>'PRAA|0125-00'!NEW_AdjONLYGroupVB</vt:lpstr>
      <vt:lpstr>'PRAA|0243-00'!NEW_AdjONLYGroupVB</vt:lpstr>
      <vt:lpstr>'PRAA|0247-00'!NEW_AdjONLYGroupVB</vt:lpstr>
      <vt:lpstr>'PRAB|0250-00'!NEW_AdjONLYGroupVB</vt:lpstr>
      <vt:lpstr>'PRBA|0001-00'!NEW_AdjONLYGroupVB</vt:lpstr>
      <vt:lpstr>'PRBA|0243-00'!NEW_AdjONLYGroupVB</vt:lpstr>
      <vt:lpstr>'PRBA|0247-00'!NEW_AdjONLYGroupVB</vt:lpstr>
      <vt:lpstr>'PRBA|0349-00'!NEW_AdjONLYGroupVB</vt:lpstr>
      <vt:lpstr>'PRBA|0496-00'!NEW_AdjONLYGroupVB</vt:lpstr>
      <vt:lpstr>'PRBB|0250-00'!NEW_AdjONLYGroupVB</vt:lpstr>
      <vt:lpstr>'PRBB|0348-00'!NEW_AdjONLYGroupVB</vt:lpstr>
      <vt:lpstr>'PRBD|0410-00'!NEW_AdjONLYGroupVB</vt:lpstr>
      <vt:lpstr>NEW_AdjONLYGroupVB</vt:lpstr>
      <vt:lpstr>'PRAA|0001-00'!NEW_AdjONLYPerm</vt:lpstr>
      <vt:lpstr>'PRAA|0125-00'!NEW_AdjONLYPerm</vt:lpstr>
      <vt:lpstr>'PRAA|0243-00'!NEW_AdjONLYPerm</vt:lpstr>
      <vt:lpstr>'PRAA|0247-00'!NEW_AdjONLYPerm</vt:lpstr>
      <vt:lpstr>'PRAB|0250-00'!NEW_AdjONLYPerm</vt:lpstr>
      <vt:lpstr>'PRBA|0001-00'!NEW_AdjONLYPerm</vt:lpstr>
      <vt:lpstr>'PRBA|0243-00'!NEW_AdjONLYPerm</vt:lpstr>
      <vt:lpstr>'PRBA|0247-00'!NEW_AdjONLYPerm</vt:lpstr>
      <vt:lpstr>'PRBA|0349-00'!NEW_AdjONLYPerm</vt:lpstr>
      <vt:lpstr>'PRBA|0496-00'!NEW_AdjONLYPerm</vt:lpstr>
      <vt:lpstr>'PRBB|0250-00'!NEW_AdjONLYPerm</vt:lpstr>
      <vt:lpstr>'PRBB|0348-00'!NEW_AdjONLYPerm</vt:lpstr>
      <vt:lpstr>'PRBD|0410-00'!NEW_AdjONLYPerm</vt:lpstr>
      <vt:lpstr>NEW_AdjONLYPerm</vt:lpstr>
      <vt:lpstr>'PRAA|0001-00'!NEW_AdjONLYPermSalary</vt:lpstr>
      <vt:lpstr>'PRAA|0125-00'!NEW_AdjONLYPermSalary</vt:lpstr>
      <vt:lpstr>'PRAA|0243-00'!NEW_AdjONLYPermSalary</vt:lpstr>
      <vt:lpstr>'PRAA|0247-00'!NEW_AdjONLYPermSalary</vt:lpstr>
      <vt:lpstr>'PRAB|0250-00'!NEW_AdjONLYPermSalary</vt:lpstr>
      <vt:lpstr>'PRBA|0001-00'!NEW_AdjONLYPermSalary</vt:lpstr>
      <vt:lpstr>'PRBA|0243-00'!NEW_AdjONLYPermSalary</vt:lpstr>
      <vt:lpstr>'PRBA|0247-00'!NEW_AdjONLYPermSalary</vt:lpstr>
      <vt:lpstr>'PRBA|0349-00'!NEW_AdjONLYPermSalary</vt:lpstr>
      <vt:lpstr>'PRBA|0496-00'!NEW_AdjONLYPermSalary</vt:lpstr>
      <vt:lpstr>'PRBB|0250-00'!NEW_AdjONLYPermSalary</vt:lpstr>
      <vt:lpstr>'PRBB|0348-00'!NEW_AdjONLYPermSalary</vt:lpstr>
      <vt:lpstr>'PRBD|0410-00'!NEW_AdjONLYPermSalary</vt:lpstr>
      <vt:lpstr>NEW_AdjONLYPermSalary</vt:lpstr>
      <vt:lpstr>'PRAA|0001-00'!NEW_AdjONLYPermVB</vt:lpstr>
      <vt:lpstr>'PRAA|0125-00'!NEW_AdjONLYPermVB</vt:lpstr>
      <vt:lpstr>'PRAA|0243-00'!NEW_AdjONLYPermVB</vt:lpstr>
      <vt:lpstr>'PRAA|0247-00'!NEW_AdjONLYPermVB</vt:lpstr>
      <vt:lpstr>'PRAB|0250-00'!NEW_AdjONLYPermVB</vt:lpstr>
      <vt:lpstr>'PRBA|0001-00'!NEW_AdjONLYPermVB</vt:lpstr>
      <vt:lpstr>'PRBA|0243-00'!NEW_AdjONLYPermVB</vt:lpstr>
      <vt:lpstr>'PRBA|0247-00'!NEW_AdjONLYPermVB</vt:lpstr>
      <vt:lpstr>'PRBA|0349-00'!NEW_AdjONLYPermVB</vt:lpstr>
      <vt:lpstr>'PRBA|0496-00'!NEW_AdjONLYPermVB</vt:lpstr>
      <vt:lpstr>'PRBB|0250-00'!NEW_AdjONLYPermVB</vt:lpstr>
      <vt:lpstr>'PRBB|0348-00'!NEW_AdjONLYPermVB</vt:lpstr>
      <vt:lpstr>'PRBD|0410-00'!NEW_AdjONLYPermVB</vt:lpstr>
      <vt:lpstr>NEW_AdjONLYPermVB</vt:lpstr>
      <vt:lpstr>'PRAA|0001-00'!NEW_AdjPerm</vt:lpstr>
      <vt:lpstr>'PRAA|0125-00'!NEW_AdjPerm</vt:lpstr>
      <vt:lpstr>'PRAA|0243-00'!NEW_AdjPerm</vt:lpstr>
      <vt:lpstr>'PRAA|0247-00'!NEW_AdjPerm</vt:lpstr>
      <vt:lpstr>'PRAB|0250-00'!NEW_AdjPerm</vt:lpstr>
      <vt:lpstr>'PRBA|0001-00'!NEW_AdjPerm</vt:lpstr>
      <vt:lpstr>'PRBA|0243-00'!NEW_AdjPerm</vt:lpstr>
      <vt:lpstr>'PRBA|0247-00'!NEW_AdjPerm</vt:lpstr>
      <vt:lpstr>'PRBA|0349-00'!NEW_AdjPerm</vt:lpstr>
      <vt:lpstr>'PRBA|0496-00'!NEW_AdjPerm</vt:lpstr>
      <vt:lpstr>'PRBB|0250-00'!NEW_AdjPerm</vt:lpstr>
      <vt:lpstr>'PRBB|0348-00'!NEW_AdjPerm</vt:lpstr>
      <vt:lpstr>'PRBD|0410-00'!NEW_AdjPerm</vt:lpstr>
      <vt:lpstr>NEW_AdjPerm</vt:lpstr>
      <vt:lpstr>'PRAA|0001-00'!NEW_AdjPermSalary</vt:lpstr>
      <vt:lpstr>'PRAA|0125-00'!NEW_AdjPermSalary</vt:lpstr>
      <vt:lpstr>'PRAA|0243-00'!NEW_AdjPermSalary</vt:lpstr>
      <vt:lpstr>'PRAA|0247-00'!NEW_AdjPermSalary</vt:lpstr>
      <vt:lpstr>'PRAB|0250-00'!NEW_AdjPermSalary</vt:lpstr>
      <vt:lpstr>'PRBA|0001-00'!NEW_AdjPermSalary</vt:lpstr>
      <vt:lpstr>'PRBA|0243-00'!NEW_AdjPermSalary</vt:lpstr>
      <vt:lpstr>'PRBA|0247-00'!NEW_AdjPermSalary</vt:lpstr>
      <vt:lpstr>'PRBA|0349-00'!NEW_AdjPermSalary</vt:lpstr>
      <vt:lpstr>'PRBA|0496-00'!NEW_AdjPermSalary</vt:lpstr>
      <vt:lpstr>'PRBB|0250-00'!NEW_AdjPermSalary</vt:lpstr>
      <vt:lpstr>'PRBB|0348-00'!NEW_AdjPermSalary</vt:lpstr>
      <vt:lpstr>'PRBD|0410-00'!NEW_AdjPermSalary</vt:lpstr>
      <vt:lpstr>NEW_AdjPermSalary</vt:lpstr>
      <vt:lpstr>'PRAA|0001-00'!NEW_AdjPermVB</vt:lpstr>
      <vt:lpstr>'PRAA|0125-00'!NEW_AdjPermVB</vt:lpstr>
      <vt:lpstr>'PRAA|0243-00'!NEW_AdjPermVB</vt:lpstr>
      <vt:lpstr>'PRAA|0247-00'!NEW_AdjPermVB</vt:lpstr>
      <vt:lpstr>'PRAB|0250-00'!NEW_AdjPermVB</vt:lpstr>
      <vt:lpstr>'PRBA|0001-00'!NEW_AdjPermVB</vt:lpstr>
      <vt:lpstr>'PRBA|0243-00'!NEW_AdjPermVB</vt:lpstr>
      <vt:lpstr>'PRBA|0247-00'!NEW_AdjPermVB</vt:lpstr>
      <vt:lpstr>'PRBA|0349-00'!NEW_AdjPermVB</vt:lpstr>
      <vt:lpstr>'PRBA|0496-00'!NEW_AdjPermVB</vt:lpstr>
      <vt:lpstr>'PRBB|0250-00'!NEW_AdjPermVB</vt:lpstr>
      <vt:lpstr>'PRBB|0348-00'!NEW_AdjPermVB</vt:lpstr>
      <vt:lpstr>'PRBD|0410-00'!NEW_AdjPermVB</vt:lpstr>
      <vt:lpstr>NEW_AdjPermVB</vt:lpstr>
      <vt:lpstr>'PRAA|0001-00'!NEW_GroupFilled</vt:lpstr>
      <vt:lpstr>'PRAA|0125-00'!NEW_GroupFilled</vt:lpstr>
      <vt:lpstr>'PRAA|0243-00'!NEW_GroupFilled</vt:lpstr>
      <vt:lpstr>'PRAA|0247-00'!NEW_GroupFilled</vt:lpstr>
      <vt:lpstr>'PRAB|0250-00'!NEW_GroupFilled</vt:lpstr>
      <vt:lpstr>'PRBA|0001-00'!NEW_GroupFilled</vt:lpstr>
      <vt:lpstr>'PRBA|0243-00'!NEW_GroupFilled</vt:lpstr>
      <vt:lpstr>'PRBA|0247-00'!NEW_GroupFilled</vt:lpstr>
      <vt:lpstr>'PRBA|0349-00'!NEW_GroupFilled</vt:lpstr>
      <vt:lpstr>'PRBA|0496-00'!NEW_GroupFilled</vt:lpstr>
      <vt:lpstr>'PRBB|0250-00'!NEW_GroupFilled</vt:lpstr>
      <vt:lpstr>'PRBB|0348-00'!NEW_GroupFilled</vt:lpstr>
      <vt:lpstr>'PRBD|0410-00'!NEW_GroupFilled</vt:lpstr>
      <vt:lpstr>NEW_GroupFilled</vt:lpstr>
      <vt:lpstr>'PRAA|0001-00'!NEW_GroupSalaryFilled</vt:lpstr>
      <vt:lpstr>'PRAA|0125-00'!NEW_GroupSalaryFilled</vt:lpstr>
      <vt:lpstr>'PRAA|0243-00'!NEW_GroupSalaryFilled</vt:lpstr>
      <vt:lpstr>'PRAA|0247-00'!NEW_GroupSalaryFilled</vt:lpstr>
      <vt:lpstr>'PRAB|0250-00'!NEW_GroupSalaryFilled</vt:lpstr>
      <vt:lpstr>'PRBA|0001-00'!NEW_GroupSalaryFilled</vt:lpstr>
      <vt:lpstr>'PRBA|0243-00'!NEW_GroupSalaryFilled</vt:lpstr>
      <vt:lpstr>'PRBA|0247-00'!NEW_GroupSalaryFilled</vt:lpstr>
      <vt:lpstr>'PRBA|0349-00'!NEW_GroupSalaryFilled</vt:lpstr>
      <vt:lpstr>'PRBA|0496-00'!NEW_GroupSalaryFilled</vt:lpstr>
      <vt:lpstr>'PRBB|0250-00'!NEW_GroupSalaryFilled</vt:lpstr>
      <vt:lpstr>'PRBB|0348-00'!NEW_GroupSalaryFilled</vt:lpstr>
      <vt:lpstr>'PRBD|0410-00'!NEW_GroupSalaryFilled</vt:lpstr>
      <vt:lpstr>NEW_GroupSalaryFilled</vt:lpstr>
      <vt:lpstr>'PRAA|0001-00'!NEW_GroupVBFilled</vt:lpstr>
      <vt:lpstr>'PRAA|0125-00'!NEW_GroupVBFilled</vt:lpstr>
      <vt:lpstr>'PRAA|0243-00'!NEW_GroupVBFilled</vt:lpstr>
      <vt:lpstr>'PRAA|0247-00'!NEW_GroupVBFilled</vt:lpstr>
      <vt:lpstr>'PRAB|0250-00'!NEW_GroupVBFilled</vt:lpstr>
      <vt:lpstr>'PRBA|0001-00'!NEW_GroupVBFilled</vt:lpstr>
      <vt:lpstr>'PRBA|0243-00'!NEW_GroupVBFilled</vt:lpstr>
      <vt:lpstr>'PRBA|0247-00'!NEW_GroupVBFilled</vt:lpstr>
      <vt:lpstr>'PRBA|0349-00'!NEW_GroupVBFilled</vt:lpstr>
      <vt:lpstr>'PRBA|0496-00'!NEW_GroupVBFilled</vt:lpstr>
      <vt:lpstr>'PRBB|0250-00'!NEW_GroupVBFilled</vt:lpstr>
      <vt:lpstr>'PRBB|0348-00'!NEW_GroupVBFilled</vt:lpstr>
      <vt:lpstr>'PRBD|0410-00'!NEW_GroupVBFilled</vt:lpstr>
      <vt:lpstr>NEW_GroupVBFilled</vt:lpstr>
      <vt:lpstr>'PRAA|0001-00'!NEW_PermFilled</vt:lpstr>
      <vt:lpstr>'PRAA|0125-00'!NEW_PermFilled</vt:lpstr>
      <vt:lpstr>'PRAA|0243-00'!NEW_PermFilled</vt:lpstr>
      <vt:lpstr>'PRAA|0247-00'!NEW_PermFilled</vt:lpstr>
      <vt:lpstr>'PRAB|0250-00'!NEW_PermFilled</vt:lpstr>
      <vt:lpstr>'PRBA|0001-00'!NEW_PermFilled</vt:lpstr>
      <vt:lpstr>'PRBA|0243-00'!NEW_PermFilled</vt:lpstr>
      <vt:lpstr>'PRBA|0247-00'!NEW_PermFilled</vt:lpstr>
      <vt:lpstr>'PRBA|0349-00'!NEW_PermFilled</vt:lpstr>
      <vt:lpstr>'PRBA|0496-00'!NEW_PermFilled</vt:lpstr>
      <vt:lpstr>'PRBB|0250-00'!NEW_PermFilled</vt:lpstr>
      <vt:lpstr>'PRBB|0348-00'!NEW_PermFilled</vt:lpstr>
      <vt:lpstr>'PRBD|0410-00'!NEW_PermFilled</vt:lpstr>
      <vt:lpstr>NEW_PermFilled</vt:lpstr>
      <vt:lpstr>'PRAA|0001-00'!NEW_PermSalaryFilled</vt:lpstr>
      <vt:lpstr>'PRAA|0125-00'!NEW_PermSalaryFilled</vt:lpstr>
      <vt:lpstr>'PRAA|0243-00'!NEW_PermSalaryFilled</vt:lpstr>
      <vt:lpstr>'PRAA|0247-00'!NEW_PermSalaryFilled</vt:lpstr>
      <vt:lpstr>'PRAB|0250-00'!NEW_PermSalaryFilled</vt:lpstr>
      <vt:lpstr>'PRBA|0001-00'!NEW_PermSalaryFilled</vt:lpstr>
      <vt:lpstr>'PRBA|0243-00'!NEW_PermSalaryFilled</vt:lpstr>
      <vt:lpstr>'PRBA|0247-00'!NEW_PermSalaryFilled</vt:lpstr>
      <vt:lpstr>'PRBA|0349-00'!NEW_PermSalaryFilled</vt:lpstr>
      <vt:lpstr>'PRBA|0496-00'!NEW_PermSalaryFilled</vt:lpstr>
      <vt:lpstr>'PRBB|0250-00'!NEW_PermSalaryFilled</vt:lpstr>
      <vt:lpstr>'PRBB|0348-00'!NEW_PermSalaryFilled</vt:lpstr>
      <vt:lpstr>'PRBD|0410-00'!NEW_PermSalaryFilled</vt:lpstr>
      <vt:lpstr>NEW_PermSalaryFilled</vt:lpstr>
      <vt:lpstr>'PRAA|0001-00'!NEW_PermVBFilled</vt:lpstr>
      <vt:lpstr>'PRAA|0125-00'!NEW_PermVBFilled</vt:lpstr>
      <vt:lpstr>'PRAA|0243-00'!NEW_PermVBFilled</vt:lpstr>
      <vt:lpstr>'PRAA|0247-00'!NEW_PermVBFilled</vt:lpstr>
      <vt:lpstr>'PRAB|0250-00'!NEW_PermVBFilled</vt:lpstr>
      <vt:lpstr>'PRBA|0001-00'!NEW_PermVBFilled</vt:lpstr>
      <vt:lpstr>'PRBA|0243-00'!NEW_PermVBFilled</vt:lpstr>
      <vt:lpstr>'PRBA|0247-00'!NEW_PermVBFilled</vt:lpstr>
      <vt:lpstr>'PRBA|0349-00'!NEW_PermVBFilled</vt:lpstr>
      <vt:lpstr>'PRBA|0496-00'!NEW_PermVBFilled</vt:lpstr>
      <vt:lpstr>'PRBB|0250-00'!NEW_PermVBFilled</vt:lpstr>
      <vt:lpstr>'PRBB|0348-00'!NEW_PermVBFilled</vt:lpstr>
      <vt:lpstr>'PRBD|0410-00'!NEW_PermVBFilled</vt:lpstr>
      <vt:lpstr>NEW_PermVBFilled</vt:lpstr>
      <vt:lpstr>'PRAA|0001-00'!OneTimePC_Total</vt:lpstr>
      <vt:lpstr>'PRAA|0125-00'!OneTimePC_Total</vt:lpstr>
      <vt:lpstr>'PRAA|0243-00'!OneTimePC_Total</vt:lpstr>
      <vt:lpstr>'PRAA|0247-00'!OneTimePC_Total</vt:lpstr>
      <vt:lpstr>'PRAB|0250-00'!OneTimePC_Total</vt:lpstr>
      <vt:lpstr>'PRBA|0001-00'!OneTimePC_Total</vt:lpstr>
      <vt:lpstr>'PRBA|0243-00'!OneTimePC_Total</vt:lpstr>
      <vt:lpstr>'PRBA|0247-00'!OneTimePC_Total</vt:lpstr>
      <vt:lpstr>'PRBA|0349-00'!OneTimePC_Total</vt:lpstr>
      <vt:lpstr>'PRBA|0496-00'!OneTimePC_Total</vt:lpstr>
      <vt:lpstr>'PRBB|0250-00'!OneTimePC_Total</vt:lpstr>
      <vt:lpstr>'PRBB|0348-00'!OneTimePC_Total</vt:lpstr>
      <vt:lpstr>'PRBD|0410-00'!OneTimePC_Total</vt:lpstr>
      <vt:lpstr>OneTimePC_Total</vt:lpstr>
      <vt:lpstr>'PRAA|0001-00'!OrigApprop</vt:lpstr>
      <vt:lpstr>'PRAA|0125-00'!OrigApprop</vt:lpstr>
      <vt:lpstr>'PRAA|0243-00'!OrigApprop</vt:lpstr>
      <vt:lpstr>'PRAA|0247-00'!OrigApprop</vt:lpstr>
      <vt:lpstr>'PRAB|0250-00'!OrigApprop</vt:lpstr>
      <vt:lpstr>'PRBA|0001-00'!OrigApprop</vt:lpstr>
      <vt:lpstr>'PRBA|0243-00'!OrigApprop</vt:lpstr>
      <vt:lpstr>'PRBA|0247-00'!OrigApprop</vt:lpstr>
      <vt:lpstr>'PRBA|0349-00'!OrigApprop</vt:lpstr>
      <vt:lpstr>'PRBA|0496-00'!OrigApprop</vt:lpstr>
      <vt:lpstr>'PRBB|0250-00'!OrigApprop</vt:lpstr>
      <vt:lpstr>'PRBB|0348-00'!OrigApprop</vt:lpstr>
      <vt:lpstr>'PRBD|0410-00'!OrigApprop</vt:lpstr>
      <vt:lpstr>OrigApprop</vt:lpstr>
      <vt:lpstr>'PRAA|0001-00'!perm_name</vt:lpstr>
      <vt:lpstr>'PRAA|0125-00'!perm_name</vt:lpstr>
      <vt:lpstr>'PRAA|0243-00'!perm_name</vt:lpstr>
      <vt:lpstr>'PRAA|0247-00'!perm_name</vt:lpstr>
      <vt:lpstr>'PRAB|0250-00'!perm_name</vt:lpstr>
      <vt:lpstr>'PRBA|0001-00'!perm_name</vt:lpstr>
      <vt:lpstr>'PRBA|0243-00'!perm_name</vt:lpstr>
      <vt:lpstr>'PRBA|0247-00'!perm_name</vt:lpstr>
      <vt:lpstr>'PRBA|0349-00'!perm_name</vt:lpstr>
      <vt:lpstr>'PRBA|0496-00'!perm_name</vt:lpstr>
      <vt:lpstr>'PRBB|0250-00'!perm_name</vt:lpstr>
      <vt:lpstr>'PRBB|0348-00'!perm_name</vt:lpstr>
      <vt:lpstr>'PRBD|0410-00'!perm_name</vt:lpstr>
      <vt:lpstr>perm_name</vt:lpstr>
      <vt:lpstr>'PRAA|0001-00'!PermFTP</vt:lpstr>
      <vt:lpstr>'PRAA|0125-00'!PermFTP</vt:lpstr>
      <vt:lpstr>'PRAA|0243-00'!PermFTP</vt:lpstr>
      <vt:lpstr>'PRAA|0247-00'!PermFTP</vt:lpstr>
      <vt:lpstr>'PRAB|0250-00'!PermFTP</vt:lpstr>
      <vt:lpstr>'PRBA|0001-00'!PermFTP</vt:lpstr>
      <vt:lpstr>'PRBA|0243-00'!PermFTP</vt:lpstr>
      <vt:lpstr>'PRBA|0247-00'!PermFTP</vt:lpstr>
      <vt:lpstr>'PRBA|0349-00'!PermFTP</vt:lpstr>
      <vt:lpstr>'PRBA|0496-00'!PermFTP</vt:lpstr>
      <vt:lpstr>'PRBB|0250-00'!PermFTP</vt:lpstr>
      <vt:lpstr>'PRBB|0348-00'!PermFTP</vt:lpstr>
      <vt:lpstr>'PRBD|0410-00'!PermFTP</vt:lpstr>
      <vt:lpstr>PermFTP</vt:lpstr>
      <vt:lpstr>'PRAA|0001-00'!PermFxdBen</vt:lpstr>
      <vt:lpstr>'PRAA|0125-00'!PermFxdBen</vt:lpstr>
      <vt:lpstr>'PRAA|0243-00'!PermFxdBen</vt:lpstr>
      <vt:lpstr>'PRAA|0247-00'!PermFxdBen</vt:lpstr>
      <vt:lpstr>'PRAB|0250-00'!PermFxdBen</vt:lpstr>
      <vt:lpstr>'PRBA|0001-00'!PermFxdBen</vt:lpstr>
      <vt:lpstr>'PRBA|0243-00'!PermFxdBen</vt:lpstr>
      <vt:lpstr>'PRBA|0247-00'!PermFxdBen</vt:lpstr>
      <vt:lpstr>'PRBA|0349-00'!PermFxdBen</vt:lpstr>
      <vt:lpstr>'PRBA|0496-00'!PermFxdBen</vt:lpstr>
      <vt:lpstr>'PRBB|0250-00'!PermFxdBen</vt:lpstr>
      <vt:lpstr>'PRBB|0348-00'!PermFxdBen</vt:lpstr>
      <vt:lpstr>'PRBD|0410-00'!PermFxdBen</vt:lpstr>
      <vt:lpstr>PermFxdBen</vt:lpstr>
      <vt:lpstr>'PRAA|0001-00'!PermFxdBenChg</vt:lpstr>
      <vt:lpstr>'PRAA|0125-00'!PermFxdBenChg</vt:lpstr>
      <vt:lpstr>'PRAA|0243-00'!PermFxdBenChg</vt:lpstr>
      <vt:lpstr>'PRAA|0247-00'!PermFxdBenChg</vt:lpstr>
      <vt:lpstr>'PRAB|0250-00'!PermFxdBenChg</vt:lpstr>
      <vt:lpstr>'PRBA|0001-00'!PermFxdBenChg</vt:lpstr>
      <vt:lpstr>'PRBA|0243-00'!PermFxdBenChg</vt:lpstr>
      <vt:lpstr>'PRBA|0247-00'!PermFxdBenChg</vt:lpstr>
      <vt:lpstr>'PRBA|0349-00'!PermFxdBenChg</vt:lpstr>
      <vt:lpstr>'PRBA|0496-00'!PermFxdBenChg</vt:lpstr>
      <vt:lpstr>'PRBB|0250-00'!PermFxdBenChg</vt:lpstr>
      <vt:lpstr>'PRBB|0348-00'!PermFxdBenChg</vt:lpstr>
      <vt:lpstr>'PRBD|0410-00'!PermFxdBenChg</vt:lpstr>
      <vt:lpstr>PermFxdBenChg</vt:lpstr>
      <vt:lpstr>'PRAA|0001-00'!PermFxdChg</vt:lpstr>
      <vt:lpstr>'PRAA|0125-00'!PermFxdChg</vt:lpstr>
      <vt:lpstr>'PRAA|0243-00'!PermFxdChg</vt:lpstr>
      <vt:lpstr>'PRAA|0247-00'!PermFxdChg</vt:lpstr>
      <vt:lpstr>'PRAB|0250-00'!PermFxdChg</vt:lpstr>
      <vt:lpstr>'PRBA|0001-00'!PermFxdChg</vt:lpstr>
      <vt:lpstr>'PRBA|0243-00'!PermFxdChg</vt:lpstr>
      <vt:lpstr>'PRBA|0247-00'!PermFxdChg</vt:lpstr>
      <vt:lpstr>'PRBA|0349-00'!PermFxdChg</vt:lpstr>
      <vt:lpstr>'PRBA|0496-00'!PermFxdChg</vt:lpstr>
      <vt:lpstr>'PRBB|0250-00'!PermFxdChg</vt:lpstr>
      <vt:lpstr>'PRBB|0348-00'!PermFxdChg</vt:lpstr>
      <vt:lpstr>'PRBD|0410-00'!PermFxdChg</vt:lpstr>
      <vt:lpstr>PermFxdChg</vt:lpstr>
      <vt:lpstr>'PRAA|0001-00'!PermSalary</vt:lpstr>
      <vt:lpstr>'PRAA|0125-00'!PermSalary</vt:lpstr>
      <vt:lpstr>'PRAA|0243-00'!PermSalary</vt:lpstr>
      <vt:lpstr>'PRAA|0247-00'!PermSalary</vt:lpstr>
      <vt:lpstr>'PRAB|0250-00'!PermSalary</vt:lpstr>
      <vt:lpstr>'PRBA|0001-00'!PermSalary</vt:lpstr>
      <vt:lpstr>'PRBA|0243-00'!PermSalary</vt:lpstr>
      <vt:lpstr>'PRBA|0247-00'!PermSalary</vt:lpstr>
      <vt:lpstr>'PRBA|0349-00'!PermSalary</vt:lpstr>
      <vt:lpstr>'PRBA|0496-00'!PermSalary</vt:lpstr>
      <vt:lpstr>'PRBB|0250-00'!PermSalary</vt:lpstr>
      <vt:lpstr>'PRBB|0348-00'!PermSalary</vt:lpstr>
      <vt:lpstr>'PRBD|0410-00'!PermSalary</vt:lpstr>
      <vt:lpstr>PermSalary</vt:lpstr>
      <vt:lpstr>'PRAA|0001-00'!PermVarBen</vt:lpstr>
      <vt:lpstr>'PRAA|0125-00'!PermVarBen</vt:lpstr>
      <vt:lpstr>'PRAA|0243-00'!PermVarBen</vt:lpstr>
      <vt:lpstr>'PRAA|0247-00'!PermVarBen</vt:lpstr>
      <vt:lpstr>'PRAB|0250-00'!PermVarBen</vt:lpstr>
      <vt:lpstr>'PRBA|0001-00'!PermVarBen</vt:lpstr>
      <vt:lpstr>'PRBA|0243-00'!PermVarBen</vt:lpstr>
      <vt:lpstr>'PRBA|0247-00'!PermVarBen</vt:lpstr>
      <vt:lpstr>'PRBA|0349-00'!PermVarBen</vt:lpstr>
      <vt:lpstr>'PRBA|0496-00'!PermVarBen</vt:lpstr>
      <vt:lpstr>'PRBB|0250-00'!PermVarBen</vt:lpstr>
      <vt:lpstr>'PRBB|0348-00'!PermVarBen</vt:lpstr>
      <vt:lpstr>'PRBD|0410-00'!PermVarBen</vt:lpstr>
      <vt:lpstr>PermVarBen</vt:lpstr>
      <vt:lpstr>'PRAA|0001-00'!PermVarBenChg</vt:lpstr>
      <vt:lpstr>'PRAA|0125-00'!PermVarBenChg</vt:lpstr>
      <vt:lpstr>'PRAA|0243-00'!PermVarBenChg</vt:lpstr>
      <vt:lpstr>'PRAA|0247-00'!PermVarBenChg</vt:lpstr>
      <vt:lpstr>'PRAB|0250-00'!PermVarBenChg</vt:lpstr>
      <vt:lpstr>'PRBA|0001-00'!PermVarBenChg</vt:lpstr>
      <vt:lpstr>'PRBA|0243-00'!PermVarBenChg</vt:lpstr>
      <vt:lpstr>'PRBA|0247-00'!PermVarBenChg</vt:lpstr>
      <vt:lpstr>'PRBA|0349-00'!PermVarBenChg</vt:lpstr>
      <vt:lpstr>'PRBA|0496-00'!PermVarBenChg</vt:lpstr>
      <vt:lpstr>'PRBB|0250-00'!PermVarBenChg</vt:lpstr>
      <vt:lpstr>'PRBB|0348-00'!PermVarBenChg</vt:lpstr>
      <vt:lpstr>'PRBD|0410-00'!PermVarBenChg</vt:lpstr>
      <vt:lpstr>PermVarBenChg</vt:lpstr>
      <vt:lpstr>PermVB</vt:lpstr>
      <vt:lpstr>PermVBBY</vt:lpstr>
      <vt:lpstr>PermVBCHG</vt:lpstr>
      <vt:lpstr>PRAA000100col_1_27TH_PP</vt:lpstr>
      <vt:lpstr>PRAA000100col_DHR</vt:lpstr>
      <vt:lpstr>PRAA000100col_DHR_BY</vt:lpstr>
      <vt:lpstr>PRAA000100col_DHR_CHG</vt:lpstr>
      <vt:lpstr>PRAA000100col_FTI_SALARY_ELECT</vt:lpstr>
      <vt:lpstr>PRAA000100col_FTI_SALARY_PERM</vt:lpstr>
      <vt:lpstr>PRAA000100col_FTI_SALARY_SSDI</vt:lpstr>
      <vt:lpstr>PRAA000100col_Group_Ben</vt:lpstr>
      <vt:lpstr>PRAA000100col_Group_Salary</vt:lpstr>
      <vt:lpstr>PRAA000100col_HEALTH_ELECT</vt:lpstr>
      <vt:lpstr>PRAA000100col_HEALTH_ELECT_BY</vt:lpstr>
      <vt:lpstr>PRAA000100col_HEALTH_ELECT_CHG</vt:lpstr>
      <vt:lpstr>PRAA000100col_HEALTH_PERM</vt:lpstr>
      <vt:lpstr>PRAA000100col_HEALTH_PERM_BY</vt:lpstr>
      <vt:lpstr>PRAA000100col_HEALTH_PERM_CHG</vt:lpstr>
      <vt:lpstr>PRAA000100col_INC_FTI</vt:lpstr>
      <vt:lpstr>PRAA000100col_LIFE_INS</vt:lpstr>
      <vt:lpstr>PRAA000100col_LIFE_INS_BY</vt:lpstr>
      <vt:lpstr>PRAA000100col_LIFE_INS_CHG</vt:lpstr>
      <vt:lpstr>PRAA000100col_RETIREMENT</vt:lpstr>
      <vt:lpstr>PRAA000100col_RETIREMENT_BY</vt:lpstr>
      <vt:lpstr>PRAA000100col_RETIREMENT_CHG</vt:lpstr>
      <vt:lpstr>PRAA000100col_ROWS_PER_PCN</vt:lpstr>
      <vt:lpstr>PRAA000100col_SICK</vt:lpstr>
      <vt:lpstr>PRAA000100col_SICK_BY</vt:lpstr>
      <vt:lpstr>PRAA000100col_SICK_CHG</vt:lpstr>
      <vt:lpstr>PRAA000100col_SSDI</vt:lpstr>
      <vt:lpstr>PRAA000100col_SSDI_BY</vt:lpstr>
      <vt:lpstr>PRAA000100col_SSDI_CHG</vt:lpstr>
      <vt:lpstr>PRAA000100col_SSHI</vt:lpstr>
      <vt:lpstr>PRAA000100col_SSHI_BY</vt:lpstr>
      <vt:lpstr>PRAA000100col_SSHI_CHGv</vt:lpstr>
      <vt:lpstr>PRAA000100col_TOT_VB_ELECT</vt:lpstr>
      <vt:lpstr>PRAA000100col_TOT_VB_ELECT_BY</vt:lpstr>
      <vt:lpstr>PRAA000100col_TOT_VB_ELECT_CHG</vt:lpstr>
      <vt:lpstr>PRAA000100col_TOT_VB_PERM</vt:lpstr>
      <vt:lpstr>PRAA000100col_TOT_VB_PERM_BY</vt:lpstr>
      <vt:lpstr>PRAA000100col_TOT_VB_PERM_CHG</vt:lpstr>
      <vt:lpstr>PRAA000100col_TOTAL_ELECT_PCN_FTI</vt:lpstr>
      <vt:lpstr>PRAA000100col_TOTAL_ELECT_PCN_FTI_ALT</vt:lpstr>
      <vt:lpstr>PRAA000100col_TOTAL_PERM_PCN_FTI</vt:lpstr>
      <vt:lpstr>PRAA000100col_UNEMP_INS</vt:lpstr>
      <vt:lpstr>PRAA000100col_UNEMP_INS_BY</vt:lpstr>
      <vt:lpstr>PRAA000100col_UNEMP_INS_CHG</vt:lpstr>
      <vt:lpstr>PRAA000100col_WORKERS_COMP</vt:lpstr>
      <vt:lpstr>PRAA000100col_WORKERS_COMP_BY</vt:lpstr>
      <vt:lpstr>PRAA000100col_WORKERS_COMP_CHG</vt:lpstr>
      <vt:lpstr>PRAA012500col_1_27TH_PP</vt:lpstr>
      <vt:lpstr>PRAA012500col_DHR</vt:lpstr>
      <vt:lpstr>PRAA012500col_DHR_BY</vt:lpstr>
      <vt:lpstr>PRAA012500col_DHR_CHG</vt:lpstr>
      <vt:lpstr>PRAA012500col_FTI_SALARY_ELECT</vt:lpstr>
      <vt:lpstr>PRAA012500col_FTI_SALARY_PERM</vt:lpstr>
      <vt:lpstr>PRAA012500col_FTI_SALARY_SSDI</vt:lpstr>
      <vt:lpstr>PRAA012500col_Group_Ben</vt:lpstr>
      <vt:lpstr>PRAA012500col_Group_Salary</vt:lpstr>
      <vt:lpstr>PRAA012500col_HEALTH_ELECT</vt:lpstr>
      <vt:lpstr>PRAA012500col_HEALTH_ELECT_BY</vt:lpstr>
      <vt:lpstr>PRAA012500col_HEALTH_ELECT_CHG</vt:lpstr>
      <vt:lpstr>PRAA012500col_HEALTH_PERM</vt:lpstr>
      <vt:lpstr>PRAA012500col_HEALTH_PERM_BY</vt:lpstr>
      <vt:lpstr>PRAA012500col_HEALTH_PERM_CHG</vt:lpstr>
      <vt:lpstr>PRAA012500col_INC_FTI</vt:lpstr>
      <vt:lpstr>PRAA012500col_LIFE_INS</vt:lpstr>
      <vt:lpstr>PRAA012500col_LIFE_INS_BY</vt:lpstr>
      <vt:lpstr>PRAA012500col_LIFE_INS_CHG</vt:lpstr>
      <vt:lpstr>PRAA012500col_RETIREMENT</vt:lpstr>
      <vt:lpstr>PRAA012500col_RETIREMENT_BY</vt:lpstr>
      <vt:lpstr>PRAA012500col_RETIREMENT_CHG</vt:lpstr>
      <vt:lpstr>PRAA012500col_ROWS_PER_PCN</vt:lpstr>
      <vt:lpstr>PRAA012500col_SICK</vt:lpstr>
      <vt:lpstr>PRAA012500col_SICK_BY</vt:lpstr>
      <vt:lpstr>PRAA012500col_SICK_CHG</vt:lpstr>
      <vt:lpstr>PRAA012500col_SSDI</vt:lpstr>
      <vt:lpstr>PRAA012500col_SSDI_BY</vt:lpstr>
      <vt:lpstr>PRAA012500col_SSDI_CHG</vt:lpstr>
      <vt:lpstr>PRAA012500col_SSHI</vt:lpstr>
      <vt:lpstr>PRAA012500col_SSHI_BY</vt:lpstr>
      <vt:lpstr>PRAA012500col_SSHI_CHGv</vt:lpstr>
      <vt:lpstr>PRAA012500col_TOT_VB_ELECT</vt:lpstr>
      <vt:lpstr>PRAA012500col_TOT_VB_ELECT_BY</vt:lpstr>
      <vt:lpstr>PRAA012500col_TOT_VB_ELECT_CHG</vt:lpstr>
      <vt:lpstr>PRAA012500col_TOT_VB_PERM</vt:lpstr>
      <vt:lpstr>PRAA012500col_TOT_VB_PERM_BY</vt:lpstr>
      <vt:lpstr>PRAA012500col_TOT_VB_PERM_CHG</vt:lpstr>
      <vt:lpstr>PRAA012500col_TOTAL_ELECT_PCN_FTI</vt:lpstr>
      <vt:lpstr>PRAA012500col_TOTAL_ELECT_PCN_FTI_ALT</vt:lpstr>
      <vt:lpstr>PRAA012500col_TOTAL_PERM_PCN_FTI</vt:lpstr>
      <vt:lpstr>PRAA012500col_UNEMP_INS</vt:lpstr>
      <vt:lpstr>PRAA012500col_UNEMP_INS_BY</vt:lpstr>
      <vt:lpstr>PRAA012500col_UNEMP_INS_CHG</vt:lpstr>
      <vt:lpstr>PRAA012500col_WORKERS_COMP</vt:lpstr>
      <vt:lpstr>PRAA012500col_WORKERS_COMP_BY</vt:lpstr>
      <vt:lpstr>PRAA012500col_WORKERS_COMP_CHG</vt:lpstr>
      <vt:lpstr>PRAA024300col_1_27TH_PP</vt:lpstr>
      <vt:lpstr>PRAA024300col_DHR</vt:lpstr>
      <vt:lpstr>PRAA024300col_DHR_BY</vt:lpstr>
      <vt:lpstr>PRAA024300col_DHR_CHG</vt:lpstr>
      <vt:lpstr>PRAA024300col_FTI_SALARY_ELECT</vt:lpstr>
      <vt:lpstr>PRAA024300col_FTI_SALARY_PERM</vt:lpstr>
      <vt:lpstr>PRAA024300col_FTI_SALARY_SSDI</vt:lpstr>
      <vt:lpstr>PRAA024300col_Group_Ben</vt:lpstr>
      <vt:lpstr>PRAA024300col_Group_Salary</vt:lpstr>
      <vt:lpstr>PRAA024300col_HEALTH_ELECT</vt:lpstr>
      <vt:lpstr>PRAA024300col_HEALTH_ELECT_BY</vt:lpstr>
      <vt:lpstr>PRAA024300col_HEALTH_ELECT_CHG</vt:lpstr>
      <vt:lpstr>PRAA024300col_HEALTH_PERM</vt:lpstr>
      <vt:lpstr>PRAA024300col_HEALTH_PERM_BY</vt:lpstr>
      <vt:lpstr>PRAA024300col_HEALTH_PERM_CHG</vt:lpstr>
      <vt:lpstr>PRAA024300col_INC_FTI</vt:lpstr>
      <vt:lpstr>PRAA024300col_LIFE_INS</vt:lpstr>
      <vt:lpstr>PRAA024300col_LIFE_INS_BY</vt:lpstr>
      <vt:lpstr>PRAA024300col_LIFE_INS_CHG</vt:lpstr>
      <vt:lpstr>PRAA024300col_RETIREMENT</vt:lpstr>
      <vt:lpstr>PRAA024300col_RETIREMENT_BY</vt:lpstr>
      <vt:lpstr>PRAA024300col_RETIREMENT_CHG</vt:lpstr>
      <vt:lpstr>PRAA024300col_ROWS_PER_PCN</vt:lpstr>
      <vt:lpstr>PRAA024300col_SICK</vt:lpstr>
      <vt:lpstr>PRAA024300col_SICK_BY</vt:lpstr>
      <vt:lpstr>PRAA024300col_SICK_CHG</vt:lpstr>
      <vt:lpstr>PRAA024300col_SSDI</vt:lpstr>
      <vt:lpstr>PRAA024300col_SSDI_BY</vt:lpstr>
      <vt:lpstr>PRAA024300col_SSDI_CHG</vt:lpstr>
      <vt:lpstr>PRAA024300col_SSHI</vt:lpstr>
      <vt:lpstr>PRAA024300col_SSHI_BY</vt:lpstr>
      <vt:lpstr>PRAA024300col_SSHI_CHGv</vt:lpstr>
      <vt:lpstr>PRAA024300col_TOT_VB_ELECT</vt:lpstr>
      <vt:lpstr>PRAA024300col_TOT_VB_ELECT_BY</vt:lpstr>
      <vt:lpstr>PRAA024300col_TOT_VB_ELECT_CHG</vt:lpstr>
      <vt:lpstr>PRAA024300col_TOT_VB_PERM</vt:lpstr>
      <vt:lpstr>PRAA024300col_TOT_VB_PERM_BY</vt:lpstr>
      <vt:lpstr>PRAA024300col_TOT_VB_PERM_CHG</vt:lpstr>
      <vt:lpstr>PRAA024300col_TOTAL_ELECT_PCN_FTI</vt:lpstr>
      <vt:lpstr>PRAA024300col_TOTAL_ELECT_PCN_FTI_ALT</vt:lpstr>
      <vt:lpstr>PRAA024300col_TOTAL_PERM_PCN_FTI</vt:lpstr>
      <vt:lpstr>PRAA024300col_UNEMP_INS</vt:lpstr>
      <vt:lpstr>PRAA024300col_UNEMP_INS_BY</vt:lpstr>
      <vt:lpstr>PRAA024300col_UNEMP_INS_CHG</vt:lpstr>
      <vt:lpstr>PRAA024300col_WORKERS_COMP</vt:lpstr>
      <vt:lpstr>PRAA024300col_WORKERS_COMP_BY</vt:lpstr>
      <vt:lpstr>PRAA024300col_WORKERS_COMP_CHG</vt:lpstr>
      <vt:lpstr>PRAA024700col_1_27TH_PP</vt:lpstr>
      <vt:lpstr>PRAA024700col_DHR</vt:lpstr>
      <vt:lpstr>PRAA024700col_DHR_BY</vt:lpstr>
      <vt:lpstr>PRAA024700col_DHR_CHG</vt:lpstr>
      <vt:lpstr>PRAA024700col_FTI_SALARY_ELECT</vt:lpstr>
      <vt:lpstr>PRAA024700col_FTI_SALARY_PERM</vt:lpstr>
      <vt:lpstr>PRAA024700col_FTI_SALARY_SSDI</vt:lpstr>
      <vt:lpstr>PRAA024700col_Group_Ben</vt:lpstr>
      <vt:lpstr>PRAA024700col_Group_Salary</vt:lpstr>
      <vt:lpstr>PRAA024700col_HEALTH_ELECT</vt:lpstr>
      <vt:lpstr>PRAA024700col_HEALTH_ELECT_BY</vt:lpstr>
      <vt:lpstr>PRAA024700col_HEALTH_ELECT_CHG</vt:lpstr>
      <vt:lpstr>PRAA024700col_HEALTH_PERM</vt:lpstr>
      <vt:lpstr>PRAA024700col_HEALTH_PERM_BY</vt:lpstr>
      <vt:lpstr>PRAA024700col_HEALTH_PERM_CHG</vt:lpstr>
      <vt:lpstr>PRAA024700col_INC_FTI</vt:lpstr>
      <vt:lpstr>PRAA024700col_LIFE_INS</vt:lpstr>
      <vt:lpstr>PRAA024700col_LIFE_INS_BY</vt:lpstr>
      <vt:lpstr>PRAA024700col_LIFE_INS_CHG</vt:lpstr>
      <vt:lpstr>PRAA024700col_RETIREMENT</vt:lpstr>
      <vt:lpstr>PRAA024700col_RETIREMENT_BY</vt:lpstr>
      <vt:lpstr>PRAA024700col_RETIREMENT_CHG</vt:lpstr>
      <vt:lpstr>PRAA024700col_ROWS_PER_PCN</vt:lpstr>
      <vt:lpstr>PRAA024700col_SICK</vt:lpstr>
      <vt:lpstr>PRAA024700col_SICK_BY</vt:lpstr>
      <vt:lpstr>PRAA024700col_SICK_CHG</vt:lpstr>
      <vt:lpstr>PRAA024700col_SSDI</vt:lpstr>
      <vt:lpstr>PRAA024700col_SSDI_BY</vt:lpstr>
      <vt:lpstr>PRAA024700col_SSDI_CHG</vt:lpstr>
      <vt:lpstr>PRAA024700col_SSHI</vt:lpstr>
      <vt:lpstr>PRAA024700col_SSHI_BY</vt:lpstr>
      <vt:lpstr>PRAA024700col_SSHI_CHGv</vt:lpstr>
      <vt:lpstr>PRAA024700col_TOT_VB_ELECT</vt:lpstr>
      <vt:lpstr>PRAA024700col_TOT_VB_ELECT_BY</vt:lpstr>
      <vt:lpstr>PRAA024700col_TOT_VB_ELECT_CHG</vt:lpstr>
      <vt:lpstr>PRAA024700col_TOT_VB_PERM</vt:lpstr>
      <vt:lpstr>PRAA024700col_TOT_VB_PERM_BY</vt:lpstr>
      <vt:lpstr>PRAA024700col_TOT_VB_PERM_CHG</vt:lpstr>
      <vt:lpstr>PRAA024700col_TOTAL_ELECT_PCN_FTI</vt:lpstr>
      <vt:lpstr>PRAA024700col_TOTAL_ELECT_PCN_FTI_ALT</vt:lpstr>
      <vt:lpstr>PRAA024700col_TOTAL_PERM_PCN_FTI</vt:lpstr>
      <vt:lpstr>PRAA024700col_UNEMP_INS</vt:lpstr>
      <vt:lpstr>PRAA024700col_UNEMP_INS_BY</vt:lpstr>
      <vt:lpstr>PRAA024700col_UNEMP_INS_CHG</vt:lpstr>
      <vt:lpstr>PRAA024700col_WORKERS_COMP</vt:lpstr>
      <vt:lpstr>PRAA024700col_WORKERS_COMP_BY</vt:lpstr>
      <vt:lpstr>PRAA024700col_WORKERS_COMP_CHG</vt:lpstr>
      <vt:lpstr>PRAB025000col_1_27TH_PP</vt:lpstr>
      <vt:lpstr>PRAB025000col_DHR</vt:lpstr>
      <vt:lpstr>PRAB025000col_DHR_BY</vt:lpstr>
      <vt:lpstr>PRAB025000col_DHR_CHG</vt:lpstr>
      <vt:lpstr>PRAB025000col_FTI_SALARY_ELECT</vt:lpstr>
      <vt:lpstr>PRAB025000col_FTI_SALARY_PERM</vt:lpstr>
      <vt:lpstr>PRAB025000col_FTI_SALARY_SSDI</vt:lpstr>
      <vt:lpstr>PRAB025000col_Group_Ben</vt:lpstr>
      <vt:lpstr>PRAB025000col_Group_Salary</vt:lpstr>
      <vt:lpstr>PRAB025000col_HEALTH_ELECT</vt:lpstr>
      <vt:lpstr>PRAB025000col_HEALTH_ELECT_BY</vt:lpstr>
      <vt:lpstr>PRAB025000col_HEALTH_ELECT_CHG</vt:lpstr>
      <vt:lpstr>PRAB025000col_HEALTH_PERM</vt:lpstr>
      <vt:lpstr>PRAB025000col_HEALTH_PERM_BY</vt:lpstr>
      <vt:lpstr>PRAB025000col_HEALTH_PERM_CHG</vt:lpstr>
      <vt:lpstr>PRAB025000col_INC_FTI</vt:lpstr>
      <vt:lpstr>PRAB025000col_LIFE_INS</vt:lpstr>
      <vt:lpstr>PRAB025000col_LIFE_INS_BY</vt:lpstr>
      <vt:lpstr>PRAB025000col_LIFE_INS_CHG</vt:lpstr>
      <vt:lpstr>PRAB025000col_RETIREMENT</vt:lpstr>
      <vt:lpstr>PRAB025000col_RETIREMENT_BY</vt:lpstr>
      <vt:lpstr>PRAB025000col_RETIREMENT_CHG</vt:lpstr>
      <vt:lpstr>PRAB025000col_ROWS_PER_PCN</vt:lpstr>
      <vt:lpstr>PRAB025000col_SICK</vt:lpstr>
      <vt:lpstr>PRAB025000col_SICK_BY</vt:lpstr>
      <vt:lpstr>PRAB025000col_SICK_CHG</vt:lpstr>
      <vt:lpstr>PRAB025000col_SSDI</vt:lpstr>
      <vt:lpstr>PRAB025000col_SSDI_BY</vt:lpstr>
      <vt:lpstr>PRAB025000col_SSDI_CHG</vt:lpstr>
      <vt:lpstr>PRAB025000col_SSHI</vt:lpstr>
      <vt:lpstr>PRAB025000col_SSHI_BY</vt:lpstr>
      <vt:lpstr>PRAB025000col_SSHI_CHGv</vt:lpstr>
      <vt:lpstr>PRAB025000col_TOT_VB_ELECT</vt:lpstr>
      <vt:lpstr>PRAB025000col_TOT_VB_ELECT_BY</vt:lpstr>
      <vt:lpstr>PRAB025000col_TOT_VB_ELECT_CHG</vt:lpstr>
      <vt:lpstr>PRAB025000col_TOT_VB_PERM</vt:lpstr>
      <vt:lpstr>PRAB025000col_TOT_VB_PERM_BY</vt:lpstr>
      <vt:lpstr>PRAB025000col_TOT_VB_PERM_CHG</vt:lpstr>
      <vt:lpstr>PRAB025000col_TOTAL_ELECT_PCN_FTI</vt:lpstr>
      <vt:lpstr>PRAB025000col_TOTAL_ELECT_PCN_FTI_ALT</vt:lpstr>
      <vt:lpstr>PRAB025000col_TOTAL_PERM_PCN_FTI</vt:lpstr>
      <vt:lpstr>PRAB025000col_UNEMP_INS</vt:lpstr>
      <vt:lpstr>PRAB025000col_UNEMP_INS_BY</vt:lpstr>
      <vt:lpstr>PRAB025000col_UNEMP_INS_CHG</vt:lpstr>
      <vt:lpstr>PRAB025000col_WORKERS_COMP</vt:lpstr>
      <vt:lpstr>PRAB025000col_WORKERS_COMP_BY</vt:lpstr>
      <vt:lpstr>PRAB025000col_WORKERS_COMP_CHG</vt:lpstr>
      <vt:lpstr>PRBA000100col_1_27TH_PP</vt:lpstr>
      <vt:lpstr>PRBA000100col_DHR</vt:lpstr>
      <vt:lpstr>PRBA000100col_DHR_BY</vt:lpstr>
      <vt:lpstr>PRBA000100col_DHR_CHG</vt:lpstr>
      <vt:lpstr>PRBA000100col_FTI_SALARY_ELECT</vt:lpstr>
      <vt:lpstr>PRBA000100col_FTI_SALARY_PERM</vt:lpstr>
      <vt:lpstr>PRBA000100col_FTI_SALARY_SSDI</vt:lpstr>
      <vt:lpstr>PRBA000100col_Group_Ben</vt:lpstr>
      <vt:lpstr>PRBA000100col_Group_Salary</vt:lpstr>
      <vt:lpstr>PRBA000100col_HEALTH_ELECT</vt:lpstr>
      <vt:lpstr>PRBA000100col_HEALTH_ELECT_BY</vt:lpstr>
      <vt:lpstr>PRBA000100col_HEALTH_ELECT_CHG</vt:lpstr>
      <vt:lpstr>PRBA000100col_HEALTH_PERM</vt:lpstr>
      <vt:lpstr>PRBA000100col_HEALTH_PERM_BY</vt:lpstr>
      <vt:lpstr>PRBA000100col_HEALTH_PERM_CHG</vt:lpstr>
      <vt:lpstr>PRBA000100col_INC_FTI</vt:lpstr>
      <vt:lpstr>PRBA000100col_LIFE_INS</vt:lpstr>
      <vt:lpstr>PRBA000100col_LIFE_INS_BY</vt:lpstr>
      <vt:lpstr>PRBA000100col_LIFE_INS_CHG</vt:lpstr>
      <vt:lpstr>PRBA000100col_RETIREMENT</vt:lpstr>
      <vt:lpstr>PRBA000100col_RETIREMENT_BY</vt:lpstr>
      <vt:lpstr>PRBA000100col_RETIREMENT_CHG</vt:lpstr>
      <vt:lpstr>PRBA000100col_ROWS_PER_PCN</vt:lpstr>
      <vt:lpstr>PRBA000100col_SICK</vt:lpstr>
      <vt:lpstr>PRBA000100col_SICK_BY</vt:lpstr>
      <vt:lpstr>PRBA000100col_SICK_CHG</vt:lpstr>
      <vt:lpstr>PRBA000100col_SSDI</vt:lpstr>
      <vt:lpstr>PRBA000100col_SSDI_BY</vt:lpstr>
      <vt:lpstr>PRBA000100col_SSDI_CHG</vt:lpstr>
      <vt:lpstr>PRBA000100col_SSHI</vt:lpstr>
      <vt:lpstr>PRBA000100col_SSHI_BY</vt:lpstr>
      <vt:lpstr>PRBA000100col_SSHI_CHGv</vt:lpstr>
      <vt:lpstr>PRBA000100col_TOT_VB_ELECT</vt:lpstr>
      <vt:lpstr>PRBA000100col_TOT_VB_ELECT_BY</vt:lpstr>
      <vt:lpstr>PRBA000100col_TOT_VB_ELECT_CHG</vt:lpstr>
      <vt:lpstr>PRBA000100col_TOT_VB_PERM</vt:lpstr>
      <vt:lpstr>PRBA000100col_TOT_VB_PERM_BY</vt:lpstr>
      <vt:lpstr>PRBA000100col_TOT_VB_PERM_CHG</vt:lpstr>
      <vt:lpstr>PRBA000100col_TOTAL_ELECT_PCN_FTI</vt:lpstr>
      <vt:lpstr>PRBA000100col_TOTAL_ELECT_PCN_FTI_ALT</vt:lpstr>
      <vt:lpstr>PRBA000100col_TOTAL_PERM_PCN_FTI</vt:lpstr>
      <vt:lpstr>PRBA000100col_UNEMP_INS</vt:lpstr>
      <vt:lpstr>PRBA000100col_UNEMP_INS_BY</vt:lpstr>
      <vt:lpstr>PRBA000100col_UNEMP_INS_CHG</vt:lpstr>
      <vt:lpstr>PRBA000100col_WORKERS_COMP</vt:lpstr>
      <vt:lpstr>PRBA000100col_WORKERS_COMP_BY</vt:lpstr>
      <vt:lpstr>PRBA000100col_WORKERS_COMP_CHG</vt:lpstr>
      <vt:lpstr>PRBA024300col_1_27TH_PP</vt:lpstr>
      <vt:lpstr>PRBA024300col_DHR</vt:lpstr>
      <vt:lpstr>PRBA024300col_DHR_BY</vt:lpstr>
      <vt:lpstr>PRBA024300col_DHR_CHG</vt:lpstr>
      <vt:lpstr>PRBA024300col_FTI_SALARY_ELECT</vt:lpstr>
      <vt:lpstr>PRBA024300col_FTI_SALARY_PERM</vt:lpstr>
      <vt:lpstr>PRBA024300col_FTI_SALARY_SSDI</vt:lpstr>
      <vt:lpstr>PRBA024300col_Group_Ben</vt:lpstr>
      <vt:lpstr>PRBA024300col_Group_Salary</vt:lpstr>
      <vt:lpstr>PRBA024300col_HEALTH_ELECT</vt:lpstr>
      <vt:lpstr>PRBA024300col_HEALTH_ELECT_BY</vt:lpstr>
      <vt:lpstr>PRBA024300col_HEALTH_ELECT_CHG</vt:lpstr>
      <vt:lpstr>PRBA024300col_HEALTH_PERM</vt:lpstr>
      <vt:lpstr>PRBA024300col_HEALTH_PERM_BY</vt:lpstr>
      <vt:lpstr>PRBA024300col_HEALTH_PERM_CHG</vt:lpstr>
      <vt:lpstr>PRBA024300col_INC_FTI</vt:lpstr>
      <vt:lpstr>PRBA024300col_LIFE_INS</vt:lpstr>
      <vt:lpstr>PRBA024300col_LIFE_INS_BY</vt:lpstr>
      <vt:lpstr>PRBA024300col_LIFE_INS_CHG</vt:lpstr>
      <vt:lpstr>PRBA024300col_RETIREMENT</vt:lpstr>
      <vt:lpstr>PRBA024300col_RETIREMENT_BY</vt:lpstr>
      <vt:lpstr>PRBA024300col_RETIREMENT_CHG</vt:lpstr>
      <vt:lpstr>PRBA024300col_ROWS_PER_PCN</vt:lpstr>
      <vt:lpstr>PRBA024300col_SICK</vt:lpstr>
      <vt:lpstr>PRBA024300col_SICK_BY</vt:lpstr>
      <vt:lpstr>PRBA024300col_SICK_CHG</vt:lpstr>
      <vt:lpstr>PRBA024300col_SSDI</vt:lpstr>
      <vt:lpstr>PRBA024300col_SSDI_BY</vt:lpstr>
      <vt:lpstr>PRBA024300col_SSDI_CHG</vt:lpstr>
      <vt:lpstr>PRBA024300col_SSHI</vt:lpstr>
      <vt:lpstr>PRBA024300col_SSHI_BY</vt:lpstr>
      <vt:lpstr>PRBA024300col_SSHI_CHGv</vt:lpstr>
      <vt:lpstr>PRBA024300col_TOT_VB_ELECT</vt:lpstr>
      <vt:lpstr>PRBA024300col_TOT_VB_ELECT_BY</vt:lpstr>
      <vt:lpstr>PRBA024300col_TOT_VB_ELECT_CHG</vt:lpstr>
      <vt:lpstr>PRBA024300col_TOT_VB_PERM</vt:lpstr>
      <vt:lpstr>PRBA024300col_TOT_VB_PERM_BY</vt:lpstr>
      <vt:lpstr>PRBA024300col_TOT_VB_PERM_CHG</vt:lpstr>
      <vt:lpstr>PRBA024300col_TOTAL_ELECT_PCN_FTI</vt:lpstr>
      <vt:lpstr>PRBA024300col_TOTAL_ELECT_PCN_FTI_ALT</vt:lpstr>
      <vt:lpstr>PRBA024300col_TOTAL_PERM_PCN_FTI</vt:lpstr>
      <vt:lpstr>PRBA024300col_UNEMP_INS</vt:lpstr>
      <vt:lpstr>PRBA024300col_UNEMP_INS_BY</vt:lpstr>
      <vt:lpstr>PRBA024300col_UNEMP_INS_CHG</vt:lpstr>
      <vt:lpstr>PRBA024300col_WORKERS_COMP</vt:lpstr>
      <vt:lpstr>PRBA024300col_WORKERS_COMP_BY</vt:lpstr>
      <vt:lpstr>PRBA024300col_WORKERS_COMP_CHG</vt:lpstr>
      <vt:lpstr>PRBA024700col_1_27TH_PP</vt:lpstr>
      <vt:lpstr>PRBA024700col_DHR</vt:lpstr>
      <vt:lpstr>PRBA024700col_DHR_BY</vt:lpstr>
      <vt:lpstr>PRBA024700col_DHR_CHG</vt:lpstr>
      <vt:lpstr>PRBA024700col_FTI_SALARY_ELECT</vt:lpstr>
      <vt:lpstr>PRBA024700col_FTI_SALARY_PERM</vt:lpstr>
      <vt:lpstr>PRBA024700col_FTI_SALARY_SSDI</vt:lpstr>
      <vt:lpstr>PRBA024700col_Group_Ben</vt:lpstr>
      <vt:lpstr>PRBA024700col_Group_Salary</vt:lpstr>
      <vt:lpstr>PRBA024700col_HEALTH_ELECT</vt:lpstr>
      <vt:lpstr>PRBA024700col_HEALTH_ELECT_BY</vt:lpstr>
      <vt:lpstr>PRBA024700col_HEALTH_ELECT_CHG</vt:lpstr>
      <vt:lpstr>PRBA024700col_HEALTH_PERM</vt:lpstr>
      <vt:lpstr>PRBA024700col_HEALTH_PERM_BY</vt:lpstr>
      <vt:lpstr>PRBA024700col_HEALTH_PERM_CHG</vt:lpstr>
      <vt:lpstr>PRBA024700col_INC_FTI</vt:lpstr>
      <vt:lpstr>PRBA024700col_LIFE_INS</vt:lpstr>
      <vt:lpstr>PRBA024700col_LIFE_INS_BY</vt:lpstr>
      <vt:lpstr>PRBA024700col_LIFE_INS_CHG</vt:lpstr>
      <vt:lpstr>PRBA024700col_RETIREMENT</vt:lpstr>
      <vt:lpstr>PRBA024700col_RETIREMENT_BY</vt:lpstr>
      <vt:lpstr>PRBA024700col_RETIREMENT_CHG</vt:lpstr>
      <vt:lpstr>PRBA024700col_ROWS_PER_PCN</vt:lpstr>
      <vt:lpstr>PRBA024700col_SICK</vt:lpstr>
      <vt:lpstr>PRBA024700col_SICK_BY</vt:lpstr>
      <vt:lpstr>PRBA024700col_SICK_CHG</vt:lpstr>
      <vt:lpstr>PRBA024700col_SSDI</vt:lpstr>
      <vt:lpstr>PRBA024700col_SSDI_BY</vt:lpstr>
      <vt:lpstr>PRBA024700col_SSDI_CHG</vt:lpstr>
      <vt:lpstr>PRBA024700col_SSHI</vt:lpstr>
      <vt:lpstr>PRBA024700col_SSHI_BY</vt:lpstr>
      <vt:lpstr>PRBA024700col_SSHI_CHGv</vt:lpstr>
      <vt:lpstr>PRBA024700col_TOT_VB_ELECT</vt:lpstr>
      <vt:lpstr>PRBA024700col_TOT_VB_ELECT_BY</vt:lpstr>
      <vt:lpstr>PRBA024700col_TOT_VB_ELECT_CHG</vt:lpstr>
      <vt:lpstr>PRBA024700col_TOT_VB_PERM</vt:lpstr>
      <vt:lpstr>PRBA024700col_TOT_VB_PERM_BY</vt:lpstr>
      <vt:lpstr>PRBA024700col_TOT_VB_PERM_CHG</vt:lpstr>
      <vt:lpstr>PRBA024700col_TOTAL_ELECT_PCN_FTI</vt:lpstr>
      <vt:lpstr>PRBA024700col_TOTAL_ELECT_PCN_FTI_ALT</vt:lpstr>
      <vt:lpstr>PRBA024700col_TOTAL_PERM_PCN_FTI</vt:lpstr>
      <vt:lpstr>PRBA024700col_UNEMP_INS</vt:lpstr>
      <vt:lpstr>PRBA024700col_UNEMP_INS_BY</vt:lpstr>
      <vt:lpstr>PRBA024700col_UNEMP_INS_CHG</vt:lpstr>
      <vt:lpstr>PRBA024700col_WORKERS_COMP</vt:lpstr>
      <vt:lpstr>PRBA024700col_WORKERS_COMP_BY</vt:lpstr>
      <vt:lpstr>PRBA024700col_WORKERS_COMP_CHG</vt:lpstr>
      <vt:lpstr>PRBA034900col_1_27TH_PP</vt:lpstr>
      <vt:lpstr>PRBA034900col_DHR</vt:lpstr>
      <vt:lpstr>PRBA034900col_DHR_BY</vt:lpstr>
      <vt:lpstr>PRBA034900col_DHR_CHG</vt:lpstr>
      <vt:lpstr>PRBA034900col_FTI_SALARY_ELECT</vt:lpstr>
      <vt:lpstr>PRBA034900col_FTI_SALARY_PERM</vt:lpstr>
      <vt:lpstr>PRBA034900col_FTI_SALARY_SSDI</vt:lpstr>
      <vt:lpstr>PRBA034900col_Group_Ben</vt:lpstr>
      <vt:lpstr>PRBA034900col_Group_Salary</vt:lpstr>
      <vt:lpstr>PRBA034900col_HEALTH_ELECT</vt:lpstr>
      <vt:lpstr>PRBA034900col_HEALTH_ELECT_BY</vt:lpstr>
      <vt:lpstr>PRBA034900col_HEALTH_ELECT_CHG</vt:lpstr>
      <vt:lpstr>PRBA034900col_HEALTH_PERM</vt:lpstr>
      <vt:lpstr>PRBA034900col_HEALTH_PERM_BY</vt:lpstr>
      <vt:lpstr>PRBA034900col_HEALTH_PERM_CHG</vt:lpstr>
      <vt:lpstr>PRBA034900col_INC_FTI</vt:lpstr>
      <vt:lpstr>PRBA034900col_LIFE_INS</vt:lpstr>
      <vt:lpstr>PRBA034900col_LIFE_INS_BY</vt:lpstr>
      <vt:lpstr>PRBA034900col_LIFE_INS_CHG</vt:lpstr>
      <vt:lpstr>PRBA034900col_RETIREMENT</vt:lpstr>
      <vt:lpstr>PRBA034900col_RETIREMENT_BY</vt:lpstr>
      <vt:lpstr>PRBA034900col_RETIREMENT_CHG</vt:lpstr>
      <vt:lpstr>PRBA034900col_ROWS_PER_PCN</vt:lpstr>
      <vt:lpstr>PRBA034900col_SICK</vt:lpstr>
      <vt:lpstr>PRBA034900col_SICK_BY</vt:lpstr>
      <vt:lpstr>PRBA034900col_SICK_CHG</vt:lpstr>
      <vt:lpstr>PRBA034900col_SSDI</vt:lpstr>
      <vt:lpstr>PRBA034900col_SSDI_BY</vt:lpstr>
      <vt:lpstr>PRBA034900col_SSDI_CHG</vt:lpstr>
      <vt:lpstr>PRBA034900col_SSHI</vt:lpstr>
      <vt:lpstr>PRBA034900col_SSHI_BY</vt:lpstr>
      <vt:lpstr>PRBA034900col_SSHI_CHGv</vt:lpstr>
      <vt:lpstr>PRBA034900col_TOT_VB_ELECT</vt:lpstr>
      <vt:lpstr>PRBA034900col_TOT_VB_ELECT_BY</vt:lpstr>
      <vt:lpstr>PRBA034900col_TOT_VB_ELECT_CHG</vt:lpstr>
      <vt:lpstr>PRBA034900col_TOT_VB_PERM</vt:lpstr>
      <vt:lpstr>PRBA034900col_TOT_VB_PERM_BY</vt:lpstr>
      <vt:lpstr>PRBA034900col_TOT_VB_PERM_CHG</vt:lpstr>
      <vt:lpstr>PRBA034900col_TOTAL_ELECT_PCN_FTI</vt:lpstr>
      <vt:lpstr>PRBA034900col_TOTAL_ELECT_PCN_FTI_ALT</vt:lpstr>
      <vt:lpstr>PRBA034900col_TOTAL_PERM_PCN_FTI</vt:lpstr>
      <vt:lpstr>PRBA034900col_UNEMP_INS</vt:lpstr>
      <vt:lpstr>PRBA034900col_UNEMP_INS_BY</vt:lpstr>
      <vt:lpstr>PRBA034900col_UNEMP_INS_CHG</vt:lpstr>
      <vt:lpstr>PRBA034900col_WORKERS_COMP</vt:lpstr>
      <vt:lpstr>PRBA034900col_WORKERS_COMP_BY</vt:lpstr>
      <vt:lpstr>PRBA034900col_WORKERS_COMP_CHG</vt:lpstr>
      <vt:lpstr>PRBA049600col_1_27TH_PP</vt:lpstr>
      <vt:lpstr>PRBA049600col_DHR</vt:lpstr>
      <vt:lpstr>PRBA049600col_DHR_BY</vt:lpstr>
      <vt:lpstr>PRBA049600col_DHR_CHG</vt:lpstr>
      <vt:lpstr>PRBA049600col_FTI_SALARY_ELECT</vt:lpstr>
      <vt:lpstr>PRBA049600col_FTI_SALARY_PERM</vt:lpstr>
      <vt:lpstr>PRBA049600col_FTI_SALARY_SSDI</vt:lpstr>
      <vt:lpstr>PRBA049600col_Group_Ben</vt:lpstr>
      <vt:lpstr>PRBA049600col_Group_Salary</vt:lpstr>
      <vt:lpstr>PRBA049600col_HEALTH_ELECT</vt:lpstr>
      <vt:lpstr>PRBA049600col_HEALTH_ELECT_BY</vt:lpstr>
      <vt:lpstr>PRBA049600col_HEALTH_ELECT_CHG</vt:lpstr>
      <vt:lpstr>PRBA049600col_HEALTH_PERM</vt:lpstr>
      <vt:lpstr>PRBA049600col_HEALTH_PERM_BY</vt:lpstr>
      <vt:lpstr>PRBA049600col_HEALTH_PERM_CHG</vt:lpstr>
      <vt:lpstr>PRBA049600col_INC_FTI</vt:lpstr>
      <vt:lpstr>PRBA049600col_LIFE_INS</vt:lpstr>
      <vt:lpstr>PRBA049600col_LIFE_INS_BY</vt:lpstr>
      <vt:lpstr>PRBA049600col_LIFE_INS_CHG</vt:lpstr>
      <vt:lpstr>PRBA049600col_RETIREMENT</vt:lpstr>
      <vt:lpstr>PRBA049600col_RETIREMENT_BY</vt:lpstr>
      <vt:lpstr>PRBA049600col_RETIREMENT_CHG</vt:lpstr>
      <vt:lpstr>PRBA049600col_ROWS_PER_PCN</vt:lpstr>
      <vt:lpstr>PRBA049600col_SICK</vt:lpstr>
      <vt:lpstr>PRBA049600col_SICK_BY</vt:lpstr>
      <vt:lpstr>PRBA049600col_SICK_CHG</vt:lpstr>
      <vt:lpstr>PRBA049600col_SSDI</vt:lpstr>
      <vt:lpstr>PRBA049600col_SSDI_BY</vt:lpstr>
      <vt:lpstr>PRBA049600col_SSDI_CHG</vt:lpstr>
      <vt:lpstr>PRBA049600col_SSHI</vt:lpstr>
      <vt:lpstr>PRBA049600col_SSHI_BY</vt:lpstr>
      <vt:lpstr>PRBA049600col_SSHI_CHGv</vt:lpstr>
      <vt:lpstr>PRBA049600col_TOT_VB_ELECT</vt:lpstr>
      <vt:lpstr>PRBA049600col_TOT_VB_ELECT_BY</vt:lpstr>
      <vt:lpstr>PRBA049600col_TOT_VB_ELECT_CHG</vt:lpstr>
      <vt:lpstr>PRBA049600col_TOT_VB_PERM</vt:lpstr>
      <vt:lpstr>PRBA049600col_TOT_VB_PERM_BY</vt:lpstr>
      <vt:lpstr>PRBA049600col_TOT_VB_PERM_CHG</vt:lpstr>
      <vt:lpstr>PRBA049600col_TOTAL_ELECT_PCN_FTI</vt:lpstr>
      <vt:lpstr>PRBA049600col_TOTAL_ELECT_PCN_FTI_ALT</vt:lpstr>
      <vt:lpstr>PRBA049600col_TOTAL_PERM_PCN_FTI</vt:lpstr>
      <vt:lpstr>PRBA049600col_UNEMP_INS</vt:lpstr>
      <vt:lpstr>PRBA049600col_UNEMP_INS_BY</vt:lpstr>
      <vt:lpstr>PRBA049600col_UNEMP_INS_CHG</vt:lpstr>
      <vt:lpstr>PRBA049600col_WORKERS_COMP</vt:lpstr>
      <vt:lpstr>PRBA049600col_WORKERS_COMP_BY</vt:lpstr>
      <vt:lpstr>PRBA049600col_WORKERS_COMP_CHG</vt:lpstr>
      <vt:lpstr>PRBB025000col_1_27TH_PP</vt:lpstr>
      <vt:lpstr>PRBB025000col_DHR</vt:lpstr>
      <vt:lpstr>PRBB025000col_DHR_BY</vt:lpstr>
      <vt:lpstr>PRBB025000col_DHR_CHG</vt:lpstr>
      <vt:lpstr>PRBB025000col_FTI_SALARY_ELECT</vt:lpstr>
      <vt:lpstr>PRBB025000col_FTI_SALARY_PERM</vt:lpstr>
      <vt:lpstr>PRBB025000col_FTI_SALARY_SSDI</vt:lpstr>
      <vt:lpstr>PRBB025000col_Group_Ben</vt:lpstr>
      <vt:lpstr>PRBB025000col_Group_Salary</vt:lpstr>
      <vt:lpstr>PRBB025000col_HEALTH_ELECT</vt:lpstr>
      <vt:lpstr>PRBB025000col_HEALTH_ELECT_BY</vt:lpstr>
      <vt:lpstr>PRBB025000col_HEALTH_ELECT_CHG</vt:lpstr>
      <vt:lpstr>PRBB025000col_HEALTH_PERM</vt:lpstr>
      <vt:lpstr>PRBB025000col_HEALTH_PERM_BY</vt:lpstr>
      <vt:lpstr>PRBB025000col_HEALTH_PERM_CHG</vt:lpstr>
      <vt:lpstr>PRBB025000col_INC_FTI</vt:lpstr>
      <vt:lpstr>PRBB025000col_LIFE_INS</vt:lpstr>
      <vt:lpstr>PRBB025000col_LIFE_INS_BY</vt:lpstr>
      <vt:lpstr>PRBB025000col_LIFE_INS_CHG</vt:lpstr>
      <vt:lpstr>PRBB025000col_RETIREMENT</vt:lpstr>
      <vt:lpstr>PRBB025000col_RETIREMENT_BY</vt:lpstr>
      <vt:lpstr>PRBB025000col_RETIREMENT_CHG</vt:lpstr>
      <vt:lpstr>PRBB025000col_ROWS_PER_PCN</vt:lpstr>
      <vt:lpstr>PRBB025000col_SICK</vt:lpstr>
      <vt:lpstr>PRBB025000col_SICK_BY</vt:lpstr>
      <vt:lpstr>PRBB025000col_SICK_CHG</vt:lpstr>
      <vt:lpstr>PRBB025000col_SSDI</vt:lpstr>
      <vt:lpstr>PRBB025000col_SSDI_BY</vt:lpstr>
      <vt:lpstr>PRBB025000col_SSDI_CHG</vt:lpstr>
      <vt:lpstr>PRBB025000col_SSHI</vt:lpstr>
      <vt:lpstr>PRBB025000col_SSHI_BY</vt:lpstr>
      <vt:lpstr>PRBB025000col_SSHI_CHGv</vt:lpstr>
      <vt:lpstr>PRBB025000col_TOT_VB_ELECT</vt:lpstr>
      <vt:lpstr>PRBB025000col_TOT_VB_ELECT_BY</vt:lpstr>
      <vt:lpstr>PRBB025000col_TOT_VB_ELECT_CHG</vt:lpstr>
      <vt:lpstr>PRBB025000col_TOT_VB_PERM</vt:lpstr>
      <vt:lpstr>PRBB025000col_TOT_VB_PERM_BY</vt:lpstr>
      <vt:lpstr>PRBB025000col_TOT_VB_PERM_CHG</vt:lpstr>
      <vt:lpstr>PRBB025000col_TOTAL_ELECT_PCN_FTI</vt:lpstr>
      <vt:lpstr>PRBB025000col_TOTAL_ELECT_PCN_FTI_ALT</vt:lpstr>
      <vt:lpstr>PRBB025000col_TOTAL_PERM_PCN_FTI</vt:lpstr>
      <vt:lpstr>PRBB025000col_UNEMP_INS</vt:lpstr>
      <vt:lpstr>PRBB025000col_UNEMP_INS_BY</vt:lpstr>
      <vt:lpstr>PRBB025000col_UNEMP_INS_CHG</vt:lpstr>
      <vt:lpstr>PRBB025000col_WORKERS_COMP</vt:lpstr>
      <vt:lpstr>PRBB025000col_WORKERS_COMP_BY</vt:lpstr>
      <vt:lpstr>PRBB025000col_WORKERS_COMP_CHG</vt:lpstr>
      <vt:lpstr>PRBB034800col_1_27TH_PP</vt:lpstr>
      <vt:lpstr>PRBB034800col_DHR</vt:lpstr>
      <vt:lpstr>PRBB034800col_DHR_BY</vt:lpstr>
      <vt:lpstr>PRBB034800col_DHR_CHG</vt:lpstr>
      <vt:lpstr>PRBB034800col_FTI_SALARY_ELECT</vt:lpstr>
      <vt:lpstr>PRBB034800col_FTI_SALARY_PERM</vt:lpstr>
      <vt:lpstr>PRBB034800col_FTI_SALARY_SSDI</vt:lpstr>
      <vt:lpstr>PRBB034800col_Group_Ben</vt:lpstr>
      <vt:lpstr>PRBB034800col_Group_Salary</vt:lpstr>
      <vt:lpstr>PRBB034800col_HEALTH_ELECT</vt:lpstr>
      <vt:lpstr>PRBB034800col_HEALTH_ELECT_BY</vt:lpstr>
      <vt:lpstr>PRBB034800col_HEALTH_ELECT_CHG</vt:lpstr>
      <vt:lpstr>PRBB034800col_HEALTH_PERM</vt:lpstr>
      <vt:lpstr>PRBB034800col_HEALTH_PERM_BY</vt:lpstr>
      <vt:lpstr>PRBB034800col_HEALTH_PERM_CHG</vt:lpstr>
      <vt:lpstr>PRBB034800col_INC_FTI</vt:lpstr>
      <vt:lpstr>PRBB034800col_LIFE_INS</vt:lpstr>
      <vt:lpstr>PRBB034800col_LIFE_INS_BY</vt:lpstr>
      <vt:lpstr>PRBB034800col_LIFE_INS_CHG</vt:lpstr>
      <vt:lpstr>PRBB034800col_RETIREMENT</vt:lpstr>
      <vt:lpstr>PRBB034800col_RETIREMENT_BY</vt:lpstr>
      <vt:lpstr>PRBB034800col_RETIREMENT_CHG</vt:lpstr>
      <vt:lpstr>PRBB034800col_ROWS_PER_PCN</vt:lpstr>
      <vt:lpstr>PRBB034800col_SICK</vt:lpstr>
      <vt:lpstr>PRBB034800col_SICK_BY</vt:lpstr>
      <vt:lpstr>PRBB034800col_SICK_CHG</vt:lpstr>
      <vt:lpstr>PRBB034800col_SSDI</vt:lpstr>
      <vt:lpstr>PRBB034800col_SSDI_BY</vt:lpstr>
      <vt:lpstr>PRBB034800col_SSDI_CHG</vt:lpstr>
      <vt:lpstr>PRBB034800col_SSHI</vt:lpstr>
      <vt:lpstr>PRBB034800col_SSHI_BY</vt:lpstr>
      <vt:lpstr>PRBB034800col_SSHI_CHGv</vt:lpstr>
      <vt:lpstr>PRBB034800col_TOT_VB_ELECT</vt:lpstr>
      <vt:lpstr>PRBB034800col_TOT_VB_ELECT_BY</vt:lpstr>
      <vt:lpstr>PRBB034800col_TOT_VB_ELECT_CHG</vt:lpstr>
      <vt:lpstr>PRBB034800col_TOT_VB_PERM</vt:lpstr>
      <vt:lpstr>PRBB034800col_TOT_VB_PERM_BY</vt:lpstr>
      <vt:lpstr>PRBB034800col_TOT_VB_PERM_CHG</vt:lpstr>
      <vt:lpstr>PRBB034800col_TOTAL_ELECT_PCN_FTI</vt:lpstr>
      <vt:lpstr>PRBB034800col_TOTAL_ELECT_PCN_FTI_ALT</vt:lpstr>
      <vt:lpstr>PRBB034800col_TOTAL_PERM_PCN_FTI</vt:lpstr>
      <vt:lpstr>PRBB034800col_UNEMP_INS</vt:lpstr>
      <vt:lpstr>PRBB034800col_UNEMP_INS_BY</vt:lpstr>
      <vt:lpstr>PRBB034800col_UNEMP_INS_CHG</vt:lpstr>
      <vt:lpstr>PRBB034800col_WORKERS_COMP</vt:lpstr>
      <vt:lpstr>PRBB034800col_WORKERS_COMP_BY</vt:lpstr>
      <vt:lpstr>PRBB034800col_WORKERS_COMP_CHG</vt:lpstr>
      <vt:lpstr>PRBD041001col_1_27TH_PP</vt:lpstr>
      <vt:lpstr>PRBD041001col_DHR</vt:lpstr>
      <vt:lpstr>PRBD041001col_DHR_BY</vt:lpstr>
      <vt:lpstr>PRBD041001col_DHR_CHG</vt:lpstr>
      <vt:lpstr>PRBD041001col_FTI_SALARY_ELECT</vt:lpstr>
      <vt:lpstr>PRBD041001col_FTI_SALARY_PERM</vt:lpstr>
      <vt:lpstr>PRBD041001col_FTI_SALARY_SSDI</vt:lpstr>
      <vt:lpstr>PRBD041001col_Group_Ben</vt:lpstr>
      <vt:lpstr>PRBD041001col_Group_Salary</vt:lpstr>
      <vt:lpstr>PRBD041001col_HEALTH_ELECT</vt:lpstr>
      <vt:lpstr>PRBD041001col_HEALTH_ELECT_BY</vt:lpstr>
      <vt:lpstr>PRBD041001col_HEALTH_ELECT_CHG</vt:lpstr>
      <vt:lpstr>PRBD041001col_HEALTH_PERM</vt:lpstr>
      <vt:lpstr>PRBD041001col_HEALTH_PERM_BY</vt:lpstr>
      <vt:lpstr>PRBD041001col_HEALTH_PERM_CHG</vt:lpstr>
      <vt:lpstr>PRBD041001col_INC_FTI</vt:lpstr>
      <vt:lpstr>PRBD041001col_LIFE_INS</vt:lpstr>
      <vt:lpstr>PRBD041001col_LIFE_INS_BY</vt:lpstr>
      <vt:lpstr>PRBD041001col_LIFE_INS_CHG</vt:lpstr>
      <vt:lpstr>PRBD041001col_RETIREMENT</vt:lpstr>
      <vt:lpstr>PRBD041001col_RETIREMENT_BY</vt:lpstr>
      <vt:lpstr>PRBD041001col_RETIREMENT_CHG</vt:lpstr>
      <vt:lpstr>PRBD041001col_ROWS_PER_PCN</vt:lpstr>
      <vt:lpstr>PRBD041001col_SICK</vt:lpstr>
      <vt:lpstr>PRBD041001col_SICK_BY</vt:lpstr>
      <vt:lpstr>PRBD041001col_SICK_CHG</vt:lpstr>
      <vt:lpstr>PRBD041001col_SSDI</vt:lpstr>
      <vt:lpstr>PRBD041001col_SSDI_BY</vt:lpstr>
      <vt:lpstr>PRBD041001col_SSDI_CHG</vt:lpstr>
      <vt:lpstr>PRBD041001col_SSHI</vt:lpstr>
      <vt:lpstr>PRBD041001col_SSHI_BY</vt:lpstr>
      <vt:lpstr>PRBD041001col_SSHI_CHGv</vt:lpstr>
      <vt:lpstr>PRBD041001col_TOT_VB_ELECT</vt:lpstr>
      <vt:lpstr>PRBD041001col_TOT_VB_ELECT_BY</vt:lpstr>
      <vt:lpstr>PRBD041001col_TOT_VB_ELECT_CHG</vt:lpstr>
      <vt:lpstr>PRBD041001col_TOT_VB_PERM</vt:lpstr>
      <vt:lpstr>PRBD041001col_TOT_VB_PERM_BY</vt:lpstr>
      <vt:lpstr>PRBD041001col_TOT_VB_PERM_CHG</vt:lpstr>
      <vt:lpstr>PRBD041001col_TOTAL_ELECT_PCN_FTI</vt:lpstr>
      <vt:lpstr>PRBD041001col_TOTAL_ELECT_PCN_FTI_ALT</vt:lpstr>
      <vt:lpstr>PRBD041001col_TOTAL_PERM_PCN_FTI</vt:lpstr>
      <vt:lpstr>PRBD041001col_UNEMP_INS</vt:lpstr>
      <vt:lpstr>PRBD041001col_UNEMP_INS_BY</vt:lpstr>
      <vt:lpstr>PRBD041001col_UNEMP_INS_CHG</vt:lpstr>
      <vt:lpstr>PRBD041001col_WORKERS_COMP</vt:lpstr>
      <vt:lpstr>PRBD041001col_WORKERS_COMP_BY</vt:lpstr>
      <vt:lpstr>PRBD041001col_WORKERS_COMP_CHG</vt:lpstr>
      <vt:lpstr>'B6'!Print_Area</vt:lpstr>
      <vt:lpstr>Benefits!Print_Area</vt:lpstr>
      <vt:lpstr>'PRAA|0001-00'!Print_Area</vt:lpstr>
      <vt:lpstr>'PRAA|0125-00'!Print_Area</vt:lpstr>
      <vt:lpstr>'PRAA|0243-00'!Print_Area</vt:lpstr>
      <vt:lpstr>'PRAA|0247-00'!Print_Area</vt:lpstr>
      <vt:lpstr>'PRAB|0250-00'!Print_Area</vt:lpstr>
      <vt:lpstr>'PRBA|0001-00'!Print_Area</vt:lpstr>
      <vt:lpstr>'PRBA|0243-00'!Print_Area</vt:lpstr>
      <vt:lpstr>'PRBA|0247-00'!Print_Area</vt:lpstr>
      <vt:lpstr>'PRBA|0349-00'!Print_Area</vt:lpstr>
      <vt:lpstr>'PRBA|0496-00'!Print_Area</vt:lpstr>
      <vt:lpstr>'PRBB|0250-00'!Print_Area</vt:lpstr>
      <vt:lpstr>'PRBB|0348-00'!Print_Area</vt:lpstr>
      <vt:lpstr>'PRBD|0410-00'!Print_Area</vt:lpstr>
      <vt:lpstr>'PRAA|0001-00'!Prog_Unadjusted_Total</vt:lpstr>
      <vt:lpstr>'PRAA|0125-00'!Prog_Unadjusted_Total</vt:lpstr>
      <vt:lpstr>'PRAA|0243-00'!Prog_Unadjusted_Total</vt:lpstr>
      <vt:lpstr>'PRAA|0247-00'!Prog_Unadjusted_Total</vt:lpstr>
      <vt:lpstr>'PRAB|0250-00'!Prog_Unadjusted_Total</vt:lpstr>
      <vt:lpstr>'PRBA|0001-00'!Prog_Unadjusted_Total</vt:lpstr>
      <vt:lpstr>'PRBA|0243-00'!Prog_Unadjusted_Total</vt:lpstr>
      <vt:lpstr>'PRBA|0247-00'!Prog_Unadjusted_Total</vt:lpstr>
      <vt:lpstr>'PRBA|0349-00'!Prog_Unadjusted_Total</vt:lpstr>
      <vt:lpstr>'PRBA|0496-00'!Prog_Unadjusted_Total</vt:lpstr>
      <vt:lpstr>'PRBB|0250-00'!Prog_Unadjusted_Total</vt:lpstr>
      <vt:lpstr>'PRBB|0348-00'!Prog_Unadjusted_Total</vt:lpstr>
      <vt:lpstr>'PRBD|0410-00'!Prog_Unadjusted_Total</vt:lpstr>
      <vt:lpstr>Prog_Unadjusted_Total</vt:lpstr>
      <vt:lpstr>'PRAA|0001-00'!Program</vt:lpstr>
      <vt:lpstr>'PRAA|0125-00'!Program</vt:lpstr>
      <vt:lpstr>'PRAA|0243-00'!Program</vt:lpstr>
      <vt:lpstr>'PRAA|0247-00'!Program</vt:lpstr>
      <vt:lpstr>'PRAB|0250-00'!Program</vt:lpstr>
      <vt:lpstr>'PRBA|0001-00'!Program</vt:lpstr>
      <vt:lpstr>'PRBA|0243-00'!Program</vt:lpstr>
      <vt:lpstr>'PRBA|0247-00'!Program</vt:lpstr>
      <vt:lpstr>'PRBA|0349-00'!Program</vt:lpstr>
      <vt:lpstr>'PRBA|0496-00'!Program</vt:lpstr>
      <vt:lpstr>'PRBB|0250-00'!Program</vt:lpstr>
      <vt:lpstr>'PRBB|0348-00'!Program</vt:lpstr>
      <vt:lpstr>'PRBD|0410-00'!Program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'PRAA|0001-00'!RoundedAppropSalary</vt:lpstr>
      <vt:lpstr>'PRAA|0125-00'!RoundedAppropSalary</vt:lpstr>
      <vt:lpstr>'PRAA|0243-00'!RoundedAppropSalary</vt:lpstr>
      <vt:lpstr>'PRAA|0247-00'!RoundedAppropSalary</vt:lpstr>
      <vt:lpstr>'PRAB|0250-00'!RoundedAppropSalary</vt:lpstr>
      <vt:lpstr>'PRBA|0001-00'!RoundedAppropSalary</vt:lpstr>
      <vt:lpstr>'PRBA|0243-00'!RoundedAppropSalary</vt:lpstr>
      <vt:lpstr>'PRBA|0247-00'!RoundedAppropSalary</vt:lpstr>
      <vt:lpstr>'PRBA|0349-00'!RoundedAppropSalary</vt:lpstr>
      <vt:lpstr>'PRBA|0496-00'!RoundedAppropSalary</vt:lpstr>
      <vt:lpstr>'PRBB|0250-00'!RoundedAppropSalary</vt:lpstr>
      <vt:lpstr>'PRBB|0348-00'!RoundedAppropSalary</vt:lpstr>
      <vt:lpstr>'PRBD|0410-00'!RoundedAppropSalary</vt:lpstr>
      <vt:lpstr>RoundedAppropSalary</vt:lpstr>
      <vt:lpstr>'PRAA|0001-00'!SalaryChg</vt:lpstr>
      <vt:lpstr>'PRAA|0125-00'!SalaryChg</vt:lpstr>
      <vt:lpstr>'PRAA|0243-00'!SalaryChg</vt:lpstr>
      <vt:lpstr>'PRAA|0247-00'!SalaryChg</vt:lpstr>
      <vt:lpstr>'PRAB|0250-00'!SalaryChg</vt:lpstr>
      <vt:lpstr>'PRBA|0001-00'!SalaryChg</vt:lpstr>
      <vt:lpstr>'PRBA|0243-00'!SalaryChg</vt:lpstr>
      <vt:lpstr>'PRBA|0247-00'!SalaryChg</vt:lpstr>
      <vt:lpstr>'PRBA|0349-00'!SalaryChg</vt:lpstr>
      <vt:lpstr>'PRBA|0496-00'!SalaryChg</vt:lpstr>
      <vt:lpstr>'PRBB|0250-00'!SalaryChg</vt:lpstr>
      <vt:lpstr>'PRBB|0348-00'!SalaryChg</vt:lpstr>
      <vt:lpstr>'PRBD|0410-00'!SalaryChg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341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2021-07-14T22:05:15Z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