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9F6BFE03-6B3A-4FE1-85DE-7CD861D3BA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AE|0001-00" sheetId="12" r:id="rId1"/>
    <sheet name="Data" sheetId="5" r:id="rId2"/>
    <sheet name="Benefits" sheetId="7" r:id="rId3"/>
    <sheet name="B6" sheetId="9" r:id="rId4"/>
    <sheet name="Summary" sheetId="10" r:id="rId5"/>
    <sheet name="FundSummary" sheetId="11" r:id="rId6"/>
  </sheets>
  <definedNames>
    <definedName name="AdjGroupHlth" localSheetId="0">'TAAE|0001-00'!$H$39</definedName>
    <definedName name="AdjGroupHlth">'B6'!$H$39</definedName>
    <definedName name="AdjGroupSalary" localSheetId="0">'TAAE|0001-00'!$G$39</definedName>
    <definedName name="AdjGroupSalary">'B6'!$G$39</definedName>
    <definedName name="AdjGroupVB" localSheetId="0">'TAAE|0001-00'!$I$39</definedName>
    <definedName name="AdjGroupVB">'B6'!$I$39</definedName>
    <definedName name="AdjGroupVBBY" localSheetId="0">'TAAE|0001-00'!$M$39</definedName>
    <definedName name="AdjGroupVBBY">'B6'!$M$39</definedName>
    <definedName name="AdjPermHlth" localSheetId="0">'TAAE|0001-00'!$H$38</definedName>
    <definedName name="AdjPermHlth">'B6'!$H$38</definedName>
    <definedName name="AdjPermHlthBY" localSheetId="0">'TAAE|0001-00'!$L$38</definedName>
    <definedName name="AdjPermHlthBY">'B6'!$L$38</definedName>
    <definedName name="AdjPermSalary" localSheetId="0">'TAAE|0001-00'!$G$38</definedName>
    <definedName name="AdjPermSalary">'B6'!$G$38</definedName>
    <definedName name="AdjPermVB" localSheetId="0">'TAAE|0001-00'!$I$38</definedName>
    <definedName name="AdjPermVB">'B6'!$I$38</definedName>
    <definedName name="AdjPermVBBY" localSheetId="0">'TAAE|0001-00'!$M$38</definedName>
    <definedName name="AdjPermVBBY">'B6'!$M$38</definedName>
    <definedName name="AdjustedTotal" localSheetId="0">'TAAE|0001-00'!$J$16</definedName>
    <definedName name="AdjustedTotal">'B6'!$J$16</definedName>
    <definedName name="AgencyNum" localSheetId="0">'TAAE|0001-00'!$M$1</definedName>
    <definedName name="AgencyNum">'B6'!$M$1</definedName>
    <definedName name="AppropFTP" localSheetId="0">'TAAE|0001-00'!$F$15</definedName>
    <definedName name="AppropFTP">'B6'!$F$15</definedName>
    <definedName name="AppropTotal" localSheetId="0">'TAAE|0001-00'!$J$15</definedName>
    <definedName name="AppropTotal">'B6'!$J$15</definedName>
    <definedName name="AtZHealth" localSheetId="0">'TAAE|0001-00'!$H$45</definedName>
    <definedName name="AtZHealth">'B6'!$H$45</definedName>
    <definedName name="AtZSalary" localSheetId="0">'TAAE|0001-00'!$G$45</definedName>
    <definedName name="AtZSalary">'B6'!$G$45</definedName>
    <definedName name="AtZTotal" localSheetId="0">'TAAE|0001-00'!$J$45</definedName>
    <definedName name="AtZTotal">'B6'!$J$45</definedName>
    <definedName name="AtZVarBen" localSheetId="0">'TAAE|0001-00'!$I$45</definedName>
    <definedName name="AtZVarBen">'B6'!$I$45</definedName>
    <definedName name="BudgetUnit" localSheetId="0">'TAAE|0001-00'!$M$3</definedName>
    <definedName name="BudgetUnit">'B6'!$M$3</definedName>
    <definedName name="BudgetYear">Benefits!$D$4</definedName>
    <definedName name="CECGroup">Benefits!$C$39</definedName>
    <definedName name="CECOrigElectSalary" localSheetId="0">'TAAE|0001-00'!$G$74</definedName>
    <definedName name="CECOrigElectSalary">'B6'!$G$74</definedName>
    <definedName name="CECOrigElectVB" localSheetId="0">'TAAE|0001-00'!$I$74</definedName>
    <definedName name="CECOrigElectVB">'B6'!$I$74</definedName>
    <definedName name="CECOrigGroupSalary" localSheetId="0">'TAAE|0001-00'!$G$73</definedName>
    <definedName name="CECOrigGroupSalary">'B6'!$G$73</definedName>
    <definedName name="CECOrigGroupVB" localSheetId="0">'TAAE|0001-00'!$I$73</definedName>
    <definedName name="CECOrigGroupVB">'B6'!$I$73</definedName>
    <definedName name="CECOrigPermSalary" localSheetId="0">'TAAE|0001-00'!$G$72</definedName>
    <definedName name="CECOrigPermSalary">'B6'!$G$72</definedName>
    <definedName name="CECOrigPermVB" localSheetId="0">'TAAE|0001-00'!$I$72</definedName>
    <definedName name="CECOrigPermVB">'B6'!$I$72</definedName>
    <definedName name="CECPerm">Benefits!$C$38</definedName>
    <definedName name="CECpermCalc" localSheetId="0">'TAAE|0001-00'!$E$72</definedName>
    <definedName name="CECpermCalc">'B6'!$E$72</definedName>
    <definedName name="Department" localSheetId="0">'TAAE|0001-00'!$D$1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'TAAE|0001-00'!$D$2</definedName>
    <definedName name="Division">'B6'!$D$2</definedName>
    <definedName name="DUCECElect" localSheetId="0">'TAAE|0001-00'!$J$74</definedName>
    <definedName name="DUCECElect">'B6'!$J$74</definedName>
    <definedName name="DUCECGroup" localSheetId="0">'TAAE|0001-00'!$J$73</definedName>
    <definedName name="DUCECGroup">'B6'!$J$73</definedName>
    <definedName name="DUCECPerm" localSheetId="0">'TAAE|0001-00'!$J$72</definedName>
    <definedName name="DUCECPerm">'B6'!$J$72</definedName>
    <definedName name="DUEleven" localSheetId="0">'TAAE|0001-00'!$J$75</definedName>
    <definedName name="DUEleven">'B6'!$J$75</definedName>
    <definedName name="DUHealthBen" localSheetId="0">'TAAE|0001-00'!$J$68</definedName>
    <definedName name="DUHealthBen">'B6'!$J$68</definedName>
    <definedName name="DUNine" localSheetId="0">'TAAE|0001-00'!$J$67</definedName>
    <definedName name="DUNine">'B6'!$J$67</definedName>
    <definedName name="DUThirteen" localSheetId="0">'TAAE|0001-00'!$J$80</definedName>
    <definedName name="DUThirteen">'B6'!$J$80</definedName>
    <definedName name="DUVariableBen" localSheetId="0">'TAAE|0001-00'!$J$69</definedName>
    <definedName name="DUVariableBen">'B6'!$J$69</definedName>
    <definedName name="Elect_chg_health" localSheetId="0">'TAAE|0001-00'!$L$12</definedName>
    <definedName name="Elect_chg_health">'B6'!$L$12</definedName>
    <definedName name="Elect_chg_Var" localSheetId="0">'TAAE|0001-00'!$M$12</definedName>
    <definedName name="Elect_chg_Var">'B6'!$M$12</definedName>
    <definedName name="elect_FTP" localSheetId="0">'TAAE|0001-00'!$F$12</definedName>
    <definedName name="elect_FTP">'B6'!$F$12</definedName>
    <definedName name="Elect_health" localSheetId="0">'TAAE|0001-00'!$H$12</definedName>
    <definedName name="Elect_health">'B6'!$H$12</definedName>
    <definedName name="Elect_name" localSheetId="0">'TAAE|0001-00'!$C$12</definedName>
    <definedName name="Elect_name">'B6'!$C$12</definedName>
    <definedName name="Elect_salary" localSheetId="0">'TAAE|0001-00'!$G$12</definedName>
    <definedName name="Elect_salary">'B6'!$G$12</definedName>
    <definedName name="Elect_Var" localSheetId="0">'TAAE|0001-00'!$I$12</definedName>
    <definedName name="Elect_Var">'B6'!$I$12</definedName>
    <definedName name="Elect_VarBen" localSheetId="0">'TAAE|0001-00'!$I$12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'TAAE|0001-00'!#REF!</definedName>
    <definedName name="FillRateAvg_B6">'B6'!#REF!</definedName>
    <definedName name="FiscalYear" localSheetId="0">'TAAE|0001-00'!$M$4</definedName>
    <definedName name="FiscalYear">'B6'!$M$4</definedName>
    <definedName name="FundName" localSheetId="0">'TAAE|0001-00'!$I$5</definedName>
    <definedName name="FundName">'B6'!$I$5</definedName>
    <definedName name="FundNum" localSheetId="0">'TAAE|0001-00'!$N$5</definedName>
    <definedName name="FundNum">'B6'!$N$5</definedName>
    <definedName name="FundNumber" localSheetId="0">'TAAE|0001-00'!$N$5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'TAAE|0001-00'!$C$11</definedName>
    <definedName name="Group_name">'B6'!$C$11</definedName>
    <definedName name="GroupFxdBen" localSheetId="0">'TAAE|0001-00'!$H$11</definedName>
    <definedName name="GroupFxdBen">'B6'!$H$11</definedName>
    <definedName name="GroupSalary" localSheetId="0">'TAAE|0001-00'!$G$11</definedName>
    <definedName name="GroupSalary">'B6'!$G$11</definedName>
    <definedName name="GroupVarBen" localSheetId="0">'TAAE|0001-00'!$I$11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'TAAE|0001-00'!$M$2</definedName>
    <definedName name="LUMAFund">'B6'!$M$2</definedName>
    <definedName name="MAXSSDI">Benefits!$F$5</definedName>
    <definedName name="MAXSSDIBY">Benefits!$G$5</definedName>
    <definedName name="NEW_AdjGroup" localSheetId="0">'TAAE|0001-00'!$AC$39</definedName>
    <definedName name="NEW_AdjGroup">'B6'!$AC$39</definedName>
    <definedName name="NEW_AdjGroupSalary" localSheetId="0">'TAAE|0001-00'!$AA$39</definedName>
    <definedName name="NEW_AdjGroupSalary">'B6'!$AA$39</definedName>
    <definedName name="NEW_AdjGroupVB" localSheetId="0">'TAAE|0001-00'!$AB$39</definedName>
    <definedName name="NEW_AdjGroupVB">'B6'!$AB$39</definedName>
    <definedName name="NEW_AdjONLYGroup" localSheetId="0">'TAAE|0001-00'!$AC$45</definedName>
    <definedName name="NEW_AdjONLYGroup">'B6'!$AC$45</definedName>
    <definedName name="NEW_AdjONLYGroupSalary" localSheetId="0">'TAAE|0001-00'!$AA$45</definedName>
    <definedName name="NEW_AdjONLYGroupSalary">'B6'!$AA$45</definedName>
    <definedName name="NEW_AdjONLYGroupVB" localSheetId="0">'TAAE|0001-00'!$AB$45</definedName>
    <definedName name="NEW_AdjONLYGroupVB">'B6'!$AB$45</definedName>
    <definedName name="NEW_AdjONLYPerm" localSheetId="0">'TAAE|0001-00'!$AC$44</definedName>
    <definedName name="NEW_AdjONLYPerm">'B6'!$AC$44</definedName>
    <definedName name="NEW_AdjONLYPermSalary" localSheetId="0">'TAAE|0001-00'!$AA$44</definedName>
    <definedName name="NEW_AdjONLYPermSalary">'B6'!$AA$44</definedName>
    <definedName name="NEW_AdjONLYPermVB" localSheetId="0">'TAAE|0001-00'!$AB$44</definedName>
    <definedName name="NEW_AdjONLYPermVB">'B6'!$AB$44</definedName>
    <definedName name="NEW_AdjPerm" localSheetId="0">'TAAE|0001-00'!$AC$38</definedName>
    <definedName name="NEW_AdjPerm">'B6'!$AC$38</definedName>
    <definedName name="NEW_AdjPermSalary" localSheetId="0">'TAAE|0001-00'!$AA$38</definedName>
    <definedName name="NEW_AdjPermSalary">'B6'!$AA$38</definedName>
    <definedName name="NEW_AdjPermVB" localSheetId="0">'TAAE|0001-00'!$AB$38</definedName>
    <definedName name="NEW_AdjPermVB">'B6'!$AB$38</definedName>
    <definedName name="NEW_GroupFilled" localSheetId="0">'TAAE|0001-00'!$AC$11</definedName>
    <definedName name="NEW_GroupFilled">'B6'!$AC$11</definedName>
    <definedName name="NEW_GroupSalaryFilled" localSheetId="0">'TAAE|0001-00'!$AA$11</definedName>
    <definedName name="NEW_GroupSalaryFilled">'B6'!$AA$11</definedName>
    <definedName name="NEW_GroupVBFilled" localSheetId="0">'TAAE|0001-00'!$AB$11</definedName>
    <definedName name="NEW_GroupVBFilled">'B6'!$AB$11</definedName>
    <definedName name="NEW_PermFilled" localSheetId="0">'TAAE|0001-00'!$AC$10</definedName>
    <definedName name="NEW_PermFilled">'B6'!$AC$10</definedName>
    <definedName name="NEW_PermSalaryFilled" localSheetId="0">'TAAE|0001-00'!$AA$10</definedName>
    <definedName name="NEW_PermSalaryFilled">'B6'!$AA$10</definedName>
    <definedName name="NEW_PermVBFilled" localSheetId="0">'TAAE|0001-00'!$AB$10</definedName>
    <definedName name="NEW_PermVBFilled">'B6'!$AB$10</definedName>
    <definedName name="OneTimePC_Total" localSheetId="0">'TAAE|0001-00'!$J$63</definedName>
    <definedName name="OneTimePC_Total">'B6'!$J$63</definedName>
    <definedName name="OrigApprop" localSheetId="0">'TAAE|0001-00'!$E$15</definedName>
    <definedName name="OrigApprop">'B6'!$E$15</definedName>
    <definedName name="perm_name" localSheetId="0">'TAAE|0001-00'!$C$10</definedName>
    <definedName name="perm_name">'B6'!$C$10</definedName>
    <definedName name="PermFTP" localSheetId="0">'TAAE|0001-00'!$F$10</definedName>
    <definedName name="PermFTP">'B6'!$F$10</definedName>
    <definedName name="PermFxdBen" localSheetId="0">'TAAE|0001-00'!$H$10</definedName>
    <definedName name="PermFxdBen">'B6'!$H$10</definedName>
    <definedName name="PermFxdBenChg" localSheetId="0">'TAAE|0001-00'!$L$10</definedName>
    <definedName name="PermFxdBenChg">'B6'!$L$10</definedName>
    <definedName name="PermFxdChg" localSheetId="0">'TAAE|0001-00'!$L$10</definedName>
    <definedName name="PermFxdChg">'B6'!$L$10</definedName>
    <definedName name="PermSalary" localSheetId="0">'TAAE|0001-00'!$G$10</definedName>
    <definedName name="PermSalary">'B6'!$G$10</definedName>
    <definedName name="PermVarBen" localSheetId="0">'TAAE|0001-00'!$I$10</definedName>
    <definedName name="PermVarBen">'B6'!$I$10</definedName>
    <definedName name="PermVarBenChg" localSheetId="0">'TAAE|0001-00'!$M$10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3">'B6'!$A$1:$N$81</definedName>
    <definedName name="_xlnm.Print_Area" localSheetId="2">Benefits!$A$1:$G$36</definedName>
    <definedName name="_xlnm.Print_Area" localSheetId="0">'TAAE|0001-00'!$A$1:$N$81</definedName>
    <definedName name="Prog_Unadjusted_Total" localSheetId="0">'TAAE|0001-00'!$C$8:$N$16</definedName>
    <definedName name="Prog_Unadjusted_Total">'B6'!$C$8:$N$16</definedName>
    <definedName name="Program" localSheetId="0">'TAAE|0001-00'!$D$3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'TAAE|0001-00'!$G$52</definedName>
    <definedName name="RoundedAppropSalary">'B6'!$G$52</definedName>
    <definedName name="SalaryChg" localSheetId="0">'TAAE|0001-00'!$K$10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'TAAE|0001-00'!#REF!</definedName>
    <definedName name="SubCECBase">'B6'!#REF!</definedName>
    <definedName name="TAAE000100col_1_27TH_PP">Data!$BA$11</definedName>
    <definedName name="TAAE000100col_DHR">Data!$BI$11</definedName>
    <definedName name="TAAE000100col_DHR_BY">Data!$BU$11</definedName>
    <definedName name="TAAE000100col_DHR_CHG">Data!$CG$11</definedName>
    <definedName name="TAAE000100col_FTI_SALARY_ELECT">Data!$AZ$11</definedName>
    <definedName name="TAAE000100col_FTI_SALARY_PERM">Data!$AY$11</definedName>
    <definedName name="TAAE000100col_FTI_SALARY_SSDI">Data!$AX$11</definedName>
    <definedName name="TAAE000100col_Group_Ben">Data!$CM$11</definedName>
    <definedName name="TAAE000100col_Group_Salary">Data!$CL$11</definedName>
    <definedName name="TAAE000100col_HEALTH_ELECT">Data!$BC$11</definedName>
    <definedName name="TAAE000100col_HEALTH_ELECT_BY">Data!$BO$11</definedName>
    <definedName name="TAAE000100col_HEALTH_ELECT_CHG">Data!$CA$11</definedName>
    <definedName name="TAAE000100col_HEALTH_PERM">Data!$BB$11</definedName>
    <definedName name="TAAE000100col_HEALTH_PERM_BY">Data!$BN$11</definedName>
    <definedName name="TAAE000100col_HEALTH_PERM_CHG">Data!$BZ$11</definedName>
    <definedName name="TAAE000100col_INC_FTI">Data!$AS$11</definedName>
    <definedName name="TAAE000100col_LIFE_INS">Data!$BG$11</definedName>
    <definedName name="TAAE000100col_LIFE_INS_BY">Data!$BS$11</definedName>
    <definedName name="TAAE000100col_LIFE_INS_CHG">Data!$CE$11</definedName>
    <definedName name="TAAE000100col_RETIREMENT">Data!$BF$11</definedName>
    <definedName name="TAAE000100col_RETIREMENT_BY">Data!$BR$11</definedName>
    <definedName name="TAAE000100col_RETIREMENT_CHG">Data!$CD$11</definedName>
    <definedName name="TAAE000100col_ROWS_PER_PCN">Data!$AW$11</definedName>
    <definedName name="TAAE000100col_SICK">Data!$BK$11</definedName>
    <definedName name="TAAE000100col_SICK_BY">Data!$BW$11</definedName>
    <definedName name="TAAE000100col_SICK_CHG">Data!$CI$11</definedName>
    <definedName name="TAAE000100col_SSDI">Data!$BD$11</definedName>
    <definedName name="TAAE000100col_SSDI_BY">Data!$BP$11</definedName>
    <definedName name="TAAE000100col_SSDI_CHG">Data!$CB$11</definedName>
    <definedName name="TAAE000100col_SSHI">Data!$BE$11</definedName>
    <definedName name="TAAE000100col_SSHI_BY">Data!$BQ$11</definedName>
    <definedName name="TAAE000100col_SSHI_CHGv">Data!$CC$11</definedName>
    <definedName name="TAAE000100col_TOT_VB_ELECT">Data!$BM$11</definedName>
    <definedName name="TAAE000100col_TOT_VB_ELECT_BY">Data!$BY$11</definedName>
    <definedName name="TAAE000100col_TOT_VB_ELECT_CHG">Data!$CK$11</definedName>
    <definedName name="TAAE000100col_TOT_VB_PERM">Data!$BL$11</definedName>
    <definedName name="TAAE000100col_TOT_VB_PERM_BY">Data!$BX$11</definedName>
    <definedName name="TAAE000100col_TOT_VB_PERM_CHG">Data!$CJ$11</definedName>
    <definedName name="TAAE000100col_TOTAL_ELECT_PCN_FTI">Data!$AT$11</definedName>
    <definedName name="TAAE000100col_TOTAL_ELECT_PCN_FTI_ALT">Data!$AV$11</definedName>
    <definedName name="TAAE000100col_TOTAL_PERM_PCN_FTI">Data!$AU$11</definedName>
    <definedName name="TAAE000100col_UNEMP_INS">Data!$BH$11</definedName>
    <definedName name="TAAE000100col_UNEMP_INS_BY">Data!$BT$11</definedName>
    <definedName name="TAAE000100col_UNEMP_INS_CHG">Data!$CF$11</definedName>
    <definedName name="TAAE000100col_WORKERS_COMP">Data!$BJ$11</definedName>
    <definedName name="TAAE000100col_WORKERS_COMP_BY">Data!$BV$11</definedName>
    <definedName name="TAAE000100col_WORKERS_COMP_CHG">Data!$CH$11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J10" i="11"/>
  <c r="K10" i="11"/>
  <c r="L10" i="11"/>
  <c r="M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J13" i="11"/>
  <c r="K13" i="11"/>
  <c r="L13" i="11"/>
  <c r="M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K19" i="11"/>
  <c r="L19" i="11"/>
  <c r="AZ30" i="5"/>
  <c r="AY30" i="5"/>
  <c r="AW30" i="5"/>
  <c r="AV30" i="5"/>
  <c r="AU30" i="5"/>
  <c r="AT30" i="5"/>
  <c r="AS30" i="5"/>
  <c r="BA28" i="5"/>
  <c r="AZ28" i="5"/>
  <c r="AY28" i="5"/>
  <c r="AX28" i="5"/>
  <c r="AW28" i="5"/>
  <c r="AV28" i="5"/>
  <c r="AU28" i="5"/>
  <c r="AT28" i="5"/>
  <c r="AS28" i="5"/>
  <c r="AZ22" i="5"/>
  <c r="AY22" i="5"/>
  <c r="AW22" i="5"/>
  <c r="AV22" i="5"/>
  <c r="AU22" i="5"/>
  <c r="AT22" i="5"/>
  <c r="AS22" i="5"/>
  <c r="AZ26" i="5"/>
  <c r="AW26" i="5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N33" i="12" s="1"/>
  <c r="L33" i="12"/>
  <c r="J33" i="12"/>
  <c r="I33" i="12"/>
  <c r="H33" i="12"/>
  <c r="M32" i="12"/>
  <c r="N32" i="12" s="1"/>
  <c r="L32" i="12"/>
  <c r="J32" i="12"/>
  <c r="I32" i="12"/>
  <c r="H32" i="12"/>
  <c r="M30" i="12"/>
  <c r="L30" i="12"/>
  <c r="J30" i="12"/>
  <c r="I30" i="12"/>
  <c r="H30" i="12"/>
  <c r="M29" i="12"/>
  <c r="L29" i="12"/>
  <c r="N29" i="12" s="1"/>
  <c r="J29" i="12"/>
  <c r="I29" i="12"/>
  <c r="H29" i="12"/>
  <c r="M28" i="12"/>
  <c r="N28" i="12" s="1"/>
  <c r="L28" i="12"/>
  <c r="J28" i="12"/>
  <c r="I28" i="12"/>
  <c r="H28" i="12"/>
  <c r="N27" i="12"/>
  <c r="M27" i="12"/>
  <c r="L27" i="12"/>
  <c r="J27" i="12"/>
  <c r="I27" i="12"/>
  <c r="H27" i="12"/>
  <c r="M26" i="12"/>
  <c r="L26" i="12"/>
  <c r="N26" i="12" s="1"/>
  <c r="J26" i="12"/>
  <c r="I26" i="12"/>
  <c r="H26" i="12"/>
  <c r="M25" i="12"/>
  <c r="L25" i="12"/>
  <c r="N25" i="12" s="1"/>
  <c r="J25" i="12"/>
  <c r="I25" i="12"/>
  <c r="H25" i="12"/>
  <c r="M24" i="12"/>
  <c r="N24" i="12" s="1"/>
  <c r="L24" i="12"/>
  <c r="J24" i="12"/>
  <c r="I24" i="12"/>
  <c r="H24" i="12"/>
  <c r="M23" i="12"/>
  <c r="N23" i="12" s="1"/>
  <c r="L23" i="12"/>
  <c r="J23" i="12"/>
  <c r="I23" i="12"/>
  <c r="H23" i="12"/>
  <c r="M22" i="12"/>
  <c r="L22" i="12"/>
  <c r="N22" i="12" s="1"/>
  <c r="J22" i="12"/>
  <c r="I22" i="12"/>
  <c r="H22" i="12"/>
  <c r="M21" i="12"/>
  <c r="L21" i="12"/>
  <c r="J21" i="12"/>
  <c r="I21" i="12"/>
  <c r="H21" i="12"/>
  <c r="M20" i="12"/>
  <c r="N20" i="12" s="1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2" i="5"/>
  <c r="CM3" i="5"/>
  <c r="CM4" i="5"/>
  <c r="CM5" i="5"/>
  <c r="CM6" i="5"/>
  <c r="CM7" i="5"/>
  <c r="CM2" i="5"/>
  <c r="CL3" i="5"/>
  <c r="CL4" i="5"/>
  <c r="CL5" i="5"/>
  <c r="CL6" i="5"/>
  <c r="CL7" i="5"/>
  <c r="CL2" i="5"/>
  <c r="CL10" i="5" s="1"/>
  <c r="CL11" i="5" s="1"/>
  <c r="AW7" i="5"/>
  <c r="AW6" i="5"/>
  <c r="AW5" i="5"/>
  <c r="AW4" i="5"/>
  <c r="AW3" i="5"/>
  <c r="AW10" i="5" s="1"/>
  <c r="AW11" i="5" s="1"/>
  <c r="AW2" i="5"/>
  <c r="AT5" i="5"/>
  <c r="BY5" i="5" s="1"/>
  <c r="AS3" i="5"/>
  <c r="AX3" i="5" s="1"/>
  <c r="AS4" i="5"/>
  <c r="AX4" i="5" s="1"/>
  <c r="AS5" i="5"/>
  <c r="AX5" i="5" s="1"/>
  <c r="AS6" i="5"/>
  <c r="AX6" i="5" s="1"/>
  <c r="AS7" i="5"/>
  <c r="AT7" i="5" s="1"/>
  <c r="AS2" i="5"/>
  <c r="AX2" i="5" s="1"/>
  <c r="N30" i="12" l="1"/>
  <c r="N34" i="12"/>
  <c r="N21" i="12"/>
  <c r="N35" i="12"/>
  <c r="AT2" i="5"/>
  <c r="G11" i="12"/>
  <c r="E5" i="10"/>
  <c r="CM10" i="5"/>
  <c r="CM11" i="5" s="1"/>
  <c r="AT4" i="5"/>
  <c r="BT4" i="5" s="1"/>
  <c r="AY25" i="5"/>
  <c r="AY26" i="5" s="1"/>
  <c r="AT19" i="5"/>
  <c r="AT20" i="5" s="1"/>
  <c r="BA25" i="5"/>
  <c r="AU19" i="5"/>
  <c r="AU20" i="5" s="1"/>
  <c r="AT25" i="5"/>
  <c r="AU25" i="5"/>
  <c r="AU26" i="5" s="1"/>
  <c r="AV25" i="5"/>
  <c r="AX25" i="5"/>
  <c r="AX26" i="5" s="1"/>
  <c r="BA26" i="5"/>
  <c r="AT26" i="5"/>
  <c r="N39" i="12"/>
  <c r="F52" i="12"/>
  <c r="F56" i="12" s="1"/>
  <c r="F60" i="12" s="1"/>
  <c r="CJ7" i="5"/>
  <c r="AZ7" i="5"/>
  <c r="AU7" i="5"/>
  <c r="BN7" i="5" s="1"/>
  <c r="CC7" i="5"/>
  <c r="BY7" i="5"/>
  <c r="BW7" i="5"/>
  <c r="BS7" i="5"/>
  <c r="BI7" i="5"/>
  <c r="BE7" i="5"/>
  <c r="BA7" i="5"/>
  <c r="CG7" i="5"/>
  <c r="CD7" i="5"/>
  <c r="BZ7" i="5"/>
  <c r="BT7" i="5"/>
  <c r="BF7" i="5"/>
  <c r="CI7" i="5"/>
  <c r="AY7" i="5"/>
  <c r="BJ7" i="5"/>
  <c r="AV7" i="5"/>
  <c r="BC7" i="5" s="1"/>
  <c r="CK7" i="5"/>
  <c r="BX7" i="5"/>
  <c r="CE7" i="5"/>
  <c r="CA7" i="5"/>
  <c r="BU7" i="5"/>
  <c r="BQ7" i="5"/>
  <c r="BM7" i="5"/>
  <c r="BK7" i="5"/>
  <c r="BG7" i="5"/>
  <c r="CH7" i="5"/>
  <c r="CF7" i="5"/>
  <c r="BV7" i="5"/>
  <c r="BR7" i="5"/>
  <c r="BH7" i="5"/>
  <c r="BL7" i="5"/>
  <c r="AV2" i="5"/>
  <c r="AZ2" i="5"/>
  <c r="BH2" i="5"/>
  <c r="BV2" i="5"/>
  <c r="CF2" i="5"/>
  <c r="CG5" i="5"/>
  <c r="AT3" i="5"/>
  <c r="AX7" i="5"/>
  <c r="BD7" i="5" s="1"/>
  <c r="BA5" i="5"/>
  <c r="BP5" i="5" s="1"/>
  <c r="BE5" i="5"/>
  <c r="BS5" i="5"/>
  <c r="BW5" i="5"/>
  <c r="CC5" i="5"/>
  <c r="AU2" i="5"/>
  <c r="BN2" i="5" s="1"/>
  <c r="AV4" i="5"/>
  <c r="BC4" i="5" s="1"/>
  <c r="AY2" i="5"/>
  <c r="BA4" i="5"/>
  <c r="BP4" i="5" s="1"/>
  <c r="BC2" i="5"/>
  <c r="BE4" i="5"/>
  <c r="BG2" i="5"/>
  <c r="BK2" i="5"/>
  <c r="BM2" i="5"/>
  <c r="BQ2" i="5"/>
  <c r="BS4" i="5"/>
  <c r="BU2" i="5"/>
  <c r="BW4" i="5"/>
  <c r="CA2" i="5"/>
  <c r="CC4" i="5"/>
  <c r="CE2" i="5"/>
  <c r="AZ5" i="5"/>
  <c r="BD5" i="5"/>
  <c r="BH5" i="5"/>
  <c r="BR5" i="5"/>
  <c r="BV5" i="5"/>
  <c r="CF5" i="5"/>
  <c r="CI2" i="5"/>
  <c r="CK2" i="5"/>
  <c r="BD4" i="5"/>
  <c r="BJ2" i="5"/>
  <c r="BT2" i="5"/>
  <c r="BQ5" i="5"/>
  <c r="CE5" i="5"/>
  <c r="AV5" i="5"/>
  <c r="BO5" i="5" s="1"/>
  <c r="AU4" i="5"/>
  <c r="BB4" i="5" s="1"/>
  <c r="AZ4" i="5"/>
  <c r="BB2" i="5"/>
  <c r="BF2" i="5"/>
  <c r="BR4" i="5"/>
  <c r="BV4" i="5"/>
  <c r="CD2" i="5"/>
  <c r="AU5" i="5"/>
  <c r="BB5" i="5" s="1"/>
  <c r="AY5" i="5"/>
  <c r="BG5" i="5"/>
  <c r="BK5" i="5"/>
  <c r="BM5" i="5"/>
  <c r="BU5" i="5"/>
  <c r="CA5" i="5"/>
  <c r="AT6" i="5"/>
  <c r="AS10" i="5" s="1"/>
  <c r="AS11" i="5" s="1"/>
  <c r="AY4" i="5"/>
  <c r="BA2" i="5"/>
  <c r="BE2" i="5"/>
  <c r="BI2" i="5"/>
  <c r="BK4" i="5"/>
  <c r="BO2" i="5"/>
  <c r="BQ4" i="5"/>
  <c r="BS2" i="5"/>
  <c r="BU4" i="5"/>
  <c r="BW2" i="5"/>
  <c r="BY2" i="5"/>
  <c r="CA4" i="5"/>
  <c r="CC2" i="5"/>
  <c r="CE4" i="5"/>
  <c r="CI5" i="5"/>
  <c r="CK5" i="5"/>
  <c r="BF5" i="5"/>
  <c r="BJ5" i="5"/>
  <c r="BT5" i="5"/>
  <c r="CD5" i="5"/>
  <c r="CI4" i="5"/>
  <c r="CK4" i="5"/>
  <c r="BD2" i="5"/>
  <c r="BJ4" i="5"/>
  <c r="BR2" i="5"/>
  <c r="CD4" i="5"/>
  <c r="BF4" i="5"/>
  <c r="BI5" i="5"/>
  <c r="C12" i="7"/>
  <c r="G63" i="12" s="1"/>
  <c r="I63" i="12" s="1"/>
  <c r="C13" i="7"/>
  <c r="C14" i="7"/>
  <c r="E51" i="9"/>
  <c r="BN5" i="5" l="1"/>
  <c r="BZ5" i="5" s="1"/>
  <c r="CB5" i="5"/>
  <c r="AS19" i="5"/>
  <c r="AS20" i="5" s="1"/>
  <c r="BC5" i="5"/>
  <c r="G39" i="12"/>
  <c r="AA11" i="12"/>
  <c r="BM4" i="5"/>
  <c r="BO4" i="5"/>
  <c r="AV26" i="5"/>
  <c r="F10" i="12"/>
  <c r="D4" i="10"/>
  <c r="BG4" i="5"/>
  <c r="BH4" i="5"/>
  <c r="CF4" i="5"/>
  <c r="BY4" i="5"/>
  <c r="BI4" i="5"/>
  <c r="BL4" i="5" s="1"/>
  <c r="AB11" i="12"/>
  <c r="I11" i="12"/>
  <c r="I39" i="12" s="1"/>
  <c r="AB39" i="12" s="1"/>
  <c r="G5" i="10"/>
  <c r="H5" i="10" s="1"/>
  <c r="F67" i="12"/>
  <c r="BZ2" i="5"/>
  <c r="CB4" i="5"/>
  <c r="BX4" i="5"/>
  <c r="AX10" i="5"/>
  <c r="AX11" i="5" s="1"/>
  <c r="BB7" i="5"/>
  <c r="BN4" i="5"/>
  <c r="BZ4" i="5" s="1"/>
  <c r="BP7" i="5"/>
  <c r="CB7" i="5" s="1"/>
  <c r="BO7" i="5"/>
  <c r="BL6" i="5"/>
  <c r="BI6" i="5"/>
  <c r="BA6" i="5"/>
  <c r="BP6" i="5" s="1"/>
  <c r="BW6" i="5"/>
  <c r="CG6" i="5"/>
  <c r="CD6" i="5"/>
  <c r="BZ6" i="5"/>
  <c r="BT6" i="5"/>
  <c r="BJ6" i="5"/>
  <c r="BF6" i="5"/>
  <c r="AU6" i="5"/>
  <c r="BB6" i="5" s="1"/>
  <c r="CK6" i="5"/>
  <c r="CI6" i="5"/>
  <c r="BX6" i="5"/>
  <c r="CE6" i="5"/>
  <c r="CA6" i="5"/>
  <c r="BU6" i="5"/>
  <c r="BM6" i="5"/>
  <c r="AV6" i="5"/>
  <c r="BC6" i="5" s="1"/>
  <c r="BQ6" i="5"/>
  <c r="BK6" i="5"/>
  <c r="BG6" i="5"/>
  <c r="AY6" i="5"/>
  <c r="CJ6" i="5"/>
  <c r="CH6" i="5"/>
  <c r="CF6" i="5"/>
  <c r="BV6" i="5"/>
  <c r="BR6" i="5"/>
  <c r="BH6" i="5"/>
  <c r="BD6" i="5"/>
  <c r="AZ6" i="5"/>
  <c r="CC6" i="5"/>
  <c r="BY6" i="5"/>
  <c r="BS6" i="5"/>
  <c r="BE6" i="5"/>
  <c r="CD3" i="5"/>
  <c r="BT3" i="5"/>
  <c r="BT10" i="5" s="1"/>
  <c r="BT11" i="5" s="1"/>
  <c r="BF3" i="5"/>
  <c r="BG3" i="5"/>
  <c r="CE3" i="5"/>
  <c r="CE10" i="5" s="1"/>
  <c r="CE11" i="5" s="1"/>
  <c r="CA3" i="5"/>
  <c r="CA10" i="5" s="1"/>
  <c r="CA11" i="5" s="1"/>
  <c r="BU3" i="5"/>
  <c r="BQ3" i="5"/>
  <c r="BM3" i="5"/>
  <c r="BK3" i="5"/>
  <c r="BK10" i="5" s="1"/>
  <c r="BK11" i="5" s="1"/>
  <c r="CF3" i="5"/>
  <c r="CF10" i="5" s="1"/>
  <c r="CF11" i="5" s="1"/>
  <c r="BR3" i="5"/>
  <c r="BR10" i="5" s="1"/>
  <c r="BR11" i="5" s="1"/>
  <c r="BH3" i="5"/>
  <c r="BH10" i="5" s="1"/>
  <c r="BH11" i="5" s="1"/>
  <c r="BI3" i="5"/>
  <c r="AU3" i="5"/>
  <c r="BV3" i="5"/>
  <c r="BD3" i="5"/>
  <c r="AZ3" i="5"/>
  <c r="AZ10" i="5" s="1"/>
  <c r="AZ11" i="5" s="1"/>
  <c r="CC3" i="5"/>
  <c r="BY3" i="5"/>
  <c r="BY10" i="5" s="1"/>
  <c r="BY11" i="5" s="1"/>
  <c r="BW3" i="5"/>
  <c r="BW10" i="5" s="1"/>
  <c r="BW11" i="5" s="1"/>
  <c r="BS3" i="5"/>
  <c r="BE3" i="5"/>
  <c r="BA3" i="5"/>
  <c r="BA10" i="5" s="1"/>
  <c r="BA11" i="5" s="1"/>
  <c r="BJ3" i="5"/>
  <c r="AV3" i="5"/>
  <c r="BO3" i="5" s="1"/>
  <c r="CK3" i="5"/>
  <c r="CK10" i="5" s="1"/>
  <c r="CK11" i="5" s="1"/>
  <c r="CI3" i="5"/>
  <c r="CI10" i="5" s="1"/>
  <c r="CI11" i="5" s="1"/>
  <c r="AY3" i="5"/>
  <c r="AY19" i="5" s="1"/>
  <c r="AY20" i="5" s="1"/>
  <c r="AT10" i="5"/>
  <c r="AT11" i="5" s="1"/>
  <c r="BP2" i="5"/>
  <c r="BX5" i="5"/>
  <c r="BL2" i="5"/>
  <c r="BL5" i="5"/>
  <c r="D14" i="7"/>
  <c r="BD10" i="5" l="1"/>
  <c r="BD11" i="5" s="1"/>
  <c r="BF10" i="5"/>
  <c r="BF11" i="5" s="1"/>
  <c r="BI10" i="5"/>
  <c r="BI11" i="5" s="1"/>
  <c r="BG10" i="5"/>
  <c r="BG11" i="5" s="1"/>
  <c r="G12" i="12"/>
  <c r="E6" i="10"/>
  <c r="BC3" i="5"/>
  <c r="BC10" i="5" s="1"/>
  <c r="BC11" i="5" s="1"/>
  <c r="M12" i="12"/>
  <c r="M40" i="12" s="1"/>
  <c r="K6" i="10"/>
  <c r="AV10" i="5"/>
  <c r="AV11" i="5" s="1"/>
  <c r="L12" i="12"/>
  <c r="J6" i="10"/>
  <c r="AA39" i="12"/>
  <c r="J39" i="12"/>
  <c r="BM10" i="5"/>
  <c r="BM11" i="5" s="1"/>
  <c r="AU10" i="5"/>
  <c r="AU11" i="5" s="1"/>
  <c r="BE10" i="5"/>
  <c r="BE11" i="5" s="1"/>
  <c r="BN6" i="5"/>
  <c r="J11" i="12"/>
  <c r="K10" i="12"/>
  <c r="I4" i="10"/>
  <c r="F12" i="12"/>
  <c r="F40" i="12" s="1"/>
  <c r="D6" i="10"/>
  <c r="D7" i="10" s="1"/>
  <c r="D10" i="10" s="1"/>
  <c r="AY10" i="5"/>
  <c r="AY11" i="5" s="1"/>
  <c r="AV19" i="5"/>
  <c r="AV20" i="5" s="1"/>
  <c r="BS10" i="5"/>
  <c r="BS11" i="5" s="1"/>
  <c r="BO6" i="5"/>
  <c r="F38" i="12"/>
  <c r="AB45" i="12"/>
  <c r="BJ10" i="5"/>
  <c r="BJ11" i="5" s="1"/>
  <c r="CB6" i="5"/>
  <c r="F75" i="12"/>
  <c r="F80" i="12" s="1"/>
  <c r="CD10" i="5"/>
  <c r="CD11" i="5" s="1"/>
  <c r="BO10" i="5"/>
  <c r="BO11" i="5" s="1"/>
  <c r="BQ10" i="5"/>
  <c r="BQ11" i="5" s="1"/>
  <c r="BU10" i="5"/>
  <c r="BU11" i="5" s="1"/>
  <c r="CC10" i="5"/>
  <c r="CC11" i="5" s="1"/>
  <c r="BV10" i="5"/>
  <c r="BV11" i="5" s="1"/>
  <c r="BB3" i="5"/>
  <c r="BP3" i="5"/>
  <c r="BP10" i="5" s="1"/>
  <c r="BP11" i="5" s="1"/>
  <c r="BN3" i="5"/>
  <c r="CB2" i="5"/>
  <c r="BX2" i="5"/>
  <c r="BL3" i="5"/>
  <c r="BL10" i="5" s="1"/>
  <c r="BL11" i="5" s="1"/>
  <c r="AB10" i="9"/>
  <c r="F41" i="12" l="1"/>
  <c r="F44" i="12" s="1"/>
  <c r="L6" i="10"/>
  <c r="AX19" i="5"/>
  <c r="AZ19" i="5"/>
  <c r="AZ20" i="5" s="1"/>
  <c r="F6" i="10"/>
  <c r="H12" i="12"/>
  <c r="H40" i="12" s="1"/>
  <c r="F43" i="12"/>
  <c r="L40" i="12"/>
  <c r="N40" i="12" s="1"/>
  <c r="N12" i="12"/>
  <c r="G10" i="12"/>
  <c r="E4" i="10"/>
  <c r="BB10" i="5"/>
  <c r="BB11" i="5" s="1"/>
  <c r="AW19" i="5"/>
  <c r="AW20" i="5" s="1"/>
  <c r="I12" i="12"/>
  <c r="I40" i="12" s="1"/>
  <c r="G6" i="10"/>
  <c r="F45" i="12"/>
  <c r="E7" i="10"/>
  <c r="G4" i="10"/>
  <c r="I10" i="12"/>
  <c r="F13" i="12"/>
  <c r="F16" i="12" s="1"/>
  <c r="AC39" i="12"/>
  <c r="AA45" i="12"/>
  <c r="AC45" i="12" s="1"/>
  <c r="G40" i="12"/>
  <c r="BN10" i="5"/>
  <c r="BN11" i="5" s="1"/>
  <c r="BZ3" i="5"/>
  <c r="BZ10" i="5" s="1"/>
  <c r="BZ11" i="5" s="1"/>
  <c r="CB3" i="5"/>
  <c r="CB10" i="5" s="1"/>
  <c r="CB11" i="5" s="1"/>
  <c r="BX3" i="5"/>
  <c r="BX10" i="5" s="1"/>
  <c r="BX11" i="5" s="1"/>
  <c r="AA11" i="9"/>
  <c r="AC11" i="9"/>
  <c r="AA10" i="9"/>
  <c r="AX20" i="5" l="1"/>
  <c r="J8" i="11"/>
  <c r="G7" i="10"/>
  <c r="H6" i="10"/>
  <c r="J12" i="12"/>
  <c r="AA10" i="12"/>
  <c r="G38" i="12"/>
  <c r="G13" i="12"/>
  <c r="BA19" i="5"/>
  <c r="J40" i="12"/>
  <c r="L10" i="12"/>
  <c r="J4" i="10"/>
  <c r="I38" i="12"/>
  <c r="I13" i="12"/>
  <c r="F4" i="10"/>
  <c r="F7" i="10" s="1"/>
  <c r="H10" i="12"/>
  <c r="J10" i="12" s="1"/>
  <c r="AC10" i="9"/>
  <c r="BA20" i="5" l="1"/>
  <c r="M8" i="11"/>
  <c r="AX22" i="5"/>
  <c r="J9" i="11"/>
  <c r="H7" i="10"/>
  <c r="E9" i="10" s="1"/>
  <c r="J7" i="10"/>
  <c r="H4" i="10"/>
  <c r="H38" i="12"/>
  <c r="H41" i="12" s="1"/>
  <c r="H13" i="12"/>
  <c r="J13" i="12"/>
  <c r="H15" i="12" s="1"/>
  <c r="H16" i="12" s="1"/>
  <c r="I41" i="12"/>
  <c r="G41" i="12"/>
  <c r="AA38" i="12"/>
  <c r="AA44" i="12" s="1"/>
  <c r="L13" i="12"/>
  <c r="L38" i="12"/>
  <c r="E73" i="9"/>
  <c r="E72" i="9"/>
  <c r="BA22" i="5" l="1"/>
  <c r="M9" i="11"/>
  <c r="J11" i="11"/>
  <c r="AX30" i="5"/>
  <c r="J19" i="11" s="1"/>
  <c r="F9" i="10"/>
  <c r="F10" i="10" s="1"/>
  <c r="I51" i="12"/>
  <c r="L41" i="12"/>
  <c r="J38" i="12"/>
  <c r="J41" i="12" s="1"/>
  <c r="H51" i="12" s="1"/>
  <c r="G15" i="12"/>
  <c r="G9" i="10"/>
  <c r="G10" i="10" s="1"/>
  <c r="E10" i="10"/>
  <c r="J79" i="9"/>
  <c r="J78" i="9"/>
  <c r="J77" i="9"/>
  <c r="M11" i="11" l="1"/>
  <c r="BA30" i="5"/>
  <c r="M19" i="11" s="1"/>
  <c r="H9" i="10"/>
  <c r="H10" i="10" s="1"/>
  <c r="G51" i="12"/>
  <c r="G52" i="12" s="1"/>
  <c r="G56" i="12" s="1"/>
  <c r="G60" i="12" s="1"/>
  <c r="I52" i="12"/>
  <c r="I56" i="12" s="1"/>
  <c r="I60" i="12" s="1"/>
  <c r="I43" i="12"/>
  <c r="H43" i="12"/>
  <c r="H52" i="12"/>
  <c r="H56" i="12" s="1"/>
  <c r="H60" i="12" s="1"/>
  <c r="G16" i="12"/>
  <c r="I15" i="12"/>
  <c r="I16" i="12" s="1"/>
  <c r="H63" i="9"/>
  <c r="J51" i="12" l="1"/>
  <c r="J52" i="12" s="1"/>
  <c r="J56" i="12" s="1"/>
  <c r="J60" i="12" s="1"/>
  <c r="J67" i="12" s="1"/>
  <c r="M72" i="12" s="1"/>
  <c r="G43" i="12"/>
  <c r="J43" i="12" s="1"/>
  <c r="K43" i="12" s="1"/>
  <c r="H44" i="12"/>
  <c r="H67" i="12"/>
  <c r="G67" i="12"/>
  <c r="G44" i="12"/>
  <c r="O72" i="12"/>
  <c r="H68" i="12"/>
  <c r="J68" i="12" s="1"/>
  <c r="J15" i="12"/>
  <c r="J16" i="12" s="1"/>
  <c r="I44" i="12"/>
  <c r="I67" i="12"/>
  <c r="I45" i="12" s="1"/>
  <c r="K8" i="9"/>
  <c r="G72" i="12" l="1"/>
  <c r="G73" i="12"/>
  <c r="I73" i="12" s="1"/>
  <c r="J73" i="12" s="1"/>
  <c r="H45" i="12"/>
  <c r="H75" i="12"/>
  <c r="H80" i="12" s="1"/>
  <c r="J44" i="12"/>
  <c r="K44" i="12" s="1"/>
  <c r="L16" i="12"/>
  <c r="J10" i="10"/>
  <c r="G45" i="12"/>
  <c r="J45" i="12" s="1"/>
  <c r="I35" i="9"/>
  <c r="G63" i="9"/>
  <c r="I63" i="9" s="1"/>
  <c r="G75" i="12" l="1"/>
  <c r="G80" i="12" s="1"/>
  <c r="K45" i="12"/>
  <c r="K46" i="12"/>
  <c r="K50" i="9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s="1"/>
  <c r="J72" i="12" s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3" i="5" l="1"/>
  <c r="CH4" i="5"/>
  <c r="CH5" i="5"/>
  <c r="CJ5" i="5" s="1"/>
  <c r="CH2" i="5"/>
  <c r="CH10" i="5" s="1"/>
  <c r="CH11" i="5" s="1"/>
  <c r="CG3" i="5"/>
  <c r="CG4" i="5"/>
  <c r="CG2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2" i="5" l="1"/>
  <c r="CG10" i="5"/>
  <c r="CG11" i="5" s="1"/>
  <c r="CJ4" i="5"/>
  <c r="CJ3" i="5"/>
  <c r="F80" i="9"/>
  <c r="F45" i="9"/>
  <c r="N22" i="9"/>
  <c r="N21" i="9"/>
  <c r="H51" i="9"/>
  <c r="I51" i="9"/>
  <c r="G51" i="9"/>
  <c r="G43" i="9" s="1"/>
  <c r="CJ10" i="5" l="1"/>
  <c r="CJ11" i="5" s="1"/>
  <c r="M10" i="12" s="1"/>
  <c r="K4" i="10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K7" i="10" l="1"/>
  <c r="L4" i="10"/>
  <c r="L7" i="10" s="1"/>
  <c r="M13" i="12"/>
  <c r="M38" i="12"/>
  <c r="AB10" i="12"/>
  <c r="AC10" i="12" s="1"/>
  <c r="N10" i="12"/>
  <c r="N13" i="12" s="1"/>
  <c r="H44" i="9"/>
  <c r="N41" i="9"/>
  <c r="N38" i="9"/>
  <c r="J43" i="9"/>
  <c r="K43" i="9" s="1"/>
  <c r="I44" i="9"/>
  <c r="I67" i="9"/>
  <c r="M41" i="12" l="1"/>
  <c r="AB38" i="12"/>
  <c r="N38" i="12"/>
  <c r="I45" i="9"/>
  <c r="J44" i="9"/>
  <c r="K44" i="9" s="1"/>
  <c r="AC38" i="12" l="1"/>
  <c r="AB44" i="12"/>
  <c r="AC44" i="12" s="1"/>
  <c r="N41" i="12"/>
  <c r="I69" i="12"/>
  <c r="J67" i="9"/>
  <c r="J69" i="12" l="1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4A5A08A4-B17E-441A-805D-EBFB59858E13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DAD36848-7D33-4FB1-A05D-05DDDB0C45D1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3EC5B00E-A724-40B8-9E9F-C1D9EDE1D56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26972D1C-344B-4405-A3EE-A638E97B4D7D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F226DB47-ED43-4D4B-9C90-660057F8B2EC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7C4E193-3B56-4D78-BAAD-B257DCC4A998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F7256BA-CF23-4631-8938-43CD28ED19B8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9C6A5B9-3BBA-431F-A344-CDE0DF808CE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D0238D63-88BD-468C-9F45-0E5F29973A15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C5F657DF-B55A-4FFF-AE93-95B348743CF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<sst xmlns="http://schemas.openxmlformats.org/spreadsheetml/2006/main" count="502" uniqueCount="284">
  <si>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</si>
  <si>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</si>
  <si>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</si>
  <si>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</si>
  <si>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</si>
  <si>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</si>
  <si>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</si>
  <si>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</si>
  <si>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</si>
  <si>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</si>
  <si>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</si>
  <si>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</si>
  <si>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</si>
  <si>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</si>
  <si>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</si>
  <si>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</si>
  <si>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</si>
  <si>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</si>
  <si>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</si>
  <si>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</si>
  <si>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</si>
  <si>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</si>
  <si>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</si>
  <si>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</si>
  <si>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</si>
  <si>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</si>
  <si>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</si>
  <si>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</si>
  <si>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</si>
  <si>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</si>
  <si>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</si>
  <si>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</si>
  <si>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</si>
  <si>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</si>
  <si>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</si>
  <si>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</si>
  <si>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</si>
  <si>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</si>
  <si>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</si>
  <si>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</si>
  <si>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</si>
  <si>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</si>
  <si>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</si>
  <si>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</si>
  <si>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</si>
  <si>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</si>
  <si>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</si>
  <si>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</si>
  <si>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</si>
  <si>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</si>
  <si>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</si>
  <si>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</si>
  <si>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</si>
  <si>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</si>
  <si>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</si>
  <si>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</si>
  <si>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</si>
  <si>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</si>
  <si>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</si>
  <si>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</si>
  <si>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</si>
  <si>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</si>
  <si>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</si>
  <si>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</si>
  <si>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</si>
  <si>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</si>
  <si>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</si>
  <si>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</si>
  <si>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</si>
  <si>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</si>
  <si>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</si>
  <si>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</si>
  <si>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</si>
  <si>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</si>
  <si>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</si>
  <si>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</si>
  <si>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</si>
  <si>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</si>
  <si>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</si>
  <si>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</si>
  <si>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</si>
  <si>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</si>
  <si>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</si>
  <si>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</si>
  <si>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</si>
  <si>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</si>
  <si>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</si>
  <si>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</si>
  <si>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</si>
  <si>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</si>
  <si>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</si>
  <si>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</si>
  <si>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</si>
  <si>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</si>
  <si>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</si>
  <si>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</si>
  <si>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</si>
  <si>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</si>
  <si>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</si>
  <si>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</si>
  <si>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</si>
  <si>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</si>
  <si>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</si>
  <si>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</si>
  <si>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</si>
  <si>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</si>
  <si>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</si>
  <si>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</si>
  <si>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</si>
  <si>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</si>
  <si>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</si>
  <si>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</si>
  <si>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</si>
  <si>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</si>
  <si>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</si>
  <si>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</si>
  <si>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</si>
  <si>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</si>
  <si>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</si>
  <si>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</si>
  <si>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</si>
  <si>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</si>
  <si>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</si>
  <si>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</si>
  <si>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</si>
  <si>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</si>
  <si>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</si>
  <si>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</si>
  <si>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</si>
  <si>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</si>
  <si>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</si>
  <si>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</si>
  <si>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</si>
  <si>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</si>
  <si>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</si>
  <si>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</si>
  <si>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</si>
  <si>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</si>
  <si>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</si>
  <si>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</si>
  <si>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</si>
  <si>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</si>
  <si>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</si>
  <si>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</si>
  <si>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</si>
  <si>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</si>
  <si>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</si>
  <si>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</si>
  <si>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</si>
  <si>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</si>
  <si>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</si>
  <si>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</si>
  <si>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</si>
  <si>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</si>
  <si>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</si>
  <si>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</si>
  <si>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</si>
  <si>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</si>
  <si>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</si>
  <si>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</si>
  <si>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</si>
  <si>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</si>
  <si>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351</t>
  </si>
  <si>
    <t>0012</t>
  </si>
  <si>
    <t>APPEALS/HEARINGS TEC</t>
  </si>
  <si>
    <t>0001</t>
  </si>
  <si>
    <t>00</t>
  </si>
  <si>
    <t>TAAE</t>
  </si>
  <si>
    <t>001</t>
  </si>
  <si>
    <t>06008</t>
  </si>
  <si>
    <t>J</t>
  </si>
  <si>
    <t>F</t>
  </si>
  <si>
    <t>CR</t>
  </si>
  <si>
    <t>WHITAKER, RACHEL E.</t>
  </si>
  <si>
    <t>WHITAKER</t>
  </si>
  <si>
    <t>RACHEL</t>
  </si>
  <si>
    <t>ELIZABETH</t>
  </si>
  <si>
    <t xml:space="preserve">HJ   </t>
  </si>
  <si>
    <t>H</t>
  </si>
  <si>
    <t>FS</t>
  </si>
  <si>
    <t>E</t>
  </si>
  <si>
    <t>N</t>
  </si>
  <si>
    <t>Y</t>
  </si>
  <si>
    <t xml:space="preserve">    </t>
  </si>
  <si>
    <t>0010</t>
  </si>
  <si>
    <t xml:space="preserve">LEGAL ASST          </t>
  </si>
  <si>
    <t>05910</t>
  </si>
  <si>
    <t>RIGGS, KARI L.</t>
  </si>
  <si>
    <t>RIGGS</t>
  </si>
  <si>
    <t>KARI</t>
  </si>
  <si>
    <t>LYNN</t>
  </si>
  <si>
    <t>0007</t>
  </si>
  <si>
    <t xml:space="preserve">TAX SPECIALIST      </t>
  </si>
  <si>
    <t>04307</t>
  </si>
  <si>
    <t>VANLITH, TRAVIS G.</t>
  </si>
  <si>
    <t>VANLITH</t>
  </si>
  <si>
    <t>TRAVIS</t>
  </si>
  <si>
    <t>G</t>
  </si>
  <si>
    <t xml:space="preserve">HN   </t>
  </si>
  <si>
    <t>0004</t>
  </si>
  <si>
    <t>DIRECTOR/CLERK TO TH</t>
  </si>
  <si>
    <t>20450</t>
  </si>
  <si>
    <t>NR</t>
  </si>
  <si>
    <t xml:space="preserve">POLLOCK, CYNTHIA </t>
  </si>
  <si>
    <t>POLLOCK</t>
  </si>
  <si>
    <t>CYNTHIA</t>
  </si>
  <si>
    <t xml:space="preserve">              </t>
  </si>
  <si>
    <t>00000</t>
  </si>
  <si>
    <t>9999</t>
  </si>
  <si>
    <t xml:space="preserve">GROUP POSITION      </t>
  </si>
  <si>
    <t>90000</t>
  </si>
  <si>
    <t>V</t>
  </si>
  <si>
    <t>NG</t>
  </si>
  <si>
    <t>9918</t>
  </si>
  <si>
    <t xml:space="preserve">TAX APPEALS BD      </t>
  </si>
  <si>
    <t>50401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</si>
  <si>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</si>
  <si>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</si>
  <si>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</si>
  <si>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</si>
  <si>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</si>
  <si>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</si>
  <si>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</si>
  <si>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</si>
  <si>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</si>
  <si>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</si>
  <si>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</si>
  <si>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</si>
  <si>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</si>
  <si>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</si>
  <si>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</si>
  <si>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</si>
  <si>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</si>
  <si>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</si>
  <si>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</si>
  <si>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</si>
  <si>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</si>
  <si>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</si>
  <si>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</si>
  <si>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</si>
  <si>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</si>
  <si>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</si>
  <si>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</si>
  <si>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</si>
  <si>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</si>
  <si>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</si>
  <si>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</si>
  <si>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</si>
  <si>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</si>
  <si>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</si>
  <si>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</si>
  <si>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</si>
  <si>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</si>
  <si>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</si>
  <si>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</si>
  <si>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</si>
  <si>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</si>
  <si>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</si>
  <si>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</si>
  <si>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</si>
  <si>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</si>
  <si>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</si>
  <si>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</si>
  <si>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</si>
  <si>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TAAE 0001-00</t>
  </si>
  <si>
    <t>TAAE 0001</t>
  </si>
  <si>
    <t>Department of Revenue and Taxation</t>
  </si>
  <si>
    <t>Board of Tax Appeals</t>
  </si>
  <si>
    <t>General</t>
  </si>
  <si>
    <t>0001-00</t>
  </si>
  <si>
    <t>10000</t>
  </si>
  <si>
    <t>Board of Tax Appeals, General   TAAE-0001-00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</si>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</sst>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9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13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2D780-6B3D-406F-83EA-51CFA666EC6C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266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351</v>
      </c>
      <c r="N1" s="468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267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270</v>
      </c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267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268</v>
      </c>
      <c r="J5" s="471"/>
      <c r="K5" s="471"/>
      <c r="L5" s="470"/>
      <c r="M5" s="352" t="s">
        <v>115</v>
      </c>
      <c r="N5" s="32" t="s">
        <v>269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"&amp;'TAAE|0001-00'!FiscalYear-1&amp;" SALARY"</f>
        <v>FY 2022 SALARY</v>
      </c>
      <c r="H8" s="50" t="str">
        <f>"FY "&amp;'TAAE|0001-00'!FiscalYear-1&amp;" HEALTH BENEFITS"</f>
        <v>FY 2022 HEALTH BENEFITS</v>
      </c>
      <c r="I8" s="50" t="str">
        <f>"FY "&amp;'TAAE|0001-00'!FiscalYear-1&amp;" VAR BENEFITS"</f>
        <v>FY 2022 VAR BENEFITS</v>
      </c>
      <c r="J8" s="50" t="str">
        <f>"FY "&amp;'TAAE|0001-00'!FiscalYear-1&amp;" TOTAL"</f>
        <v>FY 2022 TOTAL</v>
      </c>
      <c r="K8" s="50" t="str">
        <f>"FY "&amp;'TAAE|0001-00'!FiscalYear&amp;" SALARY CHANGE"</f>
        <v>FY 2023 SALARY CHANGE</v>
      </c>
      <c r="L8" s="50" t="str">
        <f>"FY "&amp;'TAAE|0001-00'!FiscalYear&amp;" CHG HEALTH BENEFITS"</f>
        <v>FY 2023 CHG HEALTH BENEFITS</v>
      </c>
      <c r="M8" s="50" t="str">
        <f>"FY "&amp;'TAAE|0001-00'!FiscalYear&amp;"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f>[0]!TAAE000100col_INC_FTI</f>
        <v>4</v>
      </c>
      <c r="G10" s="218">
        <f>[0]!TAAE000100col_FTI_SALARY_PERM</f>
        <v>260020.8</v>
      </c>
      <c r="H10" s="218">
        <f>[0]!TAAE000100col_HEALTH_PERM</f>
        <v>46600</v>
      </c>
      <c r="I10" s="218">
        <f>[0]!TAAE000100col_TOT_VB_PERM</f>
        <v>55748.310696</v>
      </c>
      <c r="J10" s="219">
        <f>SUM(G10:I10)</f>
        <v>362369.11069599999</v>
      </c>
      <c r="K10" s="219">
        <f>[0]!TAAE000100col_1_27TH_PP</f>
        <v>0</v>
      </c>
      <c r="L10" s="218">
        <f>[0]!TAAE000100col_HEALTH_PERM_CHG</f>
        <v>0</v>
      </c>
      <c r="M10" s="218">
        <f>[0]!TAAE000100col_TOT_VB_PERM_CHG</f>
        <v>-1430.1143999999999</v>
      </c>
      <c r="N10" s="218">
        <f>SUM(L10:M10)</f>
        <v>-1430.1143999999999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2600</v>
      </c>
      <c r="AB10" s="335">
        <f>ROUND(PermVarBen*CECPerm+(CECPerm*PermVarBenChg),-2)</f>
        <v>500</v>
      </c>
      <c r="AC10" s="335">
        <f>SUM(AA10:AB10)</f>
        <v>3100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f>[0]!TAAE000100col_Group_Salary</f>
        <v>60557.8</v>
      </c>
      <c r="H11" s="218">
        <v>0</v>
      </c>
      <c r="I11" s="218">
        <f>[0]!TAAE000100col_Group_Ben</f>
        <v>4633.17</v>
      </c>
      <c r="J11" s="219">
        <f>SUM(G11:I11)</f>
        <v>65190.97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600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f>[0]!TAAE000100col_TOTAL_ELECT_PCN_FTI</f>
        <v>0</v>
      </c>
      <c r="G12" s="218">
        <f>[0]!TAAE000100col_FTI_SALARY_ELECT</f>
        <v>0</v>
      </c>
      <c r="H12" s="218">
        <f>[0]!TAAE000100col_HEALTH_ELECT</f>
        <v>0</v>
      </c>
      <c r="I12" s="218">
        <f>[0]!TAAE000100col_TOT_VB_ELECT</f>
        <v>0</v>
      </c>
      <c r="J12" s="219">
        <f>SUM(G12:I12)</f>
        <v>0</v>
      </c>
      <c r="K12" s="268"/>
      <c r="L12" s="218">
        <f>[0]!TAAE000100col_HEALTH_ELECT_CHG</f>
        <v>0</v>
      </c>
      <c r="M12" s="218">
        <f>[0]!TAAE000100col_TOT_VB_ELECT_CHG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4</v>
      </c>
      <c r="G13" s="221">
        <f>SUM(G10:G12)</f>
        <v>320578.59999999998</v>
      </c>
      <c r="H13" s="221">
        <f>SUM(H10:H12)</f>
        <v>46600</v>
      </c>
      <c r="I13" s="221">
        <f>SUM(I10:I12)</f>
        <v>60381.480695999999</v>
      </c>
      <c r="J13" s="219">
        <f>SUM(G13:I13)</f>
        <v>427560.08069599996</v>
      </c>
      <c r="K13" s="268"/>
      <c r="L13" s="219">
        <f>SUM(L10:L12)</f>
        <v>0</v>
      </c>
      <c r="M13" s="219">
        <f>SUM(M10:M12)</f>
        <v>-1430.1143999999999</v>
      </c>
      <c r="N13" s="219">
        <f>SUM(N10:N12)</f>
        <v>-1430.1143999999999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"&amp;'TAAE|0001-00'!FiscalYear-1</f>
        <v>FY 2022</v>
      </c>
      <c r="D15" s="158" t="s">
        <v>31</v>
      </c>
      <c r="E15" s="355">
        <v>550600</v>
      </c>
      <c r="F15" s="55">
        <v>5</v>
      </c>
      <c r="G15" s="223">
        <f>IF(OrigApprop=0,0,(G13/$J$13)*OrigApprop)</f>
        <v>412832.21967932268</v>
      </c>
      <c r="H15" s="223">
        <f>IF(OrigApprop=0,0,(H13/$J$13)*OrigApprop)</f>
        <v>60010.186073107936</v>
      </c>
      <c r="I15" s="223">
        <f>IF(G15=0,0,(I13/$J$13)*OrigApprop)</f>
        <v>77757.594247569417</v>
      </c>
      <c r="J15" s="223">
        <f>SUM(G15:I15)</f>
        <v>550600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1</v>
      </c>
      <c r="G16" s="162">
        <f>G15-G13</f>
        <v>92253.619679322699</v>
      </c>
      <c r="H16" s="162">
        <f>H15-H13</f>
        <v>13410.186073107936</v>
      </c>
      <c r="I16" s="162">
        <f>I15-I13</f>
        <v>17376.113551569419</v>
      </c>
      <c r="J16" s="162">
        <f>J15-J13</f>
        <v>123039.91930400004</v>
      </c>
      <c r="K16" s="269"/>
      <c r="L16" s="56" t="str">
        <f>IF('TAAE|0001-00'!OrigApprop=0,"ERROR! Enter Original Appropriation amount in DU 3.00!","Calculated "&amp;IF('TAAE|0001-00'!AdjustedTotal&gt;0,"overfunding ","underfunding ")&amp;"is "&amp;TEXT('TAAE|0001-00'!AdjustedTotal/'TAAE|0001-00'!AppropTotal,"#.0%;(#.0% );0% ;")&amp;" of Original Appropriation")</f>
        <v>Calculated overfunding is 22.3%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4</v>
      </c>
      <c r="G38" s="191">
        <f>SUMIF($E10:$E35,$E38,$G10:$G35)</f>
        <v>260020.8</v>
      </c>
      <c r="H38" s="192">
        <f>SUMIF($E10:$E35,$E38,$H10:$H35)</f>
        <v>46600</v>
      </c>
      <c r="I38" s="192">
        <f>SUMIF($E10:$E35,$E38,$I10:$I35)</f>
        <v>55748.310696</v>
      </c>
      <c r="J38" s="192">
        <f>SUM(G38:I38)</f>
        <v>362369.11069599999</v>
      </c>
      <c r="K38" s="166"/>
      <c r="L38" s="191">
        <f>SUMIF($E10:$E35,$E38,$L10:$L35)</f>
        <v>0</v>
      </c>
      <c r="M38" s="192">
        <f>SUMIF($E10:$E35,$E38,$M10:$M35)</f>
        <v>-1430.1143999999999</v>
      </c>
      <c r="N38" s="192">
        <f>SUM(L38:M38)</f>
        <v>-1430.1143999999999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2600</v>
      </c>
      <c r="AB38" s="338">
        <f>ROUND((AdjPermVB*CECPerm+AdjPermVBBY*CECPerm),-2)</f>
        <v>500</v>
      </c>
      <c r="AC38" s="338">
        <f>SUM(AA38:AB38)</f>
        <v>3100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60557.8</v>
      </c>
      <c r="H39" s="152">
        <f>SUMIF($E10:$E35,$E39,$H10:$H35)</f>
        <v>0</v>
      </c>
      <c r="I39" s="152">
        <f>SUMIF($E10:$E35,$E39,$I10:$I35)</f>
        <v>4633.17</v>
      </c>
      <c r="J39" s="152">
        <f>SUM(G39:I39)</f>
        <v>65190.97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600</v>
      </c>
      <c r="AB39" s="338">
        <f>ROUND(AdjGroupVB*CECGroup,-2)</f>
        <v>0</v>
      </c>
      <c r="AC39" s="338">
        <f>SUM(AA39:AB39)</f>
        <v>600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4</v>
      </c>
      <c r="G41" s="195">
        <f>SUM($G$38:$G$40)</f>
        <v>320578.59999999998</v>
      </c>
      <c r="H41" s="162">
        <f>SUM($H$38:$H$40)</f>
        <v>46600</v>
      </c>
      <c r="I41" s="162">
        <f>SUM($I$38:$I$40)</f>
        <v>60381.480695999999</v>
      </c>
      <c r="J41" s="162">
        <f>SUM($J$38:$J$40)</f>
        <v>427560.08069600002</v>
      </c>
      <c r="K41" s="259"/>
      <c r="L41" s="195">
        <f>SUM($L$38:$L$40)</f>
        <v>0</v>
      </c>
      <c r="M41" s="162">
        <f>SUM($M$38:$M$40)</f>
        <v>-1430.1143999999999</v>
      </c>
      <c r="N41" s="162">
        <f>SUM(L41:M41)</f>
        <v>-1430.1143999999999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1</v>
      </c>
      <c r="G43" s="206">
        <f>ROUND(G51-G41,-2)</f>
        <v>92300</v>
      </c>
      <c r="H43" s="159">
        <f>ROUND(H51-H41,-2)</f>
        <v>13400</v>
      </c>
      <c r="I43" s="159">
        <f>ROUND(I51-I41,-2)</f>
        <v>17400</v>
      </c>
      <c r="J43" s="159">
        <f>SUM(G43:I43)</f>
        <v>123100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overfunding is 22.4%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1</v>
      </c>
      <c r="G44" s="206">
        <f>ROUND(G60-G41,-2)</f>
        <v>92200</v>
      </c>
      <c r="H44" s="159">
        <f>ROUND(H60-H41,-2)</f>
        <v>13400</v>
      </c>
      <c r="I44" s="159">
        <f>ROUND(I60-I41,-2)</f>
        <v>17400</v>
      </c>
      <c r="J44" s="159">
        <f>SUM(G44:I44)</f>
        <v>123000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overfunding is 22.3%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</v>
      </c>
      <c r="G45" s="206">
        <f>ROUND(G67-G41-G63,-2)</f>
        <v>92200</v>
      </c>
      <c r="H45" s="206">
        <f>ROUND(H67-H41-H63,-2)</f>
        <v>13400</v>
      </c>
      <c r="I45" s="206">
        <f>ROUND(I67-I41-I63,-2)</f>
        <v>17400</v>
      </c>
      <c r="J45" s="159">
        <f>SUM(G45:I45)</f>
        <v>123000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22.3%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550600</v>
      </c>
      <c r="F51" s="272">
        <f>AppropFTP</f>
        <v>5</v>
      </c>
      <c r="G51" s="274">
        <f>IF(E51=0,0,(G41/$J$41)*$E$51)</f>
        <v>412832.21967932262</v>
      </c>
      <c r="H51" s="274">
        <f>IF(E51=0,0,(H41/$J$41)*$E$51)</f>
        <v>60010.186073107921</v>
      </c>
      <c r="I51" s="275">
        <f>IF(E51=0,0,(I41/$J$41)*$E$51)</f>
        <v>77757.594247569403</v>
      </c>
      <c r="J51" s="90">
        <f>SUM(G51:I51)</f>
        <v>550600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5</v>
      </c>
      <c r="G52" s="79">
        <f>ROUND(G51,-2)</f>
        <v>412800</v>
      </c>
      <c r="H52" s="79">
        <f>ROUND(H51,-2)</f>
        <v>60000</v>
      </c>
      <c r="I52" s="266">
        <f>ROUND(I51,-2)</f>
        <v>77800</v>
      </c>
      <c r="J52" s="80">
        <f>ROUND(J51,-2)</f>
        <v>550600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5</v>
      </c>
      <c r="G56" s="80">
        <f>SUM(G52:G55)</f>
        <v>412800</v>
      </c>
      <c r="H56" s="80">
        <f>SUM(H52:H55)</f>
        <v>60000</v>
      </c>
      <c r="I56" s="260">
        <f>SUM(I52:I55)</f>
        <v>77800</v>
      </c>
      <c r="J56" s="80">
        <f>SUM(J52:J55)</f>
        <v>550600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5</v>
      </c>
      <c r="G60" s="80">
        <f>SUM(G56:G59)</f>
        <v>412800</v>
      </c>
      <c r="H60" s="80">
        <f>SUM(H56:H59)</f>
        <v>60000</v>
      </c>
      <c r="I60" s="260">
        <f>SUM(I56:I59)</f>
        <v>77800</v>
      </c>
      <c r="J60" s="80">
        <f>SUM(J56:J59)</f>
        <v>550600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5</v>
      </c>
      <c r="G67" s="80">
        <f>SUM(G60:G64)</f>
        <v>412800</v>
      </c>
      <c r="H67" s="80">
        <f>SUM(H60:H64)</f>
        <v>60000</v>
      </c>
      <c r="I67" s="80">
        <f>SUM(I60:I64)</f>
        <v>77800</v>
      </c>
      <c r="J67" s="80">
        <f>SUM(J60:J64)</f>
        <v>550600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-1400</v>
      </c>
      <c r="J69" s="287">
        <f>SUM(G69:I69)</f>
        <v>-1400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2600</v>
      </c>
      <c r="H72" s="287"/>
      <c r="I72" s="287">
        <f>ROUND(($G72*PermVBBY+$G72*Retire1BY),-2)</f>
        <v>500</v>
      </c>
      <c r="J72" s="113">
        <f>SUM(G72:I72)</f>
        <v>3100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600</v>
      </c>
      <c r="H73" s="287"/>
      <c r="I73" s="287">
        <f>ROUND(($G73*GroupVBBY),-2)</f>
        <v>0</v>
      </c>
      <c r="J73" s="113">
        <f t="shared" si="11"/>
        <v>600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5</v>
      </c>
      <c r="G75" s="80">
        <f>SUM(G67:G74)</f>
        <v>416000</v>
      </c>
      <c r="H75" s="80">
        <f>SUM(H67:H74)</f>
        <v>60000</v>
      </c>
      <c r="I75" s="80">
        <f>SUM(I67:I74)</f>
        <v>76900</v>
      </c>
      <c r="J75" s="80">
        <f>SUM(J67:K74)</f>
        <v>552900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5</v>
      </c>
      <c r="G80" s="80">
        <f>SUM(G75:G79)</f>
        <v>416000</v>
      </c>
      <c r="H80" s="80">
        <f>SUM(H75:H79)</f>
        <v>60000</v>
      </c>
      <c r="I80" s="80">
        <f>SUM(I75:I79)</f>
        <v>76900</v>
      </c>
      <c r="J80" s="80">
        <f>SUM(J75:J79)</f>
        <v>552900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0" priority="5">
      <formula>$J$44&lt;0</formula>
    </cfRule>
  </conditionalFormatting>
  <conditionalFormatting sqref="K43">
    <cfRule type="expression" dxfId="9" priority="4">
      <formula>$J$43&lt;0</formula>
    </cfRule>
  </conditionalFormatting>
  <conditionalFormatting sqref="L16">
    <cfRule type="expression" dxfId="8" priority="3">
      <formula>$J$16&lt;0</formula>
    </cfRule>
  </conditionalFormatting>
  <conditionalFormatting sqref="K45">
    <cfRule type="expression" dxfId="7" priority="2">
      <formula>$J$44&lt;0</formula>
    </cfRule>
  </conditionalFormatting>
  <conditionalFormatting sqref="K43:N45">
    <cfRule type="containsText" dxfId="6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C78796-23BB-4BD9-984F-020553AA77F3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30"/>
  <sheetViews>
    <sheetView workbookViewId="0">
      <pane xSplit="3" ySplit="1" topLeftCell="AM12" activePane="bottomRight" state="frozen"/>
      <selection pane="topRight" activeCell="D1" sqref="D1"/>
      <selection pane="bottomLeft" activeCell="A2" sqref="A2"/>
      <selection pane="bottomRight" activeCell="AS19" sqref="AS19:BA30"/>
    </sheetView>
  </sheetViews>
  <sheetFormatPr defaultRowHeight="15" x14ac:dyDescent="0.25"/>
  <cols>
    <col min="45" max="53" width="15.7109375" customWidth="1"/>
    <col min="54" max="54" width="10.5703125" bestFit="1" customWidth="1"/>
    <col min="55" max="55" width="9" bestFit="1" customWidth="1"/>
    <col min="56" max="56" width="10.5703125" bestFit="1" customWidth="1"/>
    <col min="57" max="57" width="9.42578125" bestFit="1" customWidth="1"/>
    <col min="58" max="58" width="10.5703125" bestFit="1" customWidth="1"/>
    <col min="59" max="60" width="9.42578125" bestFit="1" customWidth="1"/>
    <col min="61" max="63" width="9" bestFit="1" customWidth="1"/>
    <col min="64" max="64" width="10.5703125" bestFit="1" customWidth="1"/>
    <col min="65" max="65" width="9" bestFit="1" customWidth="1"/>
    <col min="66" max="66" width="10.5703125" bestFit="1" customWidth="1"/>
    <col min="67" max="67" width="9" bestFit="1" customWidth="1"/>
    <col min="68" max="68" width="10.5703125" bestFit="1" customWidth="1"/>
    <col min="69" max="69" width="9.42578125" bestFit="1" customWidth="1"/>
    <col min="70" max="70" width="10.5703125" bestFit="1" customWidth="1"/>
    <col min="71" max="71" width="9.42578125" bestFit="1" customWidth="1"/>
    <col min="72" max="75" width="9" bestFit="1" customWidth="1"/>
    <col min="76" max="76" width="10.5703125" bestFit="1" customWidth="1"/>
    <col min="77" max="83" width="9" bestFit="1" customWidth="1"/>
    <col min="84" max="84" width="10.140625" bestFit="1" customWidth="1"/>
    <col min="85" max="87" width="9" bestFit="1" customWidth="1"/>
    <col min="88" max="88" width="10.140625" bestFit="1" customWidth="1"/>
    <col min="89" max="89" width="9" bestFit="1" customWidth="1"/>
    <col min="90" max="90" width="10.5703125" bestFit="1" customWidth="1"/>
    <col min="91" max="91" width="9.42578125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5" t="s">
        <v>216</v>
      </c>
      <c r="AT1" s="385" t="s">
        <v>217</v>
      </c>
      <c r="AU1" s="385" t="s">
        <v>218</v>
      </c>
      <c r="AV1" s="385" t="s">
        <v>219</v>
      </c>
      <c r="AW1" s="385" t="s">
        <v>220</v>
      </c>
      <c r="AX1" s="385" t="s">
        <v>221</v>
      </c>
      <c r="AY1" s="385" t="s">
        <v>222</v>
      </c>
      <c r="AZ1" s="385" t="s">
        <v>223</v>
      </c>
      <c r="BA1" s="387" t="s">
        <v>224</v>
      </c>
      <c r="BB1" s="388" t="s">
        <v>225</v>
      </c>
      <c r="BC1" s="388" t="s">
        <v>226</v>
      </c>
      <c r="BD1" s="388" t="s">
        <v>227</v>
      </c>
      <c r="BE1" s="388" t="s">
        <v>228</v>
      </c>
      <c r="BF1" s="388" t="s">
        <v>229</v>
      </c>
      <c r="BG1" s="388" t="s">
        <v>230</v>
      </c>
      <c r="BH1" s="388" t="s">
        <v>231</v>
      </c>
      <c r="BI1" s="388" t="s">
        <v>232</v>
      </c>
      <c r="BJ1" s="388" t="s">
        <v>233</v>
      </c>
      <c r="BK1" s="388" t="s">
        <v>234</v>
      </c>
      <c r="BL1" s="389" t="s">
        <v>235</v>
      </c>
      <c r="BM1" s="389" t="s">
        <v>236</v>
      </c>
      <c r="BN1" s="388" t="s">
        <v>237</v>
      </c>
      <c r="BO1" s="388" t="s">
        <v>238</v>
      </c>
      <c r="BP1" s="388" t="s">
        <v>239</v>
      </c>
      <c r="BQ1" s="388" t="s">
        <v>240</v>
      </c>
      <c r="BR1" s="388" t="s">
        <v>241</v>
      </c>
      <c r="BS1" s="388" t="s">
        <v>242</v>
      </c>
      <c r="BT1" s="388" t="s">
        <v>243</v>
      </c>
      <c r="BU1" s="388" t="s">
        <v>244</v>
      </c>
      <c r="BV1" s="388" t="s">
        <v>245</v>
      </c>
      <c r="BW1" s="388" t="s">
        <v>246</v>
      </c>
      <c r="BX1" s="389" t="s">
        <v>247</v>
      </c>
      <c r="BY1" s="389" t="s">
        <v>248</v>
      </c>
      <c r="BZ1" s="388" t="s">
        <v>249</v>
      </c>
      <c r="CA1" s="388" t="s">
        <v>250</v>
      </c>
      <c r="CB1" s="388" t="s">
        <v>251</v>
      </c>
      <c r="CC1" s="388" t="s">
        <v>252</v>
      </c>
      <c r="CD1" s="388" t="s">
        <v>253</v>
      </c>
      <c r="CE1" s="388" t="s">
        <v>254</v>
      </c>
      <c r="CF1" s="388" t="s">
        <v>255</v>
      </c>
      <c r="CG1" s="388" t="s">
        <v>256</v>
      </c>
      <c r="CH1" s="388" t="s">
        <v>257</v>
      </c>
      <c r="CI1" s="388" t="s">
        <v>258</v>
      </c>
      <c r="CJ1" s="389" t="s">
        <v>259</v>
      </c>
      <c r="CK1" s="389" t="s">
        <v>260</v>
      </c>
      <c r="CL1" s="390" t="s">
        <v>261</v>
      </c>
      <c r="CM1" s="390" t="s">
        <v>262</v>
      </c>
      <c r="CN1" s="390" t="s">
        <v>263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170</v>
      </c>
      <c r="M2" s="376" t="s">
        <v>171</v>
      </c>
      <c r="N2" s="376" t="s">
        <v>172</v>
      </c>
      <c r="O2" s="379">
        <v>1</v>
      </c>
      <c r="P2" s="384">
        <v>1</v>
      </c>
      <c r="Q2" s="384">
        <v>1</v>
      </c>
      <c r="R2" s="380">
        <v>80</v>
      </c>
      <c r="S2" s="384">
        <v>1</v>
      </c>
      <c r="T2" s="380">
        <v>30570.57</v>
      </c>
      <c r="U2" s="380">
        <v>87.26</v>
      </c>
      <c r="V2" s="380">
        <v>18137.86</v>
      </c>
      <c r="W2" s="380">
        <v>38771.199999999997</v>
      </c>
      <c r="X2" s="380">
        <v>20042</v>
      </c>
      <c r="Y2" s="380">
        <v>38771.199999999997</v>
      </c>
      <c r="Z2" s="380">
        <v>19828.77</v>
      </c>
      <c r="AA2" s="376" t="s">
        <v>173</v>
      </c>
      <c r="AB2" s="376" t="s">
        <v>174</v>
      </c>
      <c r="AC2" s="376" t="s">
        <v>175</v>
      </c>
      <c r="AD2" s="376" t="s">
        <v>176</v>
      </c>
      <c r="AE2" s="376" t="s">
        <v>169</v>
      </c>
      <c r="AF2" s="376" t="s">
        <v>177</v>
      </c>
      <c r="AG2" s="376" t="s">
        <v>178</v>
      </c>
      <c r="AH2" s="381">
        <v>18.64</v>
      </c>
      <c r="AI2" s="381">
        <v>2504.5</v>
      </c>
      <c r="AJ2" s="376" t="s">
        <v>179</v>
      </c>
      <c r="AK2" s="376" t="s">
        <v>180</v>
      </c>
      <c r="AL2" s="376" t="s">
        <v>181</v>
      </c>
      <c r="AM2" s="376" t="s">
        <v>182</v>
      </c>
      <c r="AN2" s="376" t="s">
        <v>68</v>
      </c>
      <c r="AO2" s="379">
        <v>80</v>
      </c>
      <c r="AP2" s="384">
        <v>1</v>
      </c>
      <c r="AQ2" s="384">
        <v>1</v>
      </c>
      <c r="AR2" s="382" t="s">
        <v>183</v>
      </c>
      <c r="AS2" s="386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6">
        <f>IF(AT2=0,"",IF(AND(AT2=1,M2="F",SUMIF(C2:C7,C2,AS2:AS7)&lt;=1),SUMIF(C2:C7,C2,AS2:AS7),IF(AND(AT2=1,M2="F",SUMIF(C2:C7,C2,AS2:AS7)&gt;1),1,"")))</f>
        <v>1</v>
      </c>
      <c r="AV2" s="386" t="str">
        <f>IF(AT2=0,"",IF(AND(AT2=3,M2="F",SUMIF(C2:C7,C2,AS2:AS7)&lt;=1),SUMIF(C2:C7,C2,AS2:AS7),IF(AND(AT2=3,M2="F",SUMIF(C2:C7,C2,AS2:AS7)&gt;1),1,"")))</f>
        <v/>
      </c>
      <c r="AW2" s="386">
        <f>SUMIF(C2:C7,C2,O2:O7)</f>
        <v>1</v>
      </c>
      <c r="AX2" s="386">
        <f>IF(AND(M2="F",AS2&lt;&gt;0),SUMIF(C2:C7,C2,W2:W7),0)</f>
        <v>38771.199999999997</v>
      </c>
      <c r="AY2" s="386">
        <f>IF(AT2=1,W2,"")</f>
        <v>38771.199999999997</v>
      </c>
      <c r="AZ2" s="386" t="str">
        <f>IF(AT2=3,W2,"")</f>
        <v/>
      </c>
      <c r="BA2" s="386">
        <f>IF(AT2=1,Y2-W2,0)</f>
        <v>0</v>
      </c>
      <c r="BB2" s="386">
        <f t="shared" ref="BB2:BB7" si="0">IF(AND(AT2=1,AK2="E",AU2&gt;=0.75,AW2=1),Health,IF(AND(AT2=1,AK2="E",AU2&gt;=0.75),Health*P2,IF(AND(AT2=1,AK2="E",AU2&gt;=0.5,AW2=1),PTHealth,IF(AND(AT2=1,AK2="E",AU2&gt;=0.5),PTHealth*P2,0))))</f>
        <v>11650</v>
      </c>
      <c r="BC2" s="386">
        <f t="shared" ref="BC2:BC7" si="1">IF(AND(AT2=3,AK2="E",AV2&gt;=0.75,AW2=1),Health,IF(AND(AT2=3,AK2="E",AV2&gt;=0.75),Health*P2,IF(AND(AT2=3,AK2="E",AV2&gt;=0.5,AW2=1),PTHealth,IF(AND(AT2=3,AK2="E",AV2&gt;=0.5),PTHealth*P2,0))))</f>
        <v>0</v>
      </c>
      <c r="BD2" s="386">
        <f t="shared" ref="BD2:BD7" si="2">IF(AND(AT2&lt;&gt;0,AX2&gt;=MAXSSDI),SSDI*MAXSSDI*P2,IF(AT2&lt;&gt;0,SSDI*W2,0))</f>
        <v>2403.8143999999998</v>
      </c>
      <c r="BE2" s="386">
        <f t="shared" ref="BE2:BE7" si="3">IF(AT2&lt;&gt;0,SSHI*W2,0)</f>
        <v>562.18240000000003</v>
      </c>
      <c r="BF2" s="386">
        <f t="shared" ref="BF2:BF7" si="4">IF(AND(AT2&lt;&gt;0,AN2&lt;&gt;"NE"),VLOOKUP(AN2,Retirement_Rates,3,FALSE)*W2,0)</f>
        <v>4629.2812800000002</v>
      </c>
      <c r="BG2" s="386">
        <f t="shared" ref="BG2:BG7" si="5">IF(AND(AT2&lt;&gt;0,AJ2&lt;&gt;"PF"),Life*W2,0)</f>
        <v>279.54035199999998</v>
      </c>
      <c r="BH2" s="386">
        <f t="shared" ref="BH2:BH7" si="6">IF(AND(AT2&lt;&gt;0,AM2="Y"),UI*W2,0)</f>
        <v>189.97887999999998</v>
      </c>
      <c r="BI2" s="386">
        <f t="shared" ref="BI2:BI7" si="7">IF(AND(AT2&lt;&gt;0,N2&lt;&gt;"NR"),DHR*W2,0)</f>
        <v>214.598592</v>
      </c>
      <c r="BJ2" s="386">
        <f t="shared" ref="BJ2:BJ7" si="8">IF(AT2&lt;&gt;0,WC*W2,0)</f>
        <v>112.43647999999999</v>
      </c>
      <c r="BK2" s="386">
        <f t="shared" ref="BK2:BK7" si="9">IF(OR(AND(AT2&lt;&gt;0,AJ2&lt;&gt;"PF",AN2&lt;&gt;"NE",AG2&lt;&gt;"A"),AND(AL2="E",OR(AT2=1,AT2=3))),Sick*W2,0)</f>
        <v>0</v>
      </c>
      <c r="BL2" s="386">
        <f>IF(AT2=1,SUM(BD2:BK2),0)</f>
        <v>8391.8323839999994</v>
      </c>
      <c r="BM2" s="386">
        <f>IF(AT2=3,SUM(BD2:BK2),0)</f>
        <v>0</v>
      </c>
      <c r="BN2" s="386">
        <f t="shared" ref="BN2:BN7" si="10">IF(AND(AT2=1,AK2="E",AU2&gt;=0.75,AW2=1),HealthBY,IF(AND(AT2=1,AK2="E",AU2&gt;=0.75),HealthBY*P2,IF(AND(AT2=1,AK2="E",AU2&gt;=0.5,AW2=1),PTHealthBY,IF(AND(AT2=1,AK2="E",AU2&gt;=0.5),PTHealthBY*P2,0))))</f>
        <v>11650</v>
      </c>
      <c r="BO2" s="386">
        <f t="shared" ref="BO2:BO7" si="11">IF(AND(AT2=3,AK2="E",AV2&gt;=0.75,AW2=1),HealthBY,IF(AND(AT2=3,AK2="E",AV2&gt;=0.75),HealthBY*P2,IF(AND(AT2=3,AK2="E",AV2&gt;=0.5,AW2=1),PTHealthBY,IF(AND(AT2=3,AK2="E",AV2&gt;=0.5),PTHealthBY*P2,0))))</f>
        <v>0</v>
      </c>
      <c r="BP2" s="386">
        <f t="shared" ref="BP2:BP7" si="12">IF(AND(AT2&lt;&gt;0,(AX2+BA2)&gt;=MAXSSDIBY),SSDIBY*MAXSSDIBY*P2,IF(AT2&lt;&gt;0,SSDIBY*W2,0))</f>
        <v>2403.8143999999998</v>
      </c>
      <c r="BQ2" s="386">
        <f t="shared" ref="BQ2:BQ7" si="13">IF(AT2&lt;&gt;0,SSHIBY*W2,0)</f>
        <v>562.18240000000003</v>
      </c>
      <c r="BR2" s="386">
        <f t="shared" ref="BR2:BR7" si="14">IF(AND(AT2&lt;&gt;0,AN2&lt;&gt;"NE"),VLOOKUP(AN2,Retirement_Rates,4,FALSE)*W2,0)</f>
        <v>4629.2812800000002</v>
      </c>
      <c r="BS2" s="386">
        <f t="shared" ref="BS2:BS7" si="15">IF(AND(AT2&lt;&gt;0,AJ2&lt;&gt;"PF"),LifeBY*W2,0)</f>
        <v>279.54035199999998</v>
      </c>
      <c r="BT2" s="386">
        <f t="shared" ref="BT2:BT7" si="16">IF(AND(AT2&lt;&gt;0,AM2="Y"),UIBY*W2,0)</f>
        <v>0</v>
      </c>
      <c r="BU2" s="386">
        <f t="shared" ref="BU2:BU7" si="17">IF(AND(AT2&lt;&gt;0,N2&lt;&gt;"NR"),DHRBY*W2,0)</f>
        <v>214.598592</v>
      </c>
      <c r="BV2" s="386">
        <f t="shared" ref="BV2:BV7" si="18">IF(AT2&lt;&gt;0,WCBY*W2,0)</f>
        <v>89.173759999999987</v>
      </c>
      <c r="BW2" s="386">
        <f t="shared" ref="BW2:BW7" si="19">IF(OR(AND(AT2&lt;&gt;0,AJ2&lt;&gt;"PF",AN2&lt;&gt;"NE",AG2&lt;&gt;"A"),AND(AL2="E",OR(AT2=1,AT2=3))),SickBY*W2,0)</f>
        <v>0</v>
      </c>
      <c r="BX2" s="386">
        <f>IF(AT2=1,SUM(BP2:BW2),0)</f>
        <v>8178.590784</v>
      </c>
      <c r="BY2" s="386">
        <f>IF(AT2=3,SUM(BP2:BW2),0)</f>
        <v>0</v>
      </c>
      <c r="BZ2" s="386">
        <f>IF(AT2=1,BN2-BB2,0)</f>
        <v>0</v>
      </c>
      <c r="CA2" s="386">
        <f>IF(AT2=3,BO2-BC2,0)</f>
        <v>0</v>
      </c>
      <c r="CB2" s="386">
        <f>BP2-BD2</f>
        <v>0</v>
      </c>
      <c r="CC2" s="386">
        <f t="shared" ref="CC2:CC7" si="20">IF(AT2&lt;&gt;0,SSHICHG*Y2,0)</f>
        <v>0</v>
      </c>
      <c r="CD2" s="386">
        <f t="shared" ref="CD2:CD7" si="21">IF(AND(AT2&lt;&gt;0,AN2&lt;&gt;"NE"),VLOOKUP(AN2,Retirement_Rates,5,FALSE)*Y2,0)</f>
        <v>0</v>
      </c>
      <c r="CE2" s="386">
        <f t="shared" ref="CE2:CE7" si="22">IF(AND(AT2&lt;&gt;0,AJ2&lt;&gt;"PF"),LifeCHG*Y2,0)</f>
        <v>0</v>
      </c>
      <c r="CF2" s="386">
        <f t="shared" ref="CF2:CF7" si="23">IF(AND(AT2&lt;&gt;0,AM2="Y"),UICHG*Y2,0)</f>
        <v>-189.97887999999998</v>
      </c>
      <c r="CG2" s="386">
        <f t="shared" ref="CG2:CG7" si="24">IF(AND(AT2&lt;&gt;0,N2&lt;&gt;"NR"),DHRCHG*Y2,0)</f>
        <v>0</v>
      </c>
      <c r="CH2" s="386">
        <f t="shared" ref="CH2:CH7" si="25">IF(AT2&lt;&gt;0,WCCHG*Y2,0)</f>
        <v>-23.262719999999991</v>
      </c>
      <c r="CI2" s="386">
        <f t="shared" ref="CI2:CI7" si="26">IF(OR(AND(AT2&lt;&gt;0,AJ2&lt;&gt;"PF",AN2&lt;&gt;"NE",AG2&lt;&gt;"A"),AND(AL2="E",OR(AT2=1,AT2=3))),SickCHG*Y2,0)</f>
        <v>0</v>
      </c>
      <c r="CJ2" s="386">
        <f>IF(AT2=1,SUM(CB2:CI2),0)</f>
        <v>-213.24159999999998</v>
      </c>
      <c r="CK2" s="386" t="str">
        <f>IF(AT2=3,SUM(CB2:CI2),"")</f>
        <v/>
      </c>
      <c r="CL2" s="386" t="str">
        <f>IF(OR(N2="NG",AG2="D"),(T2+U2),"")</f>
        <v/>
      </c>
      <c r="CM2" s="386" t="str">
        <f>IF(OR(N2="NG",AG2="D"),V2,"")</f>
        <v/>
      </c>
      <c r="CN2" s="386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184</v>
      </c>
      <c r="D3" s="376" t="s">
        <v>185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186</v>
      </c>
      <c r="L3" s="376" t="s">
        <v>170</v>
      </c>
      <c r="M3" s="376" t="s">
        <v>171</v>
      </c>
      <c r="N3" s="376" t="s">
        <v>172</v>
      </c>
      <c r="O3" s="379">
        <v>1</v>
      </c>
      <c r="P3" s="384">
        <v>1</v>
      </c>
      <c r="Q3" s="384">
        <v>1</v>
      </c>
      <c r="R3" s="380">
        <v>80</v>
      </c>
      <c r="S3" s="384">
        <v>1</v>
      </c>
      <c r="T3" s="380">
        <v>43218.42</v>
      </c>
      <c r="U3" s="380">
        <v>0</v>
      </c>
      <c r="V3" s="380">
        <v>20688.86</v>
      </c>
      <c r="W3" s="380">
        <v>44948.800000000003</v>
      </c>
      <c r="X3" s="380">
        <v>21379.13</v>
      </c>
      <c r="Y3" s="380">
        <v>44948.800000000003</v>
      </c>
      <c r="Z3" s="380">
        <v>21131.919999999998</v>
      </c>
      <c r="AA3" s="376" t="s">
        <v>187</v>
      </c>
      <c r="AB3" s="376" t="s">
        <v>188</v>
      </c>
      <c r="AC3" s="376" t="s">
        <v>189</v>
      </c>
      <c r="AD3" s="376" t="s">
        <v>190</v>
      </c>
      <c r="AE3" s="376" t="s">
        <v>186</v>
      </c>
      <c r="AF3" s="376" t="s">
        <v>177</v>
      </c>
      <c r="AG3" s="376" t="s">
        <v>178</v>
      </c>
      <c r="AH3" s="381">
        <v>21.61</v>
      </c>
      <c r="AI3" s="381">
        <v>10659.6</v>
      </c>
      <c r="AJ3" s="376" t="s">
        <v>179</v>
      </c>
      <c r="AK3" s="376" t="s">
        <v>180</v>
      </c>
      <c r="AL3" s="376" t="s">
        <v>181</v>
      </c>
      <c r="AM3" s="376" t="s">
        <v>182</v>
      </c>
      <c r="AN3" s="376" t="s">
        <v>68</v>
      </c>
      <c r="AO3" s="379">
        <v>80</v>
      </c>
      <c r="AP3" s="384">
        <v>1</v>
      </c>
      <c r="AQ3" s="384">
        <v>1</v>
      </c>
      <c r="AR3" s="382" t="s">
        <v>183</v>
      </c>
      <c r="AS3" s="386">
        <f t="shared" ref="AS3:AS7" si="27">IF(((AO3/80)*AP3*P3)&gt;1,AQ3,((AO3/80)*AP3*P3))</f>
        <v>1</v>
      </c>
      <c r="AT3">
        <f t="shared" ref="AT3:AT7" si="28">IF(AND(M3="F",N3&lt;&gt;"NG",AS3&lt;&gt;0,AND(AR3&lt;&gt;6,AR3&lt;&gt;36,AR3&lt;&gt;56),AG3&lt;&gt;"A",OR(AG3="H",AJ3="FS")),1,IF(AND(M3="F",N3&lt;&gt;"NG",AS3&lt;&gt;0,AG3="A"),3,0))</f>
        <v>1</v>
      </c>
      <c r="AU3" s="386">
        <f>IF(AT3=0,"",IF(AND(AT3=1,M3="F",SUMIF(C2:C7,C3,AS2:AS7)&lt;=1),SUMIF(C2:C7,C3,AS2:AS7),IF(AND(AT3=1,M3="F",SUMIF(C2:C7,C3,AS2:AS7)&gt;1),1,"")))</f>
        <v>1</v>
      </c>
      <c r="AV3" s="386" t="str">
        <f>IF(AT3=0,"",IF(AND(AT3=3,M3="F",SUMIF(C2:C7,C3,AS2:AS7)&lt;=1),SUMIF(C2:C7,C3,AS2:AS7),IF(AND(AT3=3,M3="F",SUMIF(C2:C7,C3,AS2:AS7)&gt;1),1,"")))</f>
        <v/>
      </c>
      <c r="AW3" s="386">
        <f>SUMIF(C2:C7,C3,O2:O7)</f>
        <v>1</v>
      </c>
      <c r="AX3" s="386">
        <f>IF(AND(M3="F",AS3&lt;&gt;0),SUMIF(C2:C7,C3,W2:W7),0)</f>
        <v>44948.800000000003</v>
      </c>
      <c r="AY3" s="386">
        <f t="shared" ref="AY3:AY7" si="29">IF(AT3=1,W3,"")</f>
        <v>44948.800000000003</v>
      </c>
      <c r="AZ3" s="386" t="str">
        <f t="shared" ref="AZ3:AZ7" si="30">IF(AT3=3,W3,"")</f>
        <v/>
      </c>
      <c r="BA3" s="386">
        <f t="shared" ref="BA3:BA7" si="31">IF(AT3=1,Y3-W3,0)</f>
        <v>0</v>
      </c>
      <c r="BB3" s="386">
        <f t="shared" si="0"/>
        <v>11650</v>
      </c>
      <c r="BC3" s="386">
        <f t="shared" si="1"/>
        <v>0</v>
      </c>
      <c r="BD3" s="386">
        <f t="shared" si="2"/>
        <v>2786.8256000000001</v>
      </c>
      <c r="BE3" s="386">
        <f t="shared" si="3"/>
        <v>651.75760000000002</v>
      </c>
      <c r="BF3" s="386">
        <f t="shared" si="4"/>
        <v>5366.8867200000004</v>
      </c>
      <c r="BG3" s="386">
        <f t="shared" si="5"/>
        <v>324.08084800000006</v>
      </c>
      <c r="BH3" s="386">
        <f t="shared" si="6"/>
        <v>220.24912</v>
      </c>
      <c r="BI3" s="386">
        <f t="shared" si="7"/>
        <v>248.79160800000002</v>
      </c>
      <c r="BJ3" s="386">
        <f t="shared" si="8"/>
        <v>130.35151999999999</v>
      </c>
      <c r="BK3" s="386">
        <f t="shared" si="9"/>
        <v>0</v>
      </c>
      <c r="BL3" s="386">
        <f t="shared" ref="BL3:BL7" si="32">IF(AT3=1,SUM(BD3:BK3),0)</f>
        <v>9728.9430159999993</v>
      </c>
      <c r="BM3" s="386">
        <f t="shared" ref="BM3:BM7" si="33">IF(AT3=3,SUM(BD3:BK3),0)</f>
        <v>0</v>
      </c>
      <c r="BN3" s="386">
        <f t="shared" si="10"/>
        <v>11650</v>
      </c>
      <c r="BO3" s="386">
        <f t="shared" si="11"/>
        <v>0</v>
      </c>
      <c r="BP3" s="386">
        <f t="shared" si="12"/>
        <v>2786.8256000000001</v>
      </c>
      <c r="BQ3" s="386">
        <f t="shared" si="13"/>
        <v>651.75760000000002</v>
      </c>
      <c r="BR3" s="386">
        <f t="shared" si="14"/>
        <v>5366.8867200000004</v>
      </c>
      <c r="BS3" s="386">
        <f t="shared" si="15"/>
        <v>324.08084800000006</v>
      </c>
      <c r="BT3" s="386">
        <f t="shared" si="16"/>
        <v>0</v>
      </c>
      <c r="BU3" s="386">
        <f t="shared" si="17"/>
        <v>248.79160800000002</v>
      </c>
      <c r="BV3" s="386">
        <f t="shared" si="18"/>
        <v>103.38224000000001</v>
      </c>
      <c r="BW3" s="386">
        <f t="shared" si="19"/>
        <v>0</v>
      </c>
      <c r="BX3" s="386">
        <f t="shared" ref="BX3:BX7" si="34">IF(AT3=1,SUM(BP3:BW3),0)</f>
        <v>9481.7246159999995</v>
      </c>
      <c r="BY3" s="386">
        <f t="shared" ref="BY3:BY7" si="35">IF(AT3=3,SUM(BP3:BW3),0)</f>
        <v>0</v>
      </c>
      <c r="BZ3" s="386">
        <f t="shared" ref="BZ3:BZ7" si="36">IF(AT3=1,BN3-BB3,0)</f>
        <v>0</v>
      </c>
      <c r="CA3" s="386">
        <f t="shared" ref="CA3:CA7" si="37">IF(AT3=3,BO3-BC3,0)</f>
        <v>0</v>
      </c>
      <c r="CB3" s="386">
        <f t="shared" ref="CB3:CB7" si="38">BP3-BD3</f>
        <v>0</v>
      </c>
      <c r="CC3" s="386">
        <f t="shared" si="20"/>
        <v>0</v>
      </c>
      <c r="CD3" s="386">
        <f t="shared" si="21"/>
        <v>0</v>
      </c>
      <c r="CE3" s="386">
        <f t="shared" si="22"/>
        <v>0</v>
      </c>
      <c r="CF3" s="386">
        <f t="shared" si="23"/>
        <v>-220.24912</v>
      </c>
      <c r="CG3" s="386">
        <f t="shared" si="24"/>
        <v>0</v>
      </c>
      <c r="CH3" s="386">
        <f t="shared" si="25"/>
        <v>-26.969279999999994</v>
      </c>
      <c r="CI3" s="386">
        <f t="shared" si="26"/>
        <v>0</v>
      </c>
      <c r="CJ3" s="386">
        <f t="shared" ref="CJ3:CJ7" si="39">IF(AT3=1,SUM(CB3:CI3),0)</f>
        <v>-247.2184</v>
      </c>
      <c r="CK3" s="386" t="str">
        <f t="shared" ref="CK3:CK7" si="40">IF(AT3=3,SUM(CB3:CI3),"")</f>
        <v/>
      </c>
      <c r="CL3" s="386" t="str">
        <f t="shared" ref="CL3:CL7" si="41">IF(OR(N3="NG",AG3="D"),(T3+U3),"")</f>
        <v/>
      </c>
      <c r="CM3" s="386" t="str">
        <f t="shared" ref="CM3:CM7" si="42">IF(OR(N3="NG",AG3="D"),V3,"")</f>
        <v/>
      </c>
      <c r="CN3" s="386" t="str">
        <f t="shared" ref="CN3:CN7" si="43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191</v>
      </c>
      <c r="D4" s="376" t="s">
        <v>192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193</v>
      </c>
      <c r="L4" s="376" t="s">
        <v>181</v>
      </c>
      <c r="M4" s="376" t="s">
        <v>171</v>
      </c>
      <c r="N4" s="376" t="s">
        <v>172</v>
      </c>
      <c r="O4" s="379">
        <v>1</v>
      </c>
      <c r="P4" s="384">
        <v>1</v>
      </c>
      <c r="Q4" s="384">
        <v>1</v>
      </c>
      <c r="R4" s="380">
        <v>80</v>
      </c>
      <c r="S4" s="384">
        <v>1</v>
      </c>
      <c r="T4" s="380">
        <v>77488.289999999994</v>
      </c>
      <c r="U4" s="380">
        <v>0</v>
      </c>
      <c r="V4" s="380">
        <v>27617.5</v>
      </c>
      <c r="W4" s="380">
        <v>80204.800000000003</v>
      </c>
      <c r="X4" s="380">
        <v>29010.29</v>
      </c>
      <c r="Y4" s="380">
        <v>80204.800000000003</v>
      </c>
      <c r="Z4" s="380">
        <v>28569.17</v>
      </c>
      <c r="AA4" s="376" t="s">
        <v>194</v>
      </c>
      <c r="AB4" s="376" t="s">
        <v>195</v>
      </c>
      <c r="AC4" s="376" t="s">
        <v>196</v>
      </c>
      <c r="AD4" s="376" t="s">
        <v>197</v>
      </c>
      <c r="AE4" s="376" t="s">
        <v>193</v>
      </c>
      <c r="AF4" s="376" t="s">
        <v>198</v>
      </c>
      <c r="AG4" s="376" t="s">
        <v>178</v>
      </c>
      <c r="AH4" s="381">
        <v>38.56</v>
      </c>
      <c r="AI4" s="381">
        <v>29450.5</v>
      </c>
      <c r="AJ4" s="376" t="s">
        <v>179</v>
      </c>
      <c r="AK4" s="376" t="s">
        <v>180</v>
      </c>
      <c r="AL4" s="376" t="s">
        <v>181</v>
      </c>
      <c r="AM4" s="376" t="s">
        <v>182</v>
      </c>
      <c r="AN4" s="376" t="s">
        <v>68</v>
      </c>
      <c r="AO4" s="379">
        <v>80</v>
      </c>
      <c r="AP4" s="384">
        <v>1</v>
      </c>
      <c r="AQ4" s="384">
        <v>1</v>
      </c>
      <c r="AR4" s="382" t="s">
        <v>183</v>
      </c>
      <c r="AS4" s="386">
        <f t="shared" si="27"/>
        <v>1</v>
      </c>
      <c r="AT4">
        <f t="shared" si="28"/>
        <v>1</v>
      </c>
      <c r="AU4" s="386">
        <f>IF(AT4=0,"",IF(AND(AT4=1,M4="F",SUMIF(C2:C7,C4,AS2:AS7)&lt;=1),SUMIF(C2:C7,C4,AS2:AS7),IF(AND(AT4=1,M4="F",SUMIF(C2:C7,C4,AS2:AS7)&gt;1),1,"")))</f>
        <v>1</v>
      </c>
      <c r="AV4" s="386" t="str">
        <f>IF(AT4=0,"",IF(AND(AT4=3,M4="F",SUMIF(C2:C7,C4,AS2:AS7)&lt;=1),SUMIF(C2:C7,C4,AS2:AS7),IF(AND(AT4=3,M4="F",SUMIF(C2:C7,C4,AS2:AS7)&gt;1),1,"")))</f>
        <v/>
      </c>
      <c r="AW4" s="386">
        <f>SUMIF(C2:C7,C4,O2:O7)</f>
        <v>1</v>
      </c>
      <c r="AX4" s="386">
        <f>IF(AND(M4="F",AS4&lt;&gt;0),SUMIF(C2:C7,C4,W2:W7),0)</f>
        <v>80204.800000000003</v>
      </c>
      <c r="AY4" s="386">
        <f t="shared" si="29"/>
        <v>80204.800000000003</v>
      </c>
      <c r="AZ4" s="386" t="str">
        <f t="shared" si="30"/>
        <v/>
      </c>
      <c r="BA4" s="386">
        <f t="shared" si="31"/>
        <v>0</v>
      </c>
      <c r="BB4" s="386">
        <f t="shared" si="0"/>
        <v>11650</v>
      </c>
      <c r="BC4" s="386">
        <f t="shared" si="1"/>
        <v>0</v>
      </c>
      <c r="BD4" s="386">
        <f t="shared" si="2"/>
        <v>4972.6976000000004</v>
      </c>
      <c r="BE4" s="386">
        <f t="shared" si="3"/>
        <v>1162.9696000000001</v>
      </c>
      <c r="BF4" s="386">
        <f t="shared" si="4"/>
        <v>9576.4531200000001</v>
      </c>
      <c r="BG4" s="386">
        <f t="shared" si="5"/>
        <v>578.27660800000001</v>
      </c>
      <c r="BH4" s="386">
        <f t="shared" si="6"/>
        <v>393.00351999999998</v>
      </c>
      <c r="BI4" s="386">
        <f t="shared" si="7"/>
        <v>443.93356800000004</v>
      </c>
      <c r="BJ4" s="386">
        <f t="shared" si="8"/>
        <v>232.59392</v>
      </c>
      <c r="BK4" s="386">
        <f t="shared" si="9"/>
        <v>0</v>
      </c>
      <c r="BL4" s="386">
        <f t="shared" si="32"/>
        <v>17359.927936</v>
      </c>
      <c r="BM4" s="386">
        <f t="shared" si="33"/>
        <v>0</v>
      </c>
      <c r="BN4" s="386">
        <f t="shared" si="10"/>
        <v>11650</v>
      </c>
      <c r="BO4" s="386">
        <f t="shared" si="11"/>
        <v>0</v>
      </c>
      <c r="BP4" s="386">
        <f t="shared" si="12"/>
        <v>4972.6976000000004</v>
      </c>
      <c r="BQ4" s="386">
        <f t="shared" si="13"/>
        <v>1162.9696000000001</v>
      </c>
      <c r="BR4" s="386">
        <f t="shared" si="14"/>
        <v>9576.4531200000001</v>
      </c>
      <c r="BS4" s="386">
        <f t="shared" si="15"/>
        <v>578.27660800000001</v>
      </c>
      <c r="BT4" s="386">
        <f t="shared" si="16"/>
        <v>0</v>
      </c>
      <c r="BU4" s="386">
        <f t="shared" si="17"/>
        <v>443.93356800000004</v>
      </c>
      <c r="BV4" s="386">
        <f t="shared" si="18"/>
        <v>184.47104000000002</v>
      </c>
      <c r="BW4" s="386">
        <f t="shared" si="19"/>
        <v>0</v>
      </c>
      <c r="BX4" s="386">
        <f t="shared" si="34"/>
        <v>16918.801536000003</v>
      </c>
      <c r="BY4" s="386">
        <f t="shared" si="35"/>
        <v>0</v>
      </c>
      <c r="BZ4" s="386">
        <f t="shared" si="36"/>
        <v>0</v>
      </c>
      <c r="CA4" s="386">
        <f t="shared" si="37"/>
        <v>0</v>
      </c>
      <c r="CB4" s="386">
        <f t="shared" si="38"/>
        <v>0</v>
      </c>
      <c r="CC4" s="386">
        <f t="shared" si="20"/>
        <v>0</v>
      </c>
      <c r="CD4" s="386">
        <f t="shared" si="21"/>
        <v>0</v>
      </c>
      <c r="CE4" s="386">
        <f t="shared" si="22"/>
        <v>0</v>
      </c>
      <c r="CF4" s="386">
        <f t="shared" si="23"/>
        <v>-393.00351999999998</v>
      </c>
      <c r="CG4" s="386">
        <f t="shared" si="24"/>
        <v>0</v>
      </c>
      <c r="CH4" s="386">
        <f t="shared" si="25"/>
        <v>-48.122879999999988</v>
      </c>
      <c r="CI4" s="386">
        <f t="shared" si="26"/>
        <v>0</v>
      </c>
      <c r="CJ4" s="386">
        <f t="shared" si="39"/>
        <v>-441.12639999999999</v>
      </c>
      <c r="CK4" s="386" t="str">
        <f t="shared" si="40"/>
        <v/>
      </c>
      <c r="CL4" s="386" t="str">
        <f t="shared" si="41"/>
        <v/>
      </c>
      <c r="CM4" s="386" t="str">
        <f t="shared" si="42"/>
        <v/>
      </c>
      <c r="CN4" s="386" t="str">
        <f t="shared" si="43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199</v>
      </c>
      <c r="D5" s="376" t="s">
        <v>200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201</v>
      </c>
      <c r="L5" s="376" t="s">
        <v>166</v>
      </c>
      <c r="M5" s="376" t="s">
        <v>171</v>
      </c>
      <c r="N5" s="376" t="s">
        <v>202</v>
      </c>
      <c r="O5" s="379">
        <v>1</v>
      </c>
      <c r="P5" s="384">
        <v>1</v>
      </c>
      <c r="Q5" s="384">
        <v>1</v>
      </c>
      <c r="R5" s="380">
        <v>80</v>
      </c>
      <c r="S5" s="384">
        <v>1</v>
      </c>
      <c r="T5" s="380">
        <v>91976</v>
      </c>
      <c r="U5" s="380">
        <v>0</v>
      </c>
      <c r="V5" s="380">
        <v>30022.18</v>
      </c>
      <c r="W5" s="380">
        <v>96096</v>
      </c>
      <c r="X5" s="380">
        <v>31917.59</v>
      </c>
      <c r="Y5" s="380">
        <v>96096</v>
      </c>
      <c r="Z5" s="380">
        <v>31389.07</v>
      </c>
      <c r="AA5" s="376" t="s">
        <v>203</v>
      </c>
      <c r="AB5" s="376" t="s">
        <v>204</v>
      </c>
      <c r="AC5" s="376" t="s">
        <v>205</v>
      </c>
      <c r="AD5" s="376" t="s">
        <v>206</v>
      </c>
      <c r="AE5" s="376" t="s">
        <v>201</v>
      </c>
      <c r="AF5" s="376" t="s">
        <v>207</v>
      </c>
      <c r="AG5" s="376" t="s">
        <v>178</v>
      </c>
      <c r="AH5" s="381">
        <v>46.2</v>
      </c>
      <c r="AI5" s="381">
        <v>26607.9</v>
      </c>
      <c r="AJ5" s="376" t="s">
        <v>179</v>
      </c>
      <c r="AK5" s="376" t="s">
        <v>180</v>
      </c>
      <c r="AL5" s="376" t="s">
        <v>181</v>
      </c>
      <c r="AM5" s="376" t="s">
        <v>182</v>
      </c>
      <c r="AN5" s="376" t="s">
        <v>68</v>
      </c>
      <c r="AO5" s="379">
        <v>80</v>
      </c>
      <c r="AP5" s="384">
        <v>1</v>
      </c>
      <c r="AQ5" s="384">
        <v>1</v>
      </c>
      <c r="AR5" s="382" t="s">
        <v>183</v>
      </c>
      <c r="AS5" s="386">
        <f t="shared" si="27"/>
        <v>1</v>
      </c>
      <c r="AT5">
        <f t="shared" si="28"/>
        <v>1</v>
      </c>
      <c r="AU5" s="386">
        <f>IF(AT5=0,"",IF(AND(AT5=1,M5="F",SUMIF(C2:C7,C5,AS2:AS7)&lt;=1),SUMIF(C2:C7,C5,AS2:AS7),IF(AND(AT5=1,M5="F",SUMIF(C2:C7,C5,AS2:AS7)&gt;1),1,"")))</f>
        <v>1</v>
      </c>
      <c r="AV5" s="386" t="str">
        <f>IF(AT5=0,"",IF(AND(AT5=3,M5="F",SUMIF(C2:C7,C5,AS2:AS7)&lt;=1),SUMIF(C2:C7,C5,AS2:AS7),IF(AND(AT5=3,M5="F",SUMIF(C2:C7,C5,AS2:AS7)&gt;1),1,"")))</f>
        <v/>
      </c>
      <c r="AW5" s="386">
        <f>SUMIF(C2:C7,C5,O2:O7)</f>
        <v>1</v>
      </c>
      <c r="AX5" s="386">
        <f>IF(AND(M5="F",AS5&lt;&gt;0),SUMIF(C2:C7,C5,W2:W7),0)</f>
        <v>96096</v>
      </c>
      <c r="AY5" s="386">
        <f t="shared" si="29"/>
        <v>96096</v>
      </c>
      <c r="AZ5" s="386" t="str">
        <f t="shared" si="30"/>
        <v/>
      </c>
      <c r="BA5" s="386">
        <f t="shared" si="31"/>
        <v>0</v>
      </c>
      <c r="BB5" s="386">
        <f t="shared" si="0"/>
        <v>11650</v>
      </c>
      <c r="BC5" s="386">
        <f t="shared" si="1"/>
        <v>0</v>
      </c>
      <c r="BD5" s="386">
        <f t="shared" si="2"/>
        <v>5957.9520000000002</v>
      </c>
      <c r="BE5" s="386">
        <f t="shared" si="3"/>
        <v>1393.3920000000001</v>
      </c>
      <c r="BF5" s="386">
        <f t="shared" si="4"/>
        <v>11473.8624</v>
      </c>
      <c r="BG5" s="386">
        <f t="shared" si="5"/>
        <v>692.85216000000003</v>
      </c>
      <c r="BH5" s="386">
        <f t="shared" si="6"/>
        <v>470.87039999999996</v>
      </c>
      <c r="BI5" s="386">
        <f t="shared" si="7"/>
        <v>0</v>
      </c>
      <c r="BJ5" s="386">
        <f t="shared" si="8"/>
        <v>278.67839999999995</v>
      </c>
      <c r="BK5" s="386">
        <f t="shared" si="9"/>
        <v>0</v>
      </c>
      <c r="BL5" s="386">
        <f t="shared" si="32"/>
        <v>20267.607359999998</v>
      </c>
      <c r="BM5" s="386">
        <f t="shared" si="33"/>
        <v>0</v>
      </c>
      <c r="BN5" s="386">
        <f t="shared" si="10"/>
        <v>11650</v>
      </c>
      <c r="BO5" s="386">
        <f t="shared" si="11"/>
        <v>0</v>
      </c>
      <c r="BP5" s="386">
        <f t="shared" si="12"/>
        <v>5957.9520000000002</v>
      </c>
      <c r="BQ5" s="386">
        <f t="shared" si="13"/>
        <v>1393.3920000000001</v>
      </c>
      <c r="BR5" s="386">
        <f t="shared" si="14"/>
        <v>11473.8624</v>
      </c>
      <c r="BS5" s="386">
        <f t="shared" si="15"/>
        <v>692.85216000000003</v>
      </c>
      <c r="BT5" s="386">
        <f t="shared" si="16"/>
        <v>0</v>
      </c>
      <c r="BU5" s="386">
        <f t="shared" si="17"/>
        <v>0</v>
      </c>
      <c r="BV5" s="386">
        <f t="shared" si="18"/>
        <v>221.02080000000001</v>
      </c>
      <c r="BW5" s="386">
        <f t="shared" si="19"/>
        <v>0</v>
      </c>
      <c r="BX5" s="386">
        <f t="shared" si="34"/>
        <v>19739.079359999996</v>
      </c>
      <c r="BY5" s="386">
        <f t="shared" si="35"/>
        <v>0</v>
      </c>
      <c r="BZ5" s="386">
        <f t="shared" si="36"/>
        <v>0</v>
      </c>
      <c r="CA5" s="386">
        <f t="shared" si="37"/>
        <v>0</v>
      </c>
      <c r="CB5" s="386">
        <f t="shared" si="38"/>
        <v>0</v>
      </c>
      <c r="CC5" s="386">
        <f t="shared" si="20"/>
        <v>0</v>
      </c>
      <c r="CD5" s="386">
        <f t="shared" si="21"/>
        <v>0</v>
      </c>
      <c r="CE5" s="386">
        <f t="shared" si="22"/>
        <v>0</v>
      </c>
      <c r="CF5" s="386">
        <f t="shared" si="23"/>
        <v>-470.87039999999996</v>
      </c>
      <c r="CG5" s="386">
        <f t="shared" si="24"/>
        <v>0</v>
      </c>
      <c r="CH5" s="386">
        <f t="shared" si="25"/>
        <v>-57.657599999999988</v>
      </c>
      <c r="CI5" s="386">
        <f t="shared" si="26"/>
        <v>0</v>
      </c>
      <c r="CJ5" s="386">
        <f t="shared" si="39"/>
        <v>-528.52799999999991</v>
      </c>
      <c r="CK5" s="386" t="str">
        <f t="shared" si="40"/>
        <v/>
      </c>
      <c r="CL5" s="386" t="str">
        <f t="shared" si="41"/>
        <v/>
      </c>
      <c r="CM5" s="386" t="str">
        <f t="shared" si="42"/>
        <v/>
      </c>
      <c r="CN5" s="386" t="str">
        <f t="shared" si="43"/>
        <v>0001-00</v>
      </c>
    </row>
    <row r="6" spans="1:92" ht="15.75" thickBot="1" x14ac:dyDescent="0.3">
      <c r="A6" s="376" t="s">
        <v>161</v>
      </c>
      <c r="B6" s="376" t="s">
        <v>162</v>
      </c>
      <c r="C6" s="376" t="s">
        <v>208</v>
      </c>
      <c r="D6" s="376" t="s">
        <v>209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210</v>
      </c>
      <c r="L6" s="376" t="s">
        <v>166</v>
      </c>
      <c r="M6" s="376" t="s">
        <v>211</v>
      </c>
      <c r="N6" s="376" t="s">
        <v>212</v>
      </c>
      <c r="O6" s="379">
        <v>0</v>
      </c>
      <c r="P6" s="384">
        <v>1</v>
      </c>
      <c r="Q6" s="384">
        <v>0</v>
      </c>
      <c r="R6" s="380">
        <v>0</v>
      </c>
      <c r="S6" s="384">
        <v>0</v>
      </c>
      <c r="T6" s="380">
        <v>0</v>
      </c>
      <c r="U6" s="380">
        <v>0</v>
      </c>
      <c r="V6" s="380">
        <v>0</v>
      </c>
      <c r="W6" s="380">
        <v>0</v>
      </c>
      <c r="X6" s="380">
        <v>0</v>
      </c>
      <c r="Y6" s="380">
        <v>0</v>
      </c>
      <c r="Z6" s="380">
        <v>0</v>
      </c>
      <c r="AA6" s="378"/>
      <c r="AB6" s="376" t="s">
        <v>45</v>
      </c>
      <c r="AC6" s="376" t="s">
        <v>45</v>
      </c>
      <c r="AD6" s="378"/>
      <c r="AE6" s="378"/>
      <c r="AF6" s="378"/>
      <c r="AG6" s="378"/>
      <c r="AH6" s="379">
        <v>0</v>
      </c>
      <c r="AI6" s="379">
        <v>0</v>
      </c>
      <c r="AJ6" s="378"/>
      <c r="AK6" s="378"/>
      <c r="AL6" s="376" t="s">
        <v>181</v>
      </c>
      <c r="AM6" s="378"/>
      <c r="AN6" s="378"/>
      <c r="AO6" s="379">
        <v>0</v>
      </c>
      <c r="AP6" s="384">
        <v>0</v>
      </c>
      <c r="AQ6" s="384">
        <v>0</v>
      </c>
      <c r="AR6" s="383"/>
      <c r="AS6" s="386">
        <f t="shared" si="27"/>
        <v>0</v>
      </c>
      <c r="AT6">
        <f t="shared" si="28"/>
        <v>0</v>
      </c>
      <c r="AU6" s="386" t="str">
        <f>IF(AT6=0,"",IF(AND(AT6=1,M6="F",SUMIF(C2:C7,C6,AS2:AS7)&lt;=1),SUMIF(C2:C7,C6,AS2:AS7),IF(AND(AT6=1,M6="F",SUMIF(C2:C7,C6,AS2:AS7)&gt;1),1,"")))</f>
        <v/>
      </c>
      <c r="AV6" s="386" t="str">
        <f>IF(AT6=0,"",IF(AND(AT6=3,M6="F",SUMIF(C2:C7,C6,AS2:AS7)&lt;=1),SUMIF(C2:C7,C6,AS2:AS7),IF(AND(AT6=3,M6="F",SUMIF(C2:C7,C6,AS2:AS7)&gt;1),1,"")))</f>
        <v/>
      </c>
      <c r="AW6" s="386">
        <f>SUMIF(C2:C7,C6,O2:O7)</f>
        <v>0</v>
      </c>
      <c r="AX6" s="386">
        <f>IF(AND(M6="F",AS6&lt;&gt;0),SUMIF(C2:C7,C6,W2:W7),0)</f>
        <v>0</v>
      </c>
      <c r="AY6" s="386" t="str">
        <f t="shared" si="29"/>
        <v/>
      </c>
      <c r="AZ6" s="386" t="str">
        <f t="shared" si="30"/>
        <v/>
      </c>
      <c r="BA6" s="386">
        <f t="shared" si="31"/>
        <v>0</v>
      </c>
      <c r="BB6" s="386">
        <f t="shared" si="0"/>
        <v>0</v>
      </c>
      <c r="BC6" s="386">
        <f t="shared" si="1"/>
        <v>0</v>
      </c>
      <c r="BD6" s="386">
        <f t="shared" si="2"/>
        <v>0</v>
      </c>
      <c r="BE6" s="386">
        <f t="shared" si="3"/>
        <v>0</v>
      </c>
      <c r="BF6" s="386">
        <f t="shared" si="4"/>
        <v>0</v>
      </c>
      <c r="BG6" s="386">
        <f t="shared" si="5"/>
        <v>0</v>
      </c>
      <c r="BH6" s="386">
        <f t="shared" si="6"/>
        <v>0</v>
      </c>
      <c r="BI6" s="386">
        <f t="shared" si="7"/>
        <v>0</v>
      </c>
      <c r="BJ6" s="386">
        <f t="shared" si="8"/>
        <v>0</v>
      </c>
      <c r="BK6" s="386">
        <f t="shared" si="9"/>
        <v>0</v>
      </c>
      <c r="BL6" s="386">
        <f t="shared" si="32"/>
        <v>0</v>
      </c>
      <c r="BM6" s="386">
        <f t="shared" si="33"/>
        <v>0</v>
      </c>
      <c r="BN6" s="386">
        <f t="shared" si="10"/>
        <v>0</v>
      </c>
      <c r="BO6" s="386">
        <f t="shared" si="11"/>
        <v>0</v>
      </c>
      <c r="BP6" s="386">
        <f t="shared" si="12"/>
        <v>0</v>
      </c>
      <c r="BQ6" s="386">
        <f t="shared" si="13"/>
        <v>0</v>
      </c>
      <c r="BR6" s="386">
        <f t="shared" si="14"/>
        <v>0</v>
      </c>
      <c r="BS6" s="386">
        <f t="shared" si="15"/>
        <v>0</v>
      </c>
      <c r="BT6" s="386">
        <f t="shared" si="16"/>
        <v>0</v>
      </c>
      <c r="BU6" s="386">
        <f t="shared" si="17"/>
        <v>0</v>
      </c>
      <c r="BV6" s="386">
        <f t="shared" si="18"/>
        <v>0</v>
      </c>
      <c r="BW6" s="386">
        <f t="shared" si="19"/>
        <v>0</v>
      </c>
      <c r="BX6" s="386">
        <f t="shared" si="34"/>
        <v>0</v>
      </c>
      <c r="BY6" s="386">
        <f t="shared" si="35"/>
        <v>0</v>
      </c>
      <c r="BZ6" s="386">
        <f t="shared" si="36"/>
        <v>0</v>
      </c>
      <c r="CA6" s="386">
        <f t="shared" si="37"/>
        <v>0</v>
      </c>
      <c r="CB6" s="386">
        <f t="shared" si="38"/>
        <v>0</v>
      </c>
      <c r="CC6" s="386">
        <f t="shared" si="20"/>
        <v>0</v>
      </c>
      <c r="CD6" s="386">
        <f t="shared" si="21"/>
        <v>0</v>
      </c>
      <c r="CE6" s="386">
        <f t="shared" si="22"/>
        <v>0</v>
      </c>
      <c r="CF6" s="386">
        <f t="shared" si="23"/>
        <v>0</v>
      </c>
      <c r="CG6" s="386">
        <f t="shared" si="24"/>
        <v>0</v>
      </c>
      <c r="CH6" s="386">
        <f t="shared" si="25"/>
        <v>0</v>
      </c>
      <c r="CI6" s="386">
        <f t="shared" si="26"/>
        <v>0</v>
      </c>
      <c r="CJ6" s="386">
        <f t="shared" si="39"/>
        <v>0</v>
      </c>
      <c r="CK6" s="386" t="str">
        <f t="shared" si="40"/>
        <v/>
      </c>
      <c r="CL6" s="386">
        <f t="shared" si="41"/>
        <v>0</v>
      </c>
      <c r="CM6" s="386">
        <f t="shared" si="42"/>
        <v>0</v>
      </c>
      <c r="CN6" s="386" t="str">
        <f t="shared" si="43"/>
        <v>0001-00</v>
      </c>
    </row>
    <row r="7" spans="1:92" ht="15.75" thickBot="1" x14ac:dyDescent="0.3">
      <c r="A7" s="376" t="s">
        <v>161</v>
      </c>
      <c r="B7" s="376" t="s">
        <v>162</v>
      </c>
      <c r="C7" s="376" t="s">
        <v>213</v>
      </c>
      <c r="D7" s="376" t="s">
        <v>214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215</v>
      </c>
      <c r="L7" s="376" t="s">
        <v>166</v>
      </c>
      <c r="M7" s="376" t="s">
        <v>171</v>
      </c>
      <c r="N7" s="376" t="s">
        <v>212</v>
      </c>
      <c r="O7" s="379">
        <v>0</v>
      </c>
      <c r="P7" s="384">
        <v>1</v>
      </c>
      <c r="Q7" s="384">
        <v>0</v>
      </c>
      <c r="R7" s="380">
        <v>0</v>
      </c>
      <c r="S7" s="384">
        <v>0</v>
      </c>
      <c r="T7" s="380">
        <v>60557.8</v>
      </c>
      <c r="U7" s="380">
        <v>0</v>
      </c>
      <c r="V7" s="380">
        <v>4633.17</v>
      </c>
      <c r="W7" s="380">
        <v>60557.8</v>
      </c>
      <c r="X7" s="380">
        <v>4633.17</v>
      </c>
      <c r="Y7" s="380">
        <v>60557.8</v>
      </c>
      <c r="Z7" s="380">
        <v>4633.17</v>
      </c>
      <c r="AA7" s="378"/>
      <c r="AB7" s="376" t="s">
        <v>45</v>
      </c>
      <c r="AC7" s="376" t="s">
        <v>45</v>
      </c>
      <c r="AD7" s="378"/>
      <c r="AE7" s="378"/>
      <c r="AF7" s="378"/>
      <c r="AG7" s="378"/>
      <c r="AH7" s="379">
        <v>0</v>
      </c>
      <c r="AI7" s="379">
        <v>0</v>
      </c>
      <c r="AJ7" s="378"/>
      <c r="AK7" s="378"/>
      <c r="AL7" s="376" t="s">
        <v>181</v>
      </c>
      <c r="AM7" s="378"/>
      <c r="AN7" s="378"/>
      <c r="AO7" s="379">
        <v>0</v>
      </c>
      <c r="AP7" s="384">
        <v>0</v>
      </c>
      <c r="AQ7" s="384">
        <v>0</v>
      </c>
      <c r="AR7" s="383"/>
      <c r="AS7" s="386">
        <f t="shared" si="27"/>
        <v>0</v>
      </c>
      <c r="AT7">
        <f t="shared" si="28"/>
        <v>0</v>
      </c>
      <c r="AU7" s="386" t="str">
        <f>IF(AT7=0,"",IF(AND(AT7=1,M7="F",SUMIF(C2:C7,C7,AS2:AS7)&lt;=1),SUMIF(C2:C7,C7,AS2:AS7),IF(AND(AT7=1,M7="F",SUMIF(C2:C7,C7,AS2:AS7)&gt;1),1,"")))</f>
        <v/>
      </c>
      <c r="AV7" s="386" t="str">
        <f>IF(AT7=0,"",IF(AND(AT7=3,M7="F",SUMIF(C2:C7,C7,AS2:AS7)&lt;=1),SUMIF(C2:C7,C7,AS2:AS7),IF(AND(AT7=3,M7="F",SUMIF(C2:C7,C7,AS2:AS7)&gt;1),1,"")))</f>
        <v/>
      </c>
      <c r="AW7" s="386">
        <f>SUMIF(C2:C7,C7,O2:O7)</f>
        <v>0</v>
      </c>
      <c r="AX7" s="386">
        <f>IF(AND(M7="F",AS7&lt;&gt;0),SUMIF(C2:C7,C7,W2:W7),0)</f>
        <v>0</v>
      </c>
      <c r="AY7" s="386" t="str">
        <f t="shared" si="29"/>
        <v/>
      </c>
      <c r="AZ7" s="386" t="str">
        <f t="shared" si="30"/>
        <v/>
      </c>
      <c r="BA7" s="386">
        <f t="shared" si="31"/>
        <v>0</v>
      </c>
      <c r="BB7" s="386">
        <f t="shared" si="0"/>
        <v>0</v>
      </c>
      <c r="BC7" s="386">
        <f t="shared" si="1"/>
        <v>0</v>
      </c>
      <c r="BD7" s="386">
        <f t="shared" si="2"/>
        <v>0</v>
      </c>
      <c r="BE7" s="386">
        <f t="shared" si="3"/>
        <v>0</v>
      </c>
      <c r="BF7" s="386">
        <f t="shared" si="4"/>
        <v>0</v>
      </c>
      <c r="BG7" s="386">
        <f t="shared" si="5"/>
        <v>0</v>
      </c>
      <c r="BH7" s="386">
        <f t="shared" si="6"/>
        <v>0</v>
      </c>
      <c r="BI7" s="386">
        <f t="shared" si="7"/>
        <v>0</v>
      </c>
      <c r="BJ7" s="386">
        <f t="shared" si="8"/>
        <v>0</v>
      </c>
      <c r="BK7" s="386">
        <f t="shared" si="9"/>
        <v>0</v>
      </c>
      <c r="BL7" s="386">
        <f t="shared" si="32"/>
        <v>0</v>
      </c>
      <c r="BM7" s="386">
        <f t="shared" si="33"/>
        <v>0</v>
      </c>
      <c r="BN7" s="386">
        <f t="shared" si="10"/>
        <v>0</v>
      </c>
      <c r="BO7" s="386">
        <f t="shared" si="11"/>
        <v>0</v>
      </c>
      <c r="BP7" s="386">
        <f t="shared" si="12"/>
        <v>0</v>
      </c>
      <c r="BQ7" s="386">
        <f t="shared" si="13"/>
        <v>0</v>
      </c>
      <c r="BR7" s="386">
        <f t="shared" si="14"/>
        <v>0</v>
      </c>
      <c r="BS7" s="386">
        <f t="shared" si="15"/>
        <v>0</v>
      </c>
      <c r="BT7" s="386">
        <f t="shared" si="16"/>
        <v>0</v>
      </c>
      <c r="BU7" s="386">
        <f t="shared" si="17"/>
        <v>0</v>
      </c>
      <c r="BV7" s="386">
        <f t="shared" si="18"/>
        <v>0</v>
      </c>
      <c r="BW7" s="386">
        <f t="shared" si="19"/>
        <v>0</v>
      </c>
      <c r="BX7" s="386">
        <f t="shared" si="34"/>
        <v>0</v>
      </c>
      <c r="BY7" s="386">
        <f t="shared" si="35"/>
        <v>0</v>
      </c>
      <c r="BZ7" s="386">
        <f t="shared" si="36"/>
        <v>0</v>
      </c>
      <c r="CA7" s="386">
        <f t="shared" si="37"/>
        <v>0</v>
      </c>
      <c r="CB7" s="386">
        <f t="shared" si="38"/>
        <v>0</v>
      </c>
      <c r="CC7" s="386">
        <f t="shared" si="20"/>
        <v>0</v>
      </c>
      <c r="CD7" s="386">
        <f t="shared" si="21"/>
        <v>0</v>
      </c>
      <c r="CE7" s="386">
        <f t="shared" si="22"/>
        <v>0</v>
      </c>
      <c r="CF7" s="386">
        <f t="shared" si="23"/>
        <v>0</v>
      </c>
      <c r="CG7" s="386">
        <f t="shared" si="24"/>
        <v>0</v>
      </c>
      <c r="CH7" s="386">
        <f t="shared" si="25"/>
        <v>0</v>
      </c>
      <c r="CI7" s="386">
        <f t="shared" si="26"/>
        <v>0</v>
      </c>
      <c r="CJ7" s="386">
        <f t="shared" si="39"/>
        <v>0</v>
      </c>
      <c r="CK7" s="386" t="str">
        <f t="shared" si="40"/>
        <v/>
      </c>
      <c r="CL7" s="386">
        <f t="shared" si="41"/>
        <v>60557.8</v>
      </c>
      <c r="CM7" s="386">
        <f t="shared" si="42"/>
        <v>4633.17</v>
      </c>
      <c r="CN7" s="386" t="str">
        <f t="shared" si="43"/>
        <v>0001-00</v>
      </c>
    </row>
    <row r="9" spans="1:92" ht="21" x14ac:dyDescent="0.35">
      <c r="AQ9" s="251" t="s">
        <v>272</v>
      </c>
    </row>
    <row r="10" spans="1:92" ht="15.75" thickBot="1" x14ac:dyDescent="0.3">
      <c r="AR10" t="s">
        <v>264</v>
      </c>
      <c r="AS10" s="386">
        <f>SUMIFS(AS2:AS7,G2:G7,"TAAE",E2:E7,"0001",F2:F7,"00",AT2:AT7,1)</f>
        <v>4</v>
      </c>
      <c r="AT10" s="386">
        <f>SUMIFS(AS2:AS7,G2:G7,"TAAE",E2:E7,"0001",F2:F7,"00",AT2:AT7,3)</f>
        <v>0</v>
      </c>
      <c r="AU10" s="386">
        <f>SUMIFS(AU2:AU7,G2:G7,"TAAE",E2:E7,"0001",F2:F7,"00")</f>
        <v>4</v>
      </c>
      <c r="AV10" s="386">
        <f>SUMIFS(AV2:AV7,G2:G7,"TAAE",E2:E7,"0001",F2:F7,"00")</f>
        <v>0</v>
      </c>
      <c r="AW10" s="386">
        <f>SUMIFS(AW2:AW7,G2:G7,"TAAE",E2:E7,"0001",F2:F7,"00")</f>
        <v>4</v>
      </c>
      <c r="AX10" s="386">
        <f>SUMIFS(AX2:AX7,G2:G7,"TAAE",E2:E7,"0001",F2:F7,"00")</f>
        <v>260020.8</v>
      </c>
      <c r="AY10" s="386">
        <f>SUMIFS(AY2:AY7,G2:G7,"TAAE",E2:E7,"0001",F2:F7,"00")</f>
        <v>260020.8</v>
      </c>
      <c r="AZ10" s="386">
        <f>SUMIFS(AZ2:AZ7,G2:G7,"TAAE",E2:E7,"0001",F2:F7,"00")</f>
        <v>0</v>
      </c>
      <c r="BA10" s="386">
        <f>SUMIFS(BA2:BA7,G2:G7,"TAAE",E2:E7,"0001",F2:F7,"00")</f>
        <v>0</v>
      </c>
      <c r="BB10" s="386">
        <f>SUMIFS(BB2:BB7,G2:G7,"TAAE",E2:E7,"0001",F2:F7,"00")</f>
        <v>46600</v>
      </c>
      <c r="BC10" s="386">
        <f>SUMIFS(BC2:BC7,G2:G7,"TAAE",E2:E7,"0001",F2:F7,"00")</f>
        <v>0</v>
      </c>
      <c r="BD10" s="386">
        <f>SUMIFS(BD2:BD7,G2:G7,"TAAE",E2:E7,"0001",F2:F7,"00")</f>
        <v>16121.2896</v>
      </c>
      <c r="BE10" s="386">
        <f>SUMIFS(BE2:BE7,G2:G7,"TAAE",E2:E7,"0001",F2:F7,"00")</f>
        <v>3770.3015999999998</v>
      </c>
      <c r="BF10" s="386">
        <f>SUMIFS(BF2:BF7,G2:G7,"TAAE",E2:E7,"0001",F2:F7,"00")</f>
        <v>31046.483520000002</v>
      </c>
      <c r="BG10" s="386">
        <f>SUMIFS(BG2:BG7,G2:G7,"TAAE",E2:E7,"0001",F2:F7,"00")</f>
        <v>1874.7499680000001</v>
      </c>
      <c r="BH10" s="386">
        <f>SUMIFS(BH2:BH7,G2:G7,"TAAE",E2:E7,"0001",F2:F7,"00")</f>
        <v>1274.1019199999998</v>
      </c>
      <c r="BI10" s="386">
        <f>SUMIFS(BI2:BI7,G2:G7,"TAAE",E2:E7,"0001",F2:F7,"00")</f>
        <v>907.32376800000009</v>
      </c>
      <c r="BJ10" s="386">
        <f>SUMIFS(BJ2:BJ7,G2:G7,"TAAE",E2:E7,"0001",F2:F7,"00")</f>
        <v>754.06031999999993</v>
      </c>
      <c r="BK10" s="386">
        <f>SUMIFS(BK2:BK7,G2:G7,"TAAE",E2:E7,"0001",F2:F7,"00")</f>
        <v>0</v>
      </c>
      <c r="BL10" s="386">
        <f>SUMIFS(BL2:BL7,G2:G7,"TAAE",E2:E7,"0001",F2:F7,"00")</f>
        <v>55748.310696</v>
      </c>
      <c r="BM10" s="386">
        <f>SUMIFS(BM2:BM7,G2:G7,"TAAE",E2:E7,"0001",F2:F7,"00")</f>
        <v>0</v>
      </c>
      <c r="BN10" s="386">
        <f>SUMIFS(BN2:BN7,G2:G7,"TAAE",E2:E7,"0001",F2:F7,"00")</f>
        <v>46600</v>
      </c>
      <c r="BO10" s="386">
        <f>SUMIFS(BO2:BO7,G2:G7,"TAAE",E2:E7,"0001",F2:F7,"00")</f>
        <v>0</v>
      </c>
      <c r="BP10" s="386">
        <f>SUMIFS(BP2:BP7,G2:G7,"TAAE",E2:E7,"0001",F2:F7,"00")</f>
        <v>16121.2896</v>
      </c>
      <c r="BQ10" s="386">
        <f>SUMIFS(BQ2:BQ7,G2:G7,"TAAE",E2:E7,"0001",F2:F7,"00")</f>
        <v>3770.3015999999998</v>
      </c>
      <c r="BR10" s="386">
        <f>SUMIFS(BR2:BR7,G2:G7,"TAAE",E2:E7,"0001",F2:F7,"00")</f>
        <v>31046.483520000002</v>
      </c>
      <c r="BS10" s="386">
        <f>SUMIFS(BS2:BS7,G2:G7,"TAAE",E2:E7,"0001",F2:F7,"00")</f>
        <v>1874.7499680000001</v>
      </c>
      <c r="BT10" s="386">
        <f>SUMIFS(BT2:BT7,G2:G7,"TAAE",E2:E7,"0001",F2:F7,"00")</f>
        <v>0</v>
      </c>
      <c r="BU10" s="386">
        <f>SUMIFS(BU2:BU7,G2:G7,"TAAE",E2:E7,"0001",F2:F7,"00")</f>
        <v>907.32376800000009</v>
      </c>
      <c r="BV10" s="386">
        <f>SUMIFS(BV2:BV7,G2:G7,"TAAE",E2:E7,"0001",F2:F7,"00")</f>
        <v>598.04783999999995</v>
      </c>
      <c r="BW10" s="386">
        <f>SUMIFS(BW2:BW7,G2:G7,"TAAE",E2:E7,"0001",F2:F7,"00")</f>
        <v>0</v>
      </c>
      <c r="BX10" s="386">
        <f>SUMIFS(BX2:BX7,G2:G7,"TAAE",E2:E7,"0001",F2:F7,"00")</f>
        <v>54318.196296000002</v>
      </c>
      <c r="BY10" s="386">
        <f>SUMIFS(BY2:BY7,G2:G7,"TAAE",E2:E7,"0001",F2:F7,"00")</f>
        <v>0</v>
      </c>
      <c r="BZ10" s="386">
        <f>SUMIFS(BZ2:BZ7,G2:G7,"TAAE",E2:E7,"0001",F2:F7,"00")</f>
        <v>0</v>
      </c>
      <c r="CA10" s="386">
        <f>SUMIFS(CA2:CA7,G2:G7,"TAAE",E2:E7,"0001",F2:F7,"00")</f>
        <v>0</v>
      </c>
      <c r="CB10" s="386">
        <f>SUMIFS(CB2:CB7,G2:G7,"TAAE",E2:E7,"0001",F2:F7,"00")</f>
        <v>0</v>
      </c>
      <c r="CC10" s="386">
        <f>SUMIFS(CC2:CC7,G2:G7,"TAAE",E2:E7,"0001",F2:F7,"00")</f>
        <v>0</v>
      </c>
      <c r="CD10" s="386">
        <f>SUMIFS(CD2:CD7,G2:G7,"TAAE",E2:E7,"0001",F2:F7,"00")</f>
        <v>0</v>
      </c>
      <c r="CE10" s="386">
        <f>SUMIFS(CE2:CE7,G2:G7,"TAAE",E2:E7,"0001",F2:F7,"00")</f>
        <v>0</v>
      </c>
      <c r="CF10" s="386">
        <f>SUMIFS(CF2:CF7,G2:G7,"TAAE",E2:E7,"0001",F2:F7,"00")</f>
        <v>-1274.1019199999998</v>
      </c>
      <c r="CG10" s="386">
        <f>SUMIFS(CG2:CG7,G2:G7,"TAAE",E2:E7,"0001",F2:F7,"00")</f>
        <v>0</v>
      </c>
      <c r="CH10" s="386">
        <f>SUMIFS(CH2:CH7,G2:G7,"TAAE",E2:E7,"0001",F2:F7,"00")</f>
        <v>-156.01247999999998</v>
      </c>
      <c r="CI10" s="386">
        <f>SUMIFS(CI2:CI7,G2:G7,"TAAE",E2:E7,"0001",F2:F7,"00")</f>
        <v>0</v>
      </c>
      <c r="CJ10" s="386">
        <f>SUMIFS(CJ2:CJ7,G2:G7,"TAAE",E2:E7,"0001",F2:F7,"00")</f>
        <v>-1430.1143999999999</v>
      </c>
      <c r="CK10" s="386">
        <f>SUMIFS(CK2:CK7,G2:G7,"TAAE",E2:E7,"0001",F2:F7,"00")</f>
        <v>0</v>
      </c>
      <c r="CL10" s="386">
        <f>SUMIFS(CL2:CL7,G2:G7,"TAAE",E2:E7,"0001",F2:F7,"00")</f>
        <v>60557.8</v>
      </c>
      <c r="CM10" s="386">
        <f>SUMIFS(CM2:CM7,G2:G7,"TAAE",E2:E7,"0001",F2:F7,"00")</f>
        <v>4633.17</v>
      </c>
    </row>
    <row r="11" spans="1:92" ht="18.75" x14ac:dyDescent="0.3">
      <c r="AQ11" s="392" t="s">
        <v>265</v>
      </c>
      <c r="AS11" s="393">
        <f t="shared" ref="AS11:CM11" si="44">SUM(AS10:AS10)</f>
        <v>4</v>
      </c>
      <c r="AT11" s="393">
        <f t="shared" si="44"/>
        <v>0</v>
      </c>
      <c r="AU11" s="393">
        <f t="shared" si="44"/>
        <v>4</v>
      </c>
      <c r="AV11" s="393">
        <f t="shared" si="44"/>
        <v>0</v>
      </c>
      <c r="AW11" s="393">
        <f t="shared" si="44"/>
        <v>4</v>
      </c>
      <c r="AX11" s="393">
        <f t="shared" si="44"/>
        <v>260020.8</v>
      </c>
      <c r="AY11" s="393">
        <f t="shared" si="44"/>
        <v>260020.8</v>
      </c>
      <c r="AZ11" s="393">
        <f t="shared" si="44"/>
        <v>0</v>
      </c>
      <c r="BA11" s="393">
        <f t="shared" si="44"/>
        <v>0</v>
      </c>
      <c r="BB11" s="393">
        <f t="shared" si="44"/>
        <v>46600</v>
      </c>
      <c r="BC11" s="393">
        <f t="shared" si="44"/>
        <v>0</v>
      </c>
      <c r="BD11" s="393">
        <f t="shared" si="44"/>
        <v>16121.2896</v>
      </c>
      <c r="BE11" s="393">
        <f t="shared" si="44"/>
        <v>3770.3015999999998</v>
      </c>
      <c r="BF11" s="393">
        <f t="shared" si="44"/>
        <v>31046.483520000002</v>
      </c>
      <c r="BG11" s="393">
        <f t="shared" si="44"/>
        <v>1874.7499680000001</v>
      </c>
      <c r="BH11" s="393">
        <f t="shared" si="44"/>
        <v>1274.1019199999998</v>
      </c>
      <c r="BI11" s="393">
        <f t="shared" si="44"/>
        <v>907.32376800000009</v>
      </c>
      <c r="BJ11" s="393">
        <f t="shared" si="44"/>
        <v>754.06031999999993</v>
      </c>
      <c r="BK11" s="393">
        <f t="shared" si="44"/>
        <v>0</v>
      </c>
      <c r="BL11" s="393">
        <f t="shared" si="44"/>
        <v>55748.310696</v>
      </c>
      <c r="BM11" s="393">
        <f t="shared" si="44"/>
        <v>0</v>
      </c>
      <c r="BN11" s="393">
        <f t="shared" si="44"/>
        <v>46600</v>
      </c>
      <c r="BO11" s="393">
        <f t="shared" si="44"/>
        <v>0</v>
      </c>
      <c r="BP11" s="393">
        <f t="shared" si="44"/>
        <v>16121.2896</v>
      </c>
      <c r="BQ11" s="393">
        <f t="shared" si="44"/>
        <v>3770.3015999999998</v>
      </c>
      <c r="BR11" s="393">
        <f t="shared" si="44"/>
        <v>31046.483520000002</v>
      </c>
      <c r="BS11" s="393">
        <f t="shared" si="44"/>
        <v>1874.7499680000001</v>
      </c>
      <c r="BT11" s="393">
        <f t="shared" si="44"/>
        <v>0</v>
      </c>
      <c r="BU11" s="393">
        <f t="shared" si="44"/>
        <v>907.32376800000009</v>
      </c>
      <c r="BV11" s="393">
        <f t="shared" si="44"/>
        <v>598.04783999999995</v>
      </c>
      <c r="BW11" s="393">
        <f t="shared" si="44"/>
        <v>0</v>
      </c>
      <c r="BX11" s="393">
        <f t="shared" si="44"/>
        <v>54318.196296000002</v>
      </c>
      <c r="BY11" s="393">
        <f t="shared" si="44"/>
        <v>0</v>
      </c>
      <c r="BZ11" s="393">
        <f t="shared" si="44"/>
        <v>0</v>
      </c>
      <c r="CA11" s="393">
        <f t="shared" si="44"/>
        <v>0</v>
      </c>
      <c r="CB11" s="393">
        <f t="shared" si="44"/>
        <v>0</v>
      </c>
      <c r="CC11" s="393">
        <f t="shared" si="44"/>
        <v>0</v>
      </c>
      <c r="CD11" s="393">
        <f t="shared" si="44"/>
        <v>0</v>
      </c>
      <c r="CE11" s="393">
        <f t="shared" si="44"/>
        <v>0</v>
      </c>
      <c r="CF11" s="393">
        <f t="shared" si="44"/>
        <v>-1274.1019199999998</v>
      </c>
      <c r="CG11" s="393">
        <f t="shared" si="44"/>
        <v>0</v>
      </c>
      <c r="CH11" s="393">
        <f t="shared" si="44"/>
        <v>-156.01247999999998</v>
      </c>
      <c r="CI11" s="393">
        <f t="shared" si="44"/>
        <v>0</v>
      </c>
      <c r="CJ11" s="393">
        <f t="shared" si="44"/>
        <v>-1430.1143999999999</v>
      </c>
      <c r="CK11" s="393">
        <f t="shared" si="44"/>
        <v>0</v>
      </c>
      <c r="CL11" s="393">
        <f t="shared" si="44"/>
        <v>60557.8</v>
      </c>
      <c r="CM11" s="393">
        <f t="shared" si="44"/>
        <v>4633.17</v>
      </c>
    </row>
    <row r="13" spans="1:92" ht="21" x14ac:dyDescent="0.35">
      <c r="AO13" s="251" t="s">
        <v>97</v>
      </c>
      <c r="AP13" s="251"/>
      <c r="AQ13" s="251"/>
    </row>
    <row r="15" spans="1:92" ht="21" x14ac:dyDescent="0.35">
      <c r="AO15" s="252"/>
      <c r="AP15" s="252"/>
      <c r="AQ15" s="252"/>
    </row>
    <row r="16" spans="1:92" ht="15.75" x14ac:dyDescent="0.25">
      <c r="AS16" s="373" t="s">
        <v>83</v>
      </c>
      <c r="AT16" s="474" t="s">
        <v>275</v>
      </c>
      <c r="AU16" s="474"/>
      <c r="AV16" s="475" t="s">
        <v>273</v>
      </c>
      <c r="AW16" s="474" t="s">
        <v>276</v>
      </c>
      <c r="AX16" s="474"/>
      <c r="AY16" s="475" t="s">
        <v>274</v>
      </c>
      <c r="AZ16" s="474" t="s">
        <v>277</v>
      </c>
      <c r="BA16" s="474"/>
    </row>
    <row r="17" spans="41:73" ht="15.75" x14ac:dyDescent="0.25">
      <c r="AS17" s="249"/>
      <c r="AT17" s="373" t="s">
        <v>94</v>
      </c>
      <c r="AU17" s="372" t="s">
        <v>96</v>
      </c>
      <c r="AV17" s="476"/>
      <c r="AW17" s="373" t="s">
        <v>98</v>
      </c>
      <c r="AX17" s="372" t="s">
        <v>95</v>
      </c>
      <c r="AY17" s="476"/>
      <c r="AZ17" s="373" t="s">
        <v>98</v>
      </c>
      <c r="BA17" s="372" t="s">
        <v>95</v>
      </c>
    </row>
    <row r="18" spans="41:73" x14ac:dyDescent="0.25">
      <c r="AO18" s="391" t="s">
        <v>278</v>
      </c>
    </row>
    <row r="19" spans="41:73" x14ac:dyDescent="0.25">
      <c r="AQ19" t="s">
        <v>269</v>
      </c>
      <c r="AS19" s="386">
        <f>SUM(SUMIFS(AS2:AS7,CN2:CN7,AQ19,E2:E7,"0001",F2:F7,"00",AT2:AT7,{1,3}))</f>
        <v>4</v>
      </c>
      <c r="AT19" s="386">
        <f>SUMPRODUCT(--(CN2:CN7=AQ19),--(N2:N7&lt;&gt;"NG"),--(AG2:AG7&lt;&gt;"D"),--(AR2:AR7&lt;&gt;6),--(AR2:AR7&lt;&gt;36),--(AR2:AR7&lt;&gt;56),T2:T7)+SUMPRODUCT(--(CN2:CN7=AQ19),--(N2:N7&lt;&gt;"NG"),--(AG2:AG7&lt;&gt;"D"),--(AR2:AR7&lt;&gt;6),--(AR2:AR7&lt;&gt;36),--(AR2:AR7&lt;&gt;56),U2:U7)</f>
        <v>243340.53999999998</v>
      </c>
      <c r="AU19" s="386">
        <f>SUMPRODUCT(--(CN2:CN7=AQ19),--(N2:N7&lt;&gt;"NG"),--(AG2:AG7&lt;&gt;"D"),--(AR2:AR7&lt;&gt;6),--(AR2:AR7&lt;&gt;36),--(AR2:AR7&lt;&gt;56),V2:V7)</f>
        <v>96466.4</v>
      </c>
      <c r="AV19" s="386">
        <f>SUMPRODUCT(--(CN2:CN7=AQ19),AY2:AY7)+SUMPRODUCT(--(CN2:CN7=AQ19),AZ2:AZ7)</f>
        <v>260020.8</v>
      </c>
      <c r="AW19" s="386">
        <f>SUMPRODUCT(--(CN2:CN7=AQ19),BB2:BB7)+SUMPRODUCT(--(CN2:CN7=AQ19),BC2:BC7)</f>
        <v>46600</v>
      </c>
      <c r="AX19" s="386">
        <f>SUMPRODUCT(--(CN2:CN7=AQ19),BL2:BL7)+SUMPRODUCT(--(CN2:CN7=AQ19),BM2:BM7)</f>
        <v>55748.310696</v>
      </c>
      <c r="AY19" s="386">
        <f>SUMPRODUCT(--(CN2:CN7=AQ19),AY2:AY7)+SUMPRODUCT(--(CN2:CN7=AQ19),AZ2:AZ7)+SUMPRODUCT(--(CN2:CN7=AQ19),BA2:BA7)</f>
        <v>260020.8</v>
      </c>
      <c r="AZ19" s="386">
        <f>SUMPRODUCT(--(CN2:CN7=AQ19),BN2:BN7)+SUMPRODUCT(--(CN2:CN7=AQ19),BO2:BO7)</f>
        <v>46600</v>
      </c>
      <c r="BA19" s="386">
        <f>SUMPRODUCT(--(CN2:CN7=AQ19),BX2:BX7)+SUMPRODUCT(--(CN2:CN7=AQ19),BY2:BY7)</f>
        <v>54318.196296000002</v>
      </c>
    </row>
    <row r="20" spans="41:73" x14ac:dyDescent="0.25">
      <c r="AP20" t="s">
        <v>279</v>
      </c>
      <c r="AS20" s="397">
        <f t="shared" ref="AS20:BA20" si="45">SUM(AS19:AS19)</f>
        <v>4</v>
      </c>
      <c r="AT20" s="397">
        <f t="shared" si="45"/>
        <v>243340.53999999998</v>
      </c>
      <c r="AU20" s="397">
        <f t="shared" si="45"/>
        <v>96466.4</v>
      </c>
      <c r="AV20" s="397">
        <f t="shared" si="45"/>
        <v>260020.8</v>
      </c>
      <c r="AW20" s="397">
        <f t="shared" si="45"/>
        <v>46600</v>
      </c>
      <c r="AX20" s="397">
        <f t="shared" si="45"/>
        <v>55748.310696</v>
      </c>
      <c r="AY20" s="397">
        <f t="shared" si="45"/>
        <v>260020.8</v>
      </c>
      <c r="AZ20" s="397">
        <f t="shared" si="45"/>
        <v>46600</v>
      </c>
      <c r="BA20" s="397">
        <f t="shared" si="45"/>
        <v>54318.196296000002</v>
      </c>
    </row>
    <row r="21" spans="41:73" x14ac:dyDescent="0.25">
      <c r="AS21" s="386"/>
      <c r="AT21" s="386"/>
      <c r="AU21" s="386"/>
      <c r="AV21" s="386"/>
      <c r="AW21" s="386"/>
      <c r="AX21" s="386"/>
      <c r="AY21" s="386"/>
      <c r="AZ21" s="386"/>
      <c r="BA21" s="386"/>
    </row>
    <row r="22" spans="41:73" x14ac:dyDescent="0.25">
      <c r="AO22" s="395" t="s">
        <v>280</v>
      </c>
      <c r="AS22" s="398">
        <f t="shared" ref="AS22:BA22" si="46">SUM(AS20)</f>
        <v>4</v>
      </c>
      <c r="AT22" s="398">
        <f t="shared" si="46"/>
        <v>243340.53999999998</v>
      </c>
      <c r="AU22" s="398">
        <f t="shared" si="46"/>
        <v>96466.4</v>
      </c>
      <c r="AV22" s="398">
        <f t="shared" si="46"/>
        <v>260020.8</v>
      </c>
      <c r="AW22" s="398">
        <f t="shared" si="46"/>
        <v>46600</v>
      </c>
      <c r="AX22" s="398">
        <f t="shared" si="46"/>
        <v>55748.310696</v>
      </c>
      <c r="AY22" s="398">
        <f t="shared" si="46"/>
        <v>260020.8</v>
      </c>
      <c r="AZ22" s="398">
        <f t="shared" si="46"/>
        <v>46600</v>
      </c>
      <c r="BA22" s="398">
        <f t="shared" si="46"/>
        <v>54318.196296000002</v>
      </c>
    </row>
    <row r="23" spans="41:73" x14ac:dyDescent="0.25">
      <c r="AS23" s="386"/>
      <c r="AT23" s="386"/>
      <c r="AU23" s="386"/>
      <c r="AV23" s="386"/>
      <c r="AW23" s="386"/>
      <c r="AX23" s="386"/>
      <c r="AY23" s="386"/>
      <c r="AZ23" s="386"/>
      <c r="BA23" s="386"/>
    </row>
    <row r="24" spans="41:73" x14ac:dyDescent="0.25">
      <c r="AO24" s="391" t="s">
        <v>281</v>
      </c>
      <c r="AS24" s="386"/>
      <c r="AT24" s="386"/>
      <c r="AU24" s="386"/>
      <c r="AV24" s="386"/>
      <c r="AW24" s="386"/>
      <c r="AX24" s="386"/>
      <c r="AY24" s="386"/>
      <c r="AZ24" s="386"/>
      <c r="BA24" s="386"/>
    </row>
    <row r="25" spans="41:73" x14ac:dyDescent="0.25">
      <c r="AQ25" t="s">
        <v>269</v>
      </c>
      <c r="AS25" s="386"/>
      <c r="AT25" s="386">
        <f>SUMIF(CN2:CN7,AQ25,CL2:CL7)</f>
        <v>60557.8</v>
      </c>
      <c r="AU25" s="386">
        <f>SUMIF(CN2:CN7,AQ25,CM2:CM7)</f>
        <v>4633.17</v>
      </c>
      <c r="AV25" s="386">
        <f>SUMIF(CN2:CN7,AQ25,CL2:CL7)</f>
        <v>60557.8</v>
      </c>
      <c r="AW25" s="386">
        <v>0</v>
      </c>
      <c r="AX25" s="386">
        <f>SUMIF(CN2:CN7,AQ25,CM2:CM7)</f>
        <v>4633.17</v>
      </c>
      <c r="AY25" s="386">
        <f>SUMIF(CN2:CN7,AQ25,CL2:CL7)</f>
        <v>60557.8</v>
      </c>
      <c r="AZ25" s="386">
        <v>0</v>
      </c>
      <c r="BA25" s="386">
        <f>SUMIF(CN2:CN7,AQ25,CM2:CM7)</f>
        <v>4633.17</v>
      </c>
    </row>
    <row r="26" spans="41:73" x14ac:dyDescent="0.25">
      <c r="AP26" t="s">
        <v>279</v>
      </c>
      <c r="AS26" s="397"/>
      <c r="AT26" s="397">
        <f t="shared" ref="AT26:BA26" si="47">SUM(AT25:AT25)</f>
        <v>60557.8</v>
      </c>
      <c r="AU26" s="397">
        <f t="shared" si="47"/>
        <v>4633.17</v>
      </c>
      <c r="AV26" s="397">
        <f t="shared" si="47"/>
        <v>60557.8</v>
      </c>
      <c r="AW26" s="397">
        <f t="shared" si="47"/>
        <v>0</v>
      </c>
      <c r="AX26" s="397">
        <f t="shared" si="47"/>
        <v>4633.17</v>
      </c>
      <c r="AY26" s="397">
        <f t="shared" si="47"/>
        <v>60557.8</v>
      </c>
      <c r="AZ26" s="397">
        <f t="shared" si="47"/>
        <v>0</v>
      </c>
      <c r="BA26" s="397">
        <f t="shared" si="47"/>
        <v>4633.17</v>
      </c>
    </row>
    <row r="27" spans="41:73" x14ac:dyDescent="0.25">
      <c r="AS27" s="386"/>
      <c r="AT27" s="386"/>
      <c r="AU27" s="386"/>
      <c r="AV27" s="386"/>
      <c r="AW27" s="386"/>
      <c r="AX27" s="386"/>
      <c r="AY27" s="386"/>
      <c r="AZ27" s="386"/>
      <c r="BA27" s="386"/>
    </row>
    <row r="28" spans="41:73" x14ac:dyDescent="0.25">
      <c r="AO28" s="395" t="s">
        <v>282</v>
      </c>
      <c r="AS28" s="398">
        <f t="shared" ref="AS28:BA28" si="48">SUM(AS26)</f>
        <v>0</v>
      </c>
      <c r="AT28" s="398">
        <f t="shared" si="48"/>
        <v>60557.8</v>
      </c>
      <c r="AU28" s="398">
        <f t="shared" si="48"/>
        <v>4633.17</v>
      </c>
      <c r="AV28" s="398">
        <f t="shared" si="48"/>
        <v>60557.8</v>
      </c>
      <c r="AW28" s="398">
        <f t="shared" si="48"/>
        <v>0</v>
      </c>
      <c r="AX28" s="398">
        <f t="shared" si="48"/>
        <v>4633.17</v>
      </c>
      <c r="AY28" s="398">
        <f t="shared" si="48"/>
        <v>60557.8</v>
      </c>
      <c r="AZ28" s="398">
        <f t="shared" si="48"/>
        <v>0</v>
      </c>
      <c r="BA28" s="398">
        <f t="shared" si="48"/>
        <v>4633.17</v>
      </c>
      <c r="BO28" s="391"/>
      <c r="BU28" s="391"/>
    </row>
    <row r="29" spans="41:73" x14ac:dyDescent="0.25">
      <c r="AS29" s="386"/>
      <c r="AT29" s="386"/>
      <c r="AU29" s="386"/>
      <c r="AV29" s="386"/>
      <c r="AW29" s="386"/>
      <c r="AX29" s="386"/>
      <c r="AY29" s="386"/>
      <c r="AZ29" s="386"/>
      <c r="BA29" s="386"/>
    </row>
    <row r="30" spans="41:73" x14ac:dyDescent="0.25">
      <c r="AO30" s="396" t="s">
        <v>283</v>
      </c>
      <c r="AS30" s="399">
        <f t="shared" ref="AS30:BA30" si="49">SUM(AS22,AS28)</f>
        <v>4</v>
      </c>
      <c r="AT30" s="400">
        <f t="shared" si="49"/>
        <v>303898.33999999997</v>
      </c>
      <c r="AU30" s="400">
        <f t="shared" si="49"/>
        <v>101099.56999999999</v>
      </c>
      <c r="AV30" s="400">
        <f t="shared" si="49"/>
        <v>320578.59999999998</v>
      </c>
      <c r="AW30" s="400">
        <f t="shared" si="49"/>
        <v>46600</v>
      </c>
      <c r="AX30" s="400">
        <f t="shared" si="49"/>
        <v>60381.480695999999</v>
      </c>
      <c r="AY30" s="400">
        <f t="shared" si="49"/>
        <v>320578.59999999998</v>
      </c>
      <c r="AZ30" s="400">
        <f t="shared" si="49"/>
        <v>46600</v>
      </c>
      <c r="BA30" s="400">
        <f t="shared" si="49"/>
        <v>58951.366296</v>
      </c>
    </row>
  </sheetData>
  <mergeCells count="5">
    <mergeCell ref="AT16:AU16"/>
    <mergeCell ref="AV16:AV17"/>
    <mergeCell ref="AW16:AX16"/>
    <mergeCell ref="AY16:AY17"/>
    <mergeCell ref="AZ16:BA16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opLeftCell="A7" zoomScaleNormal="100" workbookViewId="0">
      <selection activeCell="H18" sqref="H18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7"/>
      <c r="B1" s="477"/>
      <c r="C1" s="477"/>
      <c r="D1" s="477"/>
      <c r="E1" s="477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2.8999999999999998E-3</v>
      </c>
      <c r="D8" s="234">
        <v>2.3E-3</v>
      </c>
      <c r="E8" s="314">
        <f t="shared" si="0"/>
        <v>-5.9999999999999984E-4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9.7044999999999992E-2</v>
      </c>
      <c r="D12" s="234">
        <f>SUM(D5:D11)</f>
        <v>9.1544999999999987E-2</v>
      </c>
      <c r="E12" s="315">
        <f>D12-C12</f>
        <v>-5.5000000000000049E-3</v>
      </c>
      <c r="M12" s="320"/>
    </row>
    <row r="13" spans="1:15" x14ac:dyDescent="0.3">
      <c r="A13" s="3"/>
      <c r="B13" s="231" t="s">
        <v>9</v>
      </c>
      <c r="C13" s="226">
        <f>SUM(C5:C8)</f>
        <v>8.43E-2</v>
      </c>
      <c r="D13" s="226">
        <f>SUM(D5:D8)</f>
        <v>7.8799999999999995E-2</v>
      </c>
      <c r="E13" s="313">
        <f t="shared" si="0"/>
        <v>-5.5000000000000049E-3</v>
      </c>
      <c r="F13" s="8"/>
    </row>
    <row r="14" spans="1:15" x14ac:dyDescent="0.3">
      <c r="A14" s="230"/>
      <c r="B14" s="232" t="s">
        <v>102</v>
      </c>
      <c r="C14" s="226">
        <f>SUM(C5:C6,C8:C9)</f>
        <v>8.6609999999999993E-2</v>
      </c>
      <c r="D14" s="226">
        <f>SUM(D5:D6,D8:D9)</f>
        <v>8.6009999999999989E-2</v>
      </c>
      <c r="E14" s="313">
        <f>D14-C14</f>
        <v>-6.0000000000000331E-4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8" t="s">
        <v>110</v>
      </c>
      <c r="B28" s="478"/>
      <c r="C28" s="478"/>
      <c r="D28" s="478"/>
      <c r="E28" s="478"/>
    </row>
    <row r="29" spans="1:11" x14ac:dyDescent="0.3">
      <c r="A29" s="478" t="s">
        <v>111</v>
      </c>
      <c r="B29" s="478"/>
      <c r="C29" s="478"/>
      <c r="D29" s="478"/>
      <c r="E29" s="478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7"/>
      <c r="N1" s="468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69"/>
      <c r="N2" s="470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7"/>
      <c r="N3" s="468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/>
      <c r="J5" s="471"/>
      <c r="K5" s="471"/>
      <c r="L5" s="470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2" t="s">
        <v>22</v>
      </c>
      <c r="D8" s="473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3" t="s">
        <v>27</v>
      </c>
      <c r="D10" s="46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3" t="s">
        <v>28</v>
      </c>
      <c r="D11" s="46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3" t="s">
        <v>29</v>
      </c>
      <c r="D12" s="444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3" t="s">
        <v>30</v>
      </c>
      <c r="D13" s="46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3" t="s">
        <v>32</v>
      </c>
      <c r="D16" s="45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3" t="s">
        <v>38</v>
      </c>
      <c r="D41" s="444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7" t="s">
        <v>39</v>
      </c>
      <c r="D43" s="448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9"/>
      <c r="D44" s="450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9" t="s">
        <v>51</v>
      </c>
      <c r="D57" s="423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9" t="s">
        <v>54</v>
      </c>
      <c r="D61" s="423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5" priority="5">
      <formula>$J$44&lt;0</formula>
    </cfRule>
  </conditionalFormatting>
  <conditionalFormatting sqref="K43">
    <cfRule type="expression" dxfId="4" priority="4">
      <formula>$J$43&lt;0</formula>
    </cfRule>
  </conditionalFormatting>
  <conditionalFormatting sqref="L16">
    <cfRule type="expression" dxfId="3" priority="3">
      <formula>$J$16&lt;0</formula>
    </cfRule>
  </conditionalFormatting>
  <conditionalFormatting sqref="K45">
    <cfRule type="expression" dxfId="2" priority="2">
      <formula>$J$44&lt;0</formula>
    </cfRule>
  </conditionalFormatting>
  <conditionalFormatting sqref="K43:N45">
    <cfRule type="containsText" dxfId="1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0"/>
  <sheetViews>
    <sheetView workbookViewId="0">
      <selection activeCell="A2" sqref="A2:L10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4" t="s">
        <v>271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9" x14ac:dyDescent="0.25">
      <c r="A2" s="472" t="s">
        <v>22</v>
      </c>
      <c r="B2" s="473"/>
      <c r="C2" s="370" t="s">
        <v>23</v>
      </c>
      <c r="D2" s="49" t="s">
        <v>24</v>
      </c>
      <c r="E2" s="50" t="str">
        <f>"FY "&amp;'TAAE|0001-00'!FiscalYear-1&amp;" SALARY"</f>
        <v>FY 2022 SALARY</v>
      </c>
      <c r="F2" s="50" t="str">
        <f>"FY "&amp;'TAAE|0001-00'!FiscalYear-1&amp;" HEALTH BENEFITS"</f>
        <v>FY 2022 HEALTH BENEFITS</v>
      </c>
      <c r="G2" s="50" t="str">
        <f>"FY "&amp;'TAAE|0001-00'!FiscalYear-1&amp;" VAR BENEFITS"</f>
        <v>FY 2022 VAR BENEFITS</v>
      </c>
      <c r="H2" s="50" t="str">
        <f>"FY "&amp;'TAAE|0001-00'!FiscalYear-1&amp;" TOTAL"</f>
        <v>FY 2022 TOTAL</v>
      </c>
      <c r="I2" s="50" t="str">
        <f>"FY "&amp;'TAAE|0001-00'!FiscalYear&amp;" SALARY CHANGE"</f>
        <v>FY 2023 SALARY CHANGE</v>
      </c>
      <c r="J2" s="50" t="str">
        <f>"FY "&amp;'TAAE|0001-00'!FiscalYear&amp;" CHG HEALTH BENEFITS"</f>
        <v>FY 2023 CHG HEALTH BENEFITS</v>
      </c>
      <c r="K2" s="50" t="str">
        <f>"FY "&amp;'TAAE|0001-00'!FiscalYear&amp;" CHG VAR BENEFITS"</f>
        <v>FY 2023 CHG VAR BENEFITS</v>
      </c>
      <c r="L2" s="50" t="s">
        <v>25</v>
      </c>
    </row>
    <row r="3" spans="1:12" x14ac:dyDescent="0.25">
      <c r="A3" s="464" t="s">
        <v>26</v>
      </c>
      <c r="B3" s="465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3" t="s">
        <v>27</v>
      </c>
      <c r="B4" s="466"/>
      <c r="C4" s="217">
        <v>1</v>
      </c>
      <c r="D4" s="288">
        <f>[0]!TAAE000100col_INC_FTI</f>
        <v>4</v>
      </c>
      <c r="E4" s="218">
        <f>[0]!TAAE000100col_FTI_SALARY_PERM</f>
        <v>260020.8</v>
      </c>
      <c r="F4" s="218">
        <f>[0]!TAAE000100col_HEALTH_PERM</f>
        <v>46600</v>
      </c>
      <c r="G4" s="218">
        <f>[0]!TAAE000100col_TOT_VB_PERM</f>
        <v>55748.310696</v>
      </c>
      <c r="H4" s="219">
        <f>SUM(E4:G4)</f>
        <v>362369.11069599999</v>
      </c>
      <c r="I4" s="219">
        <f>[0]!TAAE000100col_1_27TH_PP</f>
        <v>0</v>
      </c>
      <c r="J4" s="218">
        <f>[0]!TAAE000100col_HEALTH_PERM_CHG</f>
        <v>0</v>
      </c>
      <c r="K4" s="218">
        <f>[0]!TAAE000100col_TOT_VB_PERM_CHG</f>
        <v>-1430.1143999999999</v>
      </c>
      <c r="L4" s="218">
        <f>SUM(J4:K4)</f>
        <v>-1430.1143999999999</v>
      </c>
    </row>
    <row r="5" spans="1:12" x14ac:dyDescent="0.25">
      <c r="A5" s="443" t="s">
        <v>28</v>
      </c>
      <c r="B5" s="466"/>
      <c r="C5" s="217">
        <v>2</v>
      </c>
      <c r="D5" s="288"/>
      <c r="E5" s="218">
        <f>[0]!TAAE000100col_Group_Salary</f>
        <v>60557.8</v>
      </c>
      <c r="F5" s="218">
        <v>0</v>
      </c>
      <c r="G5" s="218">
        <f>[0]!TAAE000100col_Group_Ben</f>
        <v>4633.17</v>
      </c>
      <c r="H5" s="219">
        <f>SUM(E5:G5)</f>
        <v>65190.97</v>
      </c>
      <c r="I5" s="268"/>
      <c r="J5" s="218"/>
      <c r="K5" s="218"/>
      <c r="L5" s="218"/>
    </row>
    <row r="6" spans="1:12" x14ac:dyDescent="0.25">
      <c r="A6" s="443" t="s">
        <v>29</v>
      </c>
      <c r="B6" s="444"/>
      <c r="C6" s="217">
        <v>3</v>
      </c>
      <c r="D6" s="288">
        <f>[0]!TAAE000100col_TOTAL_ELECT_PCN_FTI</f>
        <v>0</v>
      </c>
      <c r="E6" s="218">
        <f>[0]!TAAE000100col_FTI_SALARY_ELECT</f>
        <v>0</v>
      </c>
      <c r="F6" s="218">
        <f>[0]!TAAE000100col_HEALTH_ELECT</f>
        <v>0</v>
      </c>
      <c r="G6" s="218">
        <f>[0]!TAAE000100col_TOT_VB_ELECT</f>
        <v>0</v>
      </c>
      <c r="H6" s="219">
        <f>SUM(E6:G6)</f>
        <v>0</v>
      </c>
      <c r="I6" s="268"/>
      <c r="J6" s="218">
        <f>[0]!TAAE000100col_HEALTH_ELECT_CHG</f>
        <v>0</v>
      </c>
      <c r="K6" s="218">
        <f>[0]!TAAE000100col_TOT_VB_ELECT_CHG</f>
        <v>0</v>
      </c>
      <c r="L6" s="219">
        <f>SUM(J6:K6)</f>
        <v>0</v>
      </c>
    </row>
    <row r="7" spans="1:12" x14ac:dyDescent="0.25">
      <c r="A7" s="443" t="s">
        <v>30</v>
      </c>
      <c r="B7" s="466"/>
      <c r="C7" s="217"/>
      <c r="D7" s="220">
        <f>SUM(D4:D6)</f>
        <v>4</v>
      </c>
      <c r="E7" s="221">
        <f>SUM(E4:E6)</f>
        <v>320578.59999999998</v>
      </c>
      <c r="F7" s="221">
        <f>SUM(F4:F6)</f>
        <v>46600</v>
      </c>
      <c r="G7" s="221">
        <f>SUM(G4:G6)</f>
        <v>60381.480695999999</v>
      </c>
      <c r="H7" s="219">
        <f>SUM(E7:G7)</f>
        <v>427560.08069599996</v>
      </c>
      <c r="I7" s="268"/>
      <c r="J7" s="219">
        <f>SUM(J4:J6)</f>
        <v>0</v>
      </c>
      <c r="K7" s="219">
        <f>SUM(K4:K6)</f>
        <v>-1430.1143999999999</v>
      </c>
      <c r="L7" s="219">
        <f>SUM(L4:L6)</f>
        <v>-1430.1143999999999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"&amp;'TAAE|0001-00'!FiscalYear-1</f>
        <v>FY 2022</v>
      </c>
      <c r="B9" s="158" t="s">
        <v>31</v>
      </c>
      <c r="C9" s="355">
        <v>550600</v>
      </c>
      <c r="D9" s="55">
        <v>5</v>
      </c>
      <c r="E9" s="223">
        <f>IF('TAAE|0001-00'!OrigApprop=0,0,(E7/H7)*'TAAE|0001-00'!OrigApprop)</f>
        <v>412832.21967932268</v>
      </c>
      <c r="F9" s="223">
        <f>IF('TAAE|0001-00'!OrigApprop=0,0,(F7/H7)*'TAAE|0001-00'!OrigApprop)</f>
        <v>60010.186073107936</v>
      </c>
      <c r="G9" s="223">
        <f>IF(E9=0,0,(G7/H7)*'TAAE|0001-00'!OrigApprop)</f>
        <v>77757.594247569417</v>
      </c>
      <c r="H9" s="223">
        <f>SUM(E9:G9)</f>
        <v>550600</v>
      </c>
      <c r="I9" s="268"/>
      <c r="J9" s="224"/>
      <c r="K9" s="224"/>
      <c r="L9" s="224"/>
    </row>
    <row r="10" spans="1:12" x14ac:dyDescent="0.25">
      <c r="A10" s="453" t="s">
        <v>32</v>
      </c>
      <c r="B10" s="454"/>
      <c r="C10" s="160" t="s">
        <v>33</v>
      </c>
      <c r="D10" s="161">
        <f>D9-D7</f>
        <v>1</v>
      </c>
      <c r="E10" s="162">
        <f>E9-E7</f>
        <v>92253.619679322699</v>
      </c>
      <c r="F10" s="162">
        <f>F9-F7</f>
        <v>13410.186073107936</v>
      </c>
      <c r="G10" s="162">
        <f>G9-G7</f>
        <v>17376.113551569419</v>
      </c>
      <c r="H10" s="162">
        <f>H9-H7</f>
        <v>123039.91930400004</v>
      </c>
      <c r="I10" s="269"/>
      <c r="J10" s="56" t="str">
        <f>IF('TAAE|0001-00'!OrigApprop=0,"ERROR! Enter Original Appropriation amount in DU 3.00!","Calculated "&amp;IF('TAAE|0001-00'!AdjustedTotal&gt;0,"overfunding ","underfunding ")&amp;"is "&amp;TEXT('TAAE|0001-00'!AdjustedTotal/'TAAE|0001-00'!AppropTotal,"#.0%;(#.0% );0% ;")&amp;" of Original Appropriation")</f>
        <v>Calculated overfunding is 22.3% of Original Appropriation</v>
      </c>
      <c r="K10" s="163"/>
      <c r="L10" s="164"/>
    </row>
  </sheetData>
  <mergeCells count="7">
    <mergeCell ref="A10:B10"/>
    <mergeCell ref="A2:B2"/>
    <mergeCell ref="A3:B3"/>
    <mergeCell ref="A4:B4"/>
    <mergeCell ref="A5:B5"/>
    <mergeCell ref="A6:B6"/>
    <mergeCell ref="A7:B7"/>
  </mergeCells>
  <conditionalFormatting sqref="J10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Department of Revenue and Taxation&amp;R&amp;"Arial"&amp;10 Agency 351</oddHeader>
    <oddFooter>&amp;L&amp;"Arial"&amp;10 B6:Summary by Program, by Fund&amp;R&amp;"Arial"&amp;10 FY 2022 Request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19"/>
  <sheetViews>
    <sheetView workbookViewId="0">
      <selection activeCell="E8" sqref="E8:M19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5.7109375" bestFit="1" customWidth="1"/>
    <col min="6" max="6" width="11.7109375" bestFit="1" customWidth="1"/>
    <col min="7" max="7" width="14" bestFit="1" customWidth="1"/>
    <col min="8" max="8" width="11.7109375" bestFit="1" customWidth="1"/>
    <col min="9" max="9" width="15.42578125" bestFit="1" customWidth="1"/>
    <col min="10" max="10" width="17" bestFit="1" customWidth="1"/>
    <col min="11" max="11" width="11.710937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4" t="s">
        <v>275</v>
      </c>
      <c r="G5" s="474"/>
      <c r="H5" s="475" t="s">
        <v>273</v>
      </c>
      <c r="I5" s="474" t="s">
        <v>276</v>
      </c>
      <c r="J5" s="474"/>
      <c r="K5" s="475" t="s">
        <v>274</v>
      </c>
      <c r="L5" s="474" t="s">
        <v>277</v>
      </c>
      <c r="M5" s="474"/>
    </row>
    <row r="6" spans="1:13" ht="15.75" x14ac:dyDescent="0.25">
      <c r="E6" s="249"/>
      <c r="F6" s="253" t="s">
        <v>94</v>
      </c>
      <c r="G6" s="254" t="s">
        <v>96</v>
      </c>
      <c r="H6" s="476"/>
      <c r="I6" s="253" t="s">
        <v>98</v>
      </c>
      <c r="J6" s="254" t="s">
        <v>95</v>
      </c>
      <c r="K6" s="476"/>
      <c r="L6" s="278" t="s">
        <v>98</v>
      </c>
      <c r="M6" s="254" t="s">
        <v>95</v>
      </c>
    </row>
    <row r="7" spans="1:13" x14ac:dyDescent="0.25">
      <c r="A7" s="391" t="s">
        <v>278</v>
      </c>
      <c r="D7" s="250"/>
    </row>
    <row r="8" spans="1:13" x14ac:dyDescent="0.25">
      <c r="C8" t="s">
        <v>269</v>
      </c>
      <c r="D8" s="250"/>
      <c r="E8" s="401">
        <f>Data!AS19</f>
        <v>4</v>
      </c>
      <c r="F8" s="401">
        <f>Data!AT19</f>
        <v>243340.53999999998</v>
      </c>
      <c r="G8" s="401">
        <f>Data!AU19</f>
        <v>96466.4</v>
      </c>
      <c r="H8" s="401">
        <f>Data!AV19</f>
        <v>260020.8</v>
      </c>
      <c r="I8" s="401">
        <f>Data!AW19</f>
        <v>46600</v>
      </c>
      <c r="J8" s="401">
        <f>Data!AX19</f>
        <v>55748.310696</v>
      </c>
      <c r="K8" s="401">
        <f>Data!AY19</f>
        <v>260020.8</v>
      </c>
      <c r="L8" s="401">
        <f>Data!AZ19</f>
        <v>46600</v>
      </c>
      <c r="M8" s="401">
        <f>Data!BA19</f>
        <v>54318.196296000002</v>
      </c>
    </row>
    <row r="9" spans="1:13" x14ac:dyDescent="0.25">
      <c r="B9" t="s">
        <v>279</v>
      </c>
      <c r="D9" s="250"/>
      <c r="E9" s="402">
        <f>Data!AS20</f>
        <v>4</v>
      </c>
      <c r="F9" s="402">
        <f>Data!AT20</f>
        <v>243340.53999999998</v>
      </c>
      <c r="G9" s="402">
        <f>Data!AU20</f>
        <v>96466.4</v>
      </c>
      <c r="H9" s="402">
        <f>Data!AV20</f>
        <v>260020.8</v>
      </c>
      <c r="I9" s="402">
        <f>Data!AW20</f>
        <v>46600</v>
      </c>
      <c r="J9" s="402">
        <f>Data!AX20</f>
        <v>55748.310696</v>
      </c>
      <c r="K9" s="402">
        <f>Data!AY20</f>
        <v>260020.8</v>
      </c>
      <c r="L9" s="402">
        <f>Data!AZ20</f>
        <v>46600</v>
      </c>
      <c r="M9" s="402">
        <f>Data!BA20</f>
        <v>54318.196296000002</v>
      </c>
    </row>
    <row r="10" spans="1:13" x14ac:dyDescent="0.25">
      <c r="D10" s="250"/>
      <c r="E10" s="401">
        <f>Data!AS21</f>
        <v>0</v>
      </c>
      <c r="F10" s="401">
        <f>Data!AT21</f>
        <v>0</v>
      </c>
      <c r="G10" s="401">
        <f>Data!AU21</f>
        <v>0</v>
      </c>
      <c r="H10" s="401">
        <f>Data!AV21</f>
        <v>0</v>
      </c>
      <c r="I10" s="401">
        <f>Data!AW21</f>
        <v>0</v>
      </c>
      <c r="J10" s="401">
        <f>Data!AX21</f>
        <v>0</v>
      </c>
      <c r="K10" s="401">
        <f>Data!AY21</f>
        <v>0</v>
      </c>
      <c r="L10" s="401">
        <f>Data!AZ21</f>
        <v>0</v>
      </c>
      <c r="M10" s="401">
        <f>Data!BA21</f>
        <v>0</v>
      </c>
    </row>
    <row r="11" spans="1:13" x14ac:dyDescent="0.25">
      <c r="A11" s="395" t="s">
        <v>280</v>
      </c>
      <c r="D11" s="250"/>
      <c r="E11" s="403">
        <f>Data!AS22</f>
        <v>4</v>
      </c>
      <c r="F11" s="403">
        <f>Data!AT22</f>
        <v>243340.53999999998</v>
      </c>
      <c r="G11" s="403">
        <f>Data!AU22</f>
        <v>96466.4</v>
      </c>
      <c r="H11" s="403">
        <f>Data!AV22</f>
        <v>260020.8</v>
      </c>
      <c r="I11" s="403">
        <f>Data!AW22</f>
        <v>46600</v>
      </c>
      <c r="J11" s="403">
        <f>Data!AX22</f>
        <v>55748.310696</v>
      </c>
      <c r="K11" s="403">
        <f>Data!AY22</f>
        <v>260020.8</v>
      </c>
      <c r="L11" s="403">
        <f>Data!AZ22</f>
        <v>46600</v>
      </c>
      <c r="M11" s="403">
        <f>Data!BA22</f>
        <v>54318.196296000002</v>
      </c>
    </row>
    <row r="12" spans="1:13" x14ac:dyDescent="0.25">
      <c r="D12" s="250"/>
      <c r="E12" s="401">
        <f>Data!AS23</f>
        <v>0</v>
      </c>
      <c r="F12" s="401">
        <f>Data!AT23</f>
        <v>0</v>
      </c>
      <c r="G12" s="401">
        <f>Data!AU23</f>
        <v>0</v>
      </c>
      <c r="H12" s="401">
        <f>Data!AV23</f>
        <v>0</v>
      </c>
      <c r="I12" s="401">
        <f>Data!AW23</f>
        <v>0</v>
      </c>
      <c r="J12" s="401">
        <f>Data!AX23</f>
        <v>0</v>
      </c>
      <c r="K12" s="401">
        <f>Data!AY23</f>
        <v>0</v>
      </c>
      <c r="L12" s="401">
        <f>Data!AZ23</f>
        <v>0</v>
      </c>
      <c r="M12" s="401">
        <f>Data!BA23</f>
        <v>0</v>
      </c>
    </row>
    <row r="13" spans="1:13" x14ac:dyDescent="0.25">
      <c r="A13" s="391" t="s">
        <v>281</v>
      </c>
      <c r="D13" s="250"/>
      <c r="E13" s="401">
        <f>Data!AS24</f>
        <v>0</v>
      </c>
      <c r="F13" s="401">
        <f>Data!AT24</f>
        <v>0</v>
      </c>
      <c r="G13" s="401">
        <f>Data!AU24</f>
        <v>0</v>
      </c>
      <c r="H13" s="401">
        <f>Data!AV24</f>
        <v>0</v>
      </c>
      <c r="I13" s="401">
        <f>Data!AW24</f>
        <v>0</v>
      </c>
      <c r="J13" s="401">
        <f>Data!AX24</f>
        <v>0</v>
      </c>
      <c r="K13" s="401">
        <f>Data!AY24</f>
        <v>0</v>
      </c>
      <c r="L13" s="401">
        <f>Data!AZ24</f>
        <v>0</v>
      </c>
      <c r="M13" s="401">
        <f>Data!BA24</f>
        <v>0</v>
      </c>
    </row>
    <row r="14" spans="1:13" x14ac:dyDescent="0.25">
      <c r="C14" t="s">
        <v>269</v>
      </c>
      <c r="E14" s="401">
        <f>Data!AS25</f>
        <v>0</v>
      </c>
      <c r="F14" s="401">
        <f>Data!AT25</f>
        <v>60557.8</v>
      </c>
      <c r="G14" s="401">
        <f>Data!AU25</f>
        <v>4633.17</v>
      </c>
      <c r="H14" s="401">
        <f>Data!AV25</f>
        <v>60557.8</v>
      </c>
      <c r="I14" s="401">
        <f>Data!AW25</f>
        <v>0</v>
      </c>
      <c r="J14" s="401">
        <f>Data!AX25</f>
        <v>4633.17</v>
      </c>
      <c r="K14" s="401">
        <f>Data!AY25</f>
        <v>60557.8</v>
      </c>
      <c r="L14" s="401">
        <f>Data!AZ25</f>
        <v>0</v>
      </c>
      <c r="M14" s="401">
        <f>Data!BA25</f>
        <v>4633.17</v>
      </c>
    </row>
    <row r="15" spans="1:13" x14ac:dyDescent="0.25">
      <c r="B15" t="s">
        <v>279</v>
      </c>
      <c r="E15" s="402">
        <f>Data!AS26</f>
        <v>0</v>
      </c>
      <c r="F15" s="402">
        <f>Data!AT26</f>
        <v>60557.8</v>
      </c>
      <c r="G15" s="402">
        <f>Data!AU26</f>
        <v>4633.17</v>
      </c>
      <c r="H15" s="402">
        <f>Data!AV26</f>
        <v>60557.8</v>
      </c>
      <c r="I15" s="402">
        <f>Data!AW26</f>
        <v>0</v>
      </c>
      <c r="J15" s="402">
        <f>Data!AX26</f>
        <v>4633.17</v>
      </c>
      <c r="K15" s="402">
        <f>Data!AY26</f>
        <v>60557.8</v>
      </c>
      <c r="L15" s="402">
        <f>Data!AZ26</f>
        <v>0</v>
      </c>
      <c r="M15" s="402">
        <f>Data!BA26</f>
        <v>4633.17</v>
      </c>
    </row>
    <row r="16" spans="1:13" x14ac:dyDescent="0.25">
      <c r="E16" s="401">
        <f>Data!AS27</f>
        <v>0</v>
      </c>
      <c r="F16" s="401">
        <f>Data!AT27</f>
        <v>0</v>
      </c>
      <c r="G16" s="401">
        <f>Data!AU27</f>
        <v>0</v>
      </c>
      <c r="H16" s="401">
        <f>Data!AV27</f>
        <v>0</v>
      </c>
      <c r="I16" s="401">
        <f>Data!AW27</f>
        <v>0</v>
      </c>
      <c r="J16" s="401">
        <f>Data!AX27</f>
        <v>0</v>
      </c>
      <c r="K16" s="401">
        <f>Data!AY27</f>
        <v>0</v>
      </c>
      <c r="L16" s="401">
        <f>Data!AZ27</f>
        <v>0</v>
      </c>
      <c r="M16" s="401">
        <f>Data!BA27</f>
        <v>0</v>
      </c>
    </row>
    <row r="17" spans="1:13" x14ac:dyDescent="0.25">
      <c r="A17" s="395" t="s">
        <v>282</v>
      </c>
      <c r="E17" s="403">
        <f>Data!AS28</f>
        <v>0</v>
      </c>
      <c r="F17" s="403">
        <f>Data!AT28</f>
        <v>60557.8</v>
      </c>
      <c r="G17" s="403">
        <f>Data!AU28</f>
        <v>4633.17</v>
      </c>
      <c r="H17" s="403">
        <f>Data!AV28</f>
        <v>60557.8</v>
      </c>
      <c r="I17" s="403">
        <f>Data!AW28</f>
        <v>0</v>
      </c>
      <c r="J17" s="403">
        <f>Data!AX28</f>
        <v>4633.17</v>
      </c>
      <c r="K17" s="403">
        <f>Data!AY28</f>
        <v>60557.8</v>
      </c>
      <c r="L17" s="403">
        <f>Data!AZ28</f>
        <v>0</v>
      </c>
      <c r="M17" s="403">
        <f>Data!BA28</f>
        <v>4633.17</v>
      </c>
    </row>
    <row r="18" spans="1:13" x14ac:dyDescent="0.25">
      <c r="E18" s="401">
        <f>Data!AS29</f>
        <v>0</v>
      </c>
      <c r="F18" s="401">
        <f>Data!AT29</f>
        <v>0</v>
      </c>
      <c r="G18" s="401">
        <f>Data!AU29</f>
        <v>0</v>
      </c>
      <c r="H18" s="401">
        <f>Data!AV29</f>
        <v>0</v>
      </c>
      <c r="I18" s="401">
        <f>Data!AW29</f>
        <v>0</v>
      </c>
      <c r="J18" s="401">
        <f>Data!AX29</f>
        <v>0</v>
      </c>
      <c r="K18" s="401">
        <f>Data!AY29</f>
        <v>0</v>
      </c>
      <c r="L18" s="401">
        <f>Data!AZ29</f>
        <v>0</v>
      </c>
      <c r="M18" s="401">
        <f>Data!BA29</f>
        <v>0</v>
      </c>
    </row>
    <row r="19" spans="1:13" x14ac:dyDescent="0.25">
      <c r="A19" s="396" t="s">
        <v>283</v>
      </c>
      <c r="E19" s="399">
        <f>Data!AS30</f>
        <v>4</v>
      </c>
      <c r="F19" s="400">
        <f>Data!AT30</f>
        <v>303898.33999999997</v>
      </c>
      <c r="G19" s="400">
        <f>Data!AU30</f>
        <v>101099.56999999999</v>
      </c>
      <c r="H19" s="400">
        <f>Data!AV30</f>
        <v>320578.59999999998</v>
      </c>
      <c r="I19" s="400">
        <f>Data!AW30</f>
        <v>46600</v>
      </c>
      <c r="J19" s="400">
        <f>Data!AX30</f>
        <v>60381.480695999999</v>
      </c>
      <c r="K19" s="400">
        <f>Data!AY30</f>
        <v>320578.59999999998</v>
      </c>
      <c r="L19" s="400">
        <f>Data!AZ30</f>
        <v>46600</v>
      </c>
      <c r="M19" s="400">
        <f>Data!BA30</f>
        <v>58951.366296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4" orientation="landscape" horizontalDpi="1200" verticalDpi="1200" r:id="rId1"/>
  <headerFooter>
    <oddHeader>&amp;L&amp;"Arial"&amp;14 Department of Revenue and Taxation&amp;R&amp;"Arial"&amp;10 Agency 351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289</vt:i4>
      </vt:variant>
    </vt:vector>
  </HeadingPairs>
  <TitlesOfParts>
    <vt:vector size="295" baseType="lpstr">
      <vt:lpstr>TAAE|0001-00</vt:lpstr>
      <vt:lpstr>Data</vt:lpstr>
      <vt:lpstr>Benefits</vt:lpstr>
      <vt:lpstr>B6</vt:lpstr>
      <vt:lpstr>Summary</vt:lpstr>
      <vt:lpstr>FundSummary</vt:lpstr>
      <vt:lpstr>'TAAE|0001-00'!AdjGroupHlth</vt:lpstr>
      <vt:lpstr>AdjGroupHlth</vt:lpstr>
      <vt:lpstr>'TAAE|0001-00'!AdjGroupSalary</vt:lpstr>
      <vt:lpstr>AdjGroupSalary</vt:lpstr>
      <vt:lpstr>'TAAE|0001-00'!AdjGroupVB</vt:lpstr>
      <vt:lpstr>AdjGroupVB</vt:lpstr>
      <vt:lpstr>'TAAE|0001-00'!AdjGroupVBBY</vt:lpstr>
      <vt:lpstr>AdjGroupVBBY</vt:lpstr>
      <vt:lpstr>'TAAE|0001-00'!AdjPermHlth</vt:lpstr>
      <vt:lpstr>AdjPermHlth</vt:lpstr>
      <vt:lpstr>'TAAE|0001-00'!AdjPermHlthBY</vt:lpstr>
      <vt:lpstr>AdjPermHlthBY</vt:lpstr>
      <vt:lpstr>'TAAE|0001-00'!AdjPermSalary</vt:lpstr>
      <vt:lpstr>AdjPermSalary</vt:lpstr>
      <vt:lpstr>'TAAE|0001-00'!AdjPermVB</vt:lpstr>
      <vt:lpstr>AdjPermVB</vt:lpstr>
      <vt:lpstr>'TAAE|0001-00'!AdjPermVBBY</vt:lpstr>
      <vt:lpstr>AdjPermVBBY</vt:lpstr>
      <vt:lpstr>'TAAE|0001-00'!AdjustedTotal</vt:lpstr>
      <vt:lpstr>AdjustedTotal</vt:lpstr>
      <vt:lpstr>'TAAE|0001-00'!AgencyNum</vt:lpstr>
      <vt:lpstr>AgencyNum</vt:lpstr>
      <vt:lpstr>'TAAE|0001-00'!AppropFTP</vt:lpstr>
      <vt:lpstr>AppropFTP</vt:lpstr>
      <vt:lpstr>'TAAE|0001-00'!AppropTotal</vt:lpstr>
      <vt:lpstr>AppropTotal</vt:lpstr>
      <vt:lpstr>'TAAE|0001-00'!AtZHealth</vt:lpstr>
      <vt:lpstr>AtZHealth</vt:lpstr>
      <vt:lpstr>'TAAE|0001-00'!AtZSalary</vt:lpstr>
      <vt:lpstr>AtZSalary</vt:lpstr>
      <vt:lpstr>'TAAE|0001-00'!AtZTotal</vt:lpstr>
      <vt:lpstr>AtZTotal</vt:lpstr>
      <vt:lpstr>'TAAE|0001-00'!AtZVarBen</vt:lpstr>
      <vt:lpstr>AtZVarBen</vt:lpstr>
      <vt:lpstr>'TAAE|0001-00'!BudgetUnit</vt:lpstr>
      <vt:lpstr>BudgetUnit</vt:lpstr>
      <vt:lpstr>BudgetYear</vt:lpstr>
      <vt:lpstr>CECGroup</vt:lpstr>
      <vt:lpstr>'TAAE|0001-00'!CECOrigElectSalary</vt:lpstr>
      <vt:lpstr>CECOrigElectSalary</vt:lpstr>
      <vt:lpstr>'TAAE|0001-00'!CECOrigElectVB</vt:lpstr>
      <vt:lpstr>CECOrigElectVB</vt:lpstr>
      <vt:lpstr>'TAAE|0001-00'!CECOrigGroupSalary</vt:lpstr>
      <vt:lpstr>CECOrigGroupSalary</vt:lpstr>
      <vt:lpstr>'TAAE|0001-00'!CECOrigGroupVB</vt:lpstr>
      <vt:lpstr>CECOrigGroupVB</vt:lpstr>
      <vt:lpstr>'TAAE|0001-00'!CECOrigPermSalary</vt:lpstr>
      <vt:lpstr>CECOrigPermSalary</vt:lpstr>
      <vt:lpstr>'TAAE|0001-00'!CECOrigPermVB</vt:lpstr>
      <vt:lpstr>CECOrigPermVB</vt:lpstr>
      <vt:lpstr>CECPerm</vt:lpstr>
      <vt:lpstr>'TAAE|0001-00'!CECpermCalc</vt:lpstr>
      <vt:lpstr>CECpermCalc</vt:lpstr>
      <vt:lpstr>'TAAE|0001-00'!Department</vt:lpstr>
      <vt:lpstr>Department</vt:lpstr>
      <vt:lpstr>DHR</vt:lpstr>
      <vt:lpstr>DHRBY</vt:lpstr>
      <vt:lpstr>DHRCHG</vt:lpstr>
      <vt:lpstr>'TAAE|0001-00'!Division</vt:lpstr>
      <vt:lpstr>Division</vt:lpstr>
      <vt:lpstr>'TAAE|0001-00'!DUCECElect</vt:lpstr>
      <vt:lpstr>DUCECElect</vt:lpstr>
      <vt:lpstr>'TAAE|0001-00'!DUCECGroup</vt:lpstr>
      <vt:lpstr>DUCECGroup</vt:lpstr>
      <vt:lpstr>'TAAE|0001-00'!DUCECPerm</vt:lpstr>
      <vt:lpstr>DUCECPerm</vt:lpstr>
      <vt:lpstr>'TAAE|0001-00'!DUEleven</vt:lpstr>
      <vt:lpstr>DUEleven</vt:lpstr>
      <vt:lpstr>'TAAE|0001-00'!DUHealthBen</vt:lpstr>
      <vt:lpstr>DUHealthBen</vt:lpstr>
      <vt:lpstr>'TAAE|0001-00'!DUNine</vt:lpstr>
      <vt:lpstr>DUNine</vt:lpstr>
      <vt:lpstr>'TAAE|0001-00'!DUThirteen</vt:lpstr>
      <vt:lpstr>DUThirteen</vt:lpstr>
      <vt:lpstr>'TAAE|0001-00'!DUVariableBen</vt:lpstr>
      <vt:lpstr>DUVariableBen</vt:lpstr>
      <vt:lpstr>'TAAE|0001-00'!Elect_chg_health</vt:lpstr>
      <vt:lpstr>Elect_chg_health</vt:lpstr>
      <vt:lpstr>'TAAE|0001-00'!Elect_chg_Var</vt:lpstr>
      <vt:lpstr>Elect_chg_Var</vt:lpstr>
      <vt:lpstr>'TAAE|0001-00'!elect_FTP</vt:lpstr>
      <vt:lpstr>elect_FTP</vt:lpstr>
      <vt:lpstr>'TAAE|0001-00'!Elect_health</vt:lpstr>
      <vt:lpstr>Elect_health</vt:lpstr>
      <vt:lpstr>'TAAE|0001-00'!Elect_name</vt:lpstr>
      <vt:lpstr>Elect_name</vt:lpstr>
      <vt:lpstr>'TAAE|0001-00'!Elect_salary</vt:lpstr>
      <vt:lpstr>Elect_salary</vt:lpstr>
      <vt:lpstr>'TAAE|0001-00'!Elect_Var</vt:lpstr>
      <vt:lpstr>Elect_Var</vt:lpstr>
      <vt:lpstr>'TAAE|0001-00'!Elect_VarBen</vt:lpstr>
      <vt:lpstr>Elect_VarBen</vt:lpstr>
      <vt:lpstr>ElectVB</vt:lpstr>
      <vt:lpstr>ElectVBBY</vt:lpstr>
      <vt:lpstr>ElectVBCHG</vt:lpstr>
      <vt:lpstr>FillRate_Avg</vt:lpstr>
      <vt:lpstr>'TAAE|0001-00'!FiscalYear</vt:lpstr>
      <vt:lpstr>FiscalYear</vt:lpstr>
      <vt:lpstr>'TAAE|0001-00'!FundName</vt:lpstr>
      <vt:lpstr>FundName</vt:lpstr>
      <vt:lpstr>'TAAE|0001-00'!FundNum</vt:lpstr>
      <vt:lpstr>FundNum</vt:lpstr>
      <vt:lpstr>'TAAE|0001-00'!FundNumber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'TAAE|0001-00'!Group_name</vt:lpstr>
      <vt:lpstr>Group_name</vt:lpstr>
      <vt:lpstr>'TAAE|0001-00'!GroupFxdBen</vt:lpstr>
      <vt:lpstr>GroupFxdBen</vt:lpstr>
      <vt:lpstr>'TAAE|0001-00'!GroupSalary</vt:lpstr>
      <vt:lpstr>GroupSalary</vt:lpstr>
      <vt:lpstr>'TAAE|0001-00'!GroupVarBen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'TAAE|0001-00'!LUMAFund</vt:lpstr>
      <vt:lpstr>LUMAFund</vt:lpstr>
      <vt:lpstr>MAXSSDI</vt:lpstr>
      <vt:lpstr>MAXSSDIBY</vt:lpstr>
      <vt:lpstr>'TAAE|0001-00'!NEW_AdjGroup</vt:lpstr>
      <vt:lpstr>NEW_AdjGroup</vt:lpstr>
      <vt:lpstr>'TAAE|0001-00'!NEW_AdjGroupSalary</vt:lpstr>
      <vt:lpstr>NEW_AdjGroupSalary</vt:lpstr>
      <vt:lpstr>'TAAE|0001-00'!NEW_AdjGroupVB</vt:lpstr>
      <vt:lpstr>NEW_AdjGroupVB</vt:lpstr>
      <vt:lpstr>'TAAE|0001-00'!NEW_AdjONLYGroup</vt:lpstr>
      <vt:lpstr>NEW_AdjONLYGroup</vt:lpstr>
      <vt:lpstr>'TAAE|0001-00'!NEW_AdjONLYGroupSalary</vt:lpstr>
      <vt:lpstr>NEW_AdjONLYGroupSalary</vt:lpstr>
      <vt:lpstr>'TAAE|0001-00'!NEW_AdjONLYGroupVB</vt:lpstr>
      <vt:lpstr>NEW_AdjONLYGroupVB</vt:lpstr>
      <vt:lpstr>'TAAE|0001-00'!NEW_AdjONLYPerm</vt:lpstr>
      <vt:lpstr>NEW_AdjONLYPerm</vt:lpstr>
      <vt:lpstr>'TAAE|0001-00'!NEW_AdjONLYPermSalary</vt:lpstr>
      <vt:lpstr>NEW_AdjONLYPermSalary</vt:lpstr>
      <vt:lpstr>'TAAE|0001-00'!NEW_AdjONLYPermVB</vt:lpstr>
      <vt:lpstr>NEW_AdjONLYPermVB</vt:lpstr>
      <vt:lpstr>'TAAE|0001-00'!NEW_AdjPerm</vt:lpstr>
      <vt:lpstr>NEW_AdjPerm</vt:lpstr>
      <vt:lpstr>'TAAE|0001-00'!NEW_AdjPermSalary</vt:lpstr>
      <vt:lpstr>NEW_AdjPermSalary</vt:lpstr>
      <vt:lpstr>'TAAE|0001-00'!NEW_AdjPermVB</vt:lpstr>
      <vt:lpstr>NEW_AdjPermVB</vt:lpstr>
      <vt:lpstr>'TAAE|0001-00'!NEW_GroupFilled</vt:lpstr>
      <vt:lpstr>NEW_GroupFilled</vt:lpstr>
      <vt:lpstr>'TAAE|0001-00'!NEW_GroupSalaryFilled</vt:lpstr>
      <vt:lpstr>NEW_GroupSalaryFilled</vt:lpstr>
      <vt:lpstr>'TAAE|0001-00'!NEW_GroupVBFilled</vt:lpstr>
      <vt:lpstr>NEW_GroupVBFilled</vt:lpstr>
      <vt:lpstr>'TAAE|0001-00'!NEW_PermFilled</vt:lpstr>
      <vt:lpstr>NEW_PermFilled</vt:lpstr>
      <vt:lpstr>'TAAE|0001-00'!NEW_PermSalaryFilled</vt:lpstr>
      <vt:lpstr>NEW_PermSalaryFilled</vt:lpstr>
      <vt:lpstr>'TAAE|0001-00'!NEW_PermVBFilled</vt:lpstr>
      <vt:lpstr>NEW_PermVBFilled</vt:lpstr>
      <vt:lpstr>'TAAE|0001-00'!OneTimePC_Total</vt:lpstr>
      <vt:lpstr>OneTimePC_Total</vt:lpstr>
      <vt:lpstr>'TAAE|0001-00'!OrigApprop</vt:lpstr>
      <vt:lpstr>OrigApprop</vt:lpstr>
      <vt:lpstr>'TAAE|0001-00'!perm_name</vt:lpstr>
      <vt:lpstr>perm_name</vt:lpstr>
      <vt:lpstr>'TAAE|0001-00'!PermFTP</vt:lpstr>
      <vt:lpstr>PermFTP</vt:lpstr>
      <vt:lpstr>'TAAE|0001-00'!PermFxdBen</vt:lpstr>
      <vt:lpstr>PermFxdBen</vt:lpstr>
      <vt:lpstr>'TAAE|0001-00'!PermFxdBenChg</vt:lpstr>
      <vt:lpstr>PermFxdBenChg</vt:lpstr>
      <vt:lpstr>'TAAE|0001-00'!PermFxdChg</vt:lpstr>
      <vt:lpstr>PermFxdChg</vt:lpstr>
      <vt:lpstr>'TAAE|0001-00'!PermSalary</vt:lpstr>
      <vt:lpstr>PermSalary</vt:lpstr>
      <vt:lpstr>'TAAE|0001-00'!PermVarBen</vt:lpstr>
      <vt:lpstr>PermVarBen</vt:lpstr>
      <vt:lpstr>'TAAE|0001-00'!PermVarBenChg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'TAAE|0001-00'!Print_Area</vt:lpstr>
      <vt:lpstr>'TAAE|0001-00'!Prog_Unadjusted_Total</vt:lpstr>
      <vt:lpstr>Prog_Unadjusted_Total</vt:lpstr>
      <vt:lpstr>'TAAE|0001-00'!Program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'TAAE|0001-00'!RoundedAppropSalary</vt:lpstr>
      <vt:lpstr>RoundedAppropSalary</vt:lpstr>
      <vt:lpstr>'TAAE|0001-00'!SalaryChg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TAAE000100col_1_27TH_PP</vt:lpstr>
      <vt:lpstr>TAAE000100col_DHR</vt:lpstr>
      <vt:lpstr>TAAE000100col_DHR_BY</vt:lpstr>
      <vt:lpstr>TAAE000100col_DHR_CHG</vt:lpstr>
      <vt:lpstr>TAAE000100col_FTI_SALARY_ELECT</vt:lpstr>
      <vt:lpstr>TAAE000100col_FTI_SALARY_PERM</vt:lpstr>
      <vt:lpstr>TAAE000100col_FTI_SALARY_SSDI</vt:lpstr>
      <vt:lpstr>TAAE000100col_Group_Ben</vt:lpstr>
      <vt:lpstr>TAAE000100col_Group_Salary</vt:lpstr>
      <vt:lpstr>TAAE000100col_HEALTH_ELECT</vt:lpstr>
      <vt:lpstr>TAAE000100col_HEALTH_ELECT_BY</vt:lpstr>
      <vt:lpstr>TAAE000100col_HEALTH_ELECT_CHG</vt:lpstr>
      <vt:lpstr>TAAE000100col_HEALTH_PERM</vt:lpstr>
      <vt:lpstr>TAAE000100col_HEALTH_PERM_BY</vt:lpstr>
      <vt:lpstr>TAAE000100col_HEALTH_PERM_CHG</vt:lpstr>
      <vt:lpstr>TAAE000100col_INC_FTI</vt:lpstr>
      <vt:lpstr>TAAE000100col_LIFE_INS</vt:lpstr>
      <vt:lpstr>TAAE000100col_LIFE_INS_BY</vt:lpstr>
      <vt:lpstr>TAAE000100col_LIFE_INS_CHG</vt:lpstr>
      <vt:lpstr>TAAE000100col_RETIREMENT</vt:lpstr>
      <vt:lpstr>TAAE000100col_RETIREMENT_BY</vt:lpstr>
      <vt:lpstr>TAAE000100col_RETIREMENT_CHG</vt:lpstr>
      <vt:lpstr>TAAE000100col_ROWS_PER_PCN</vt:lpstr>
      <vt:lpstr>TAAE000100col_SICK</vt:lpstr>
      <vt:lpstr>TAAE000100col_SICK_BY</vt:lpstr>
      <vt:lpstr>TAAE000100col_SICK_CHG</vt:lpstr>
      <vt:lpstr>TAAE000100col_SSDI</vt:lpstr>
      <vt:lpstr>TAAE000100col_SSDI_BY</vt:lpstr>
      <vt:lpstr>TAAE000100col_SSDI_CHG</vt:lpstr>
      <vt:lpstr>TAAE000100col_SSHI</vt:lpstr>
      <vt:lpstr>TAAE000100col_SSHI_BY</vt:lpstr>
      <vt:lpstr>TAAE000100col_SSHI_CHGv</vt:lpstr>
      <vt:lpstr>TAAE000100col_TOT_VB_ELECT</vt:lpstr>
      <vt:lpstr>TAAE000100col_TOT_VB_ELECT_BY</vt:lpstr>
      <vt:lpstr>TAAE000100col_TOT_VB_ELECT_CHG</vt:lpstr>
      <vt:lpstr>TAAE000100col_TOT_VB_PERM</vt:lpstr>
      <vt:lpstr>TAAE000100col_TOT_VB_PERM_BY</vt:lpstr>
      <vt:lpstr>TAAE000100col_TOT_VB_PERM_CHG</vt:lpstr>
      <vt:lpstr>TAAE000100col_TOTAL_ELECT_PCN_FTI</vt:lpstr>
      <vt:lpstr>TAAE000100col_TOTAL_ELECT_PCN_FTI_ALT</vt:lpstr>
      <vt:lpstr>TAAE000100col_TOTAL_PERM_PCN_FTI</vt:lpstr>
      <vt:lpstr>TAAE000100col_UNEMP_INS</vt:lpstr>
      <vt:lpstr>TAAE000100col_UNEMP_INS_BY</vt:lpstr>
      <vt:lpstr>TAAE000100col_UNEMP_INS_CHG</vt:lpstr>
      <vt:lpstr>TAAE000100col_WORKERS_COMP</vt:lpstr>
      <vt:lpstr>TAAE000100col_WORKERS_COMP_BY</vt:lpstr>
      <vt:lpstr>TAAE000100col_WORKERS_COMP_CHG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352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2021-07-14T23:40:00Z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